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56.xml" ContentType="application/vnd.ms-excel.controlproperties+xml"/>
  <Override PartName="/xl/ctrlProps/ctrlProp257.xml" ContentType="application/vnd.ms-excel.controlproperties+xml"/>
  <Override PartName="/xl/drawings/drawing5.xml" ContentType="application/vnd.openxmlformats-officedocument.drawing+xml"/>
  <Override PartName="/xl/ctrlProps/ctrlProp258.xml" ContentType="application/vnd.ms-excel.controlpropertie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comments7.xml" ContentType="application/vnd.openxmlformats-officedocument.spreadsheetml.comments+xml"/>
  <Override PartName="/xl/threadedComments/threadedComment3.xml" ContentType="application/vnd.ms-excel.threadedcomments+xml"/>
  <Override PartName="/xl/drawings/drawing12.xml" ContentType="application/vnd.openxmlformats-officedocument.drawing+xml"/>
  <Override PartName="/xl/comments8.xml" ContentType="application/vnd.openxmlformats-officedocument.spreadsheetml.comments+xml"/>
  <Override PartName="/xl/threadedComments/threadedComment4.xml" ContentType="application/vnd.ms-excel.threadedcomments+xml"/>
  <Override PartName="/xl/drawings/drawing13.xml" ContentType="application/vnd.openxmlformats-officedocument.drawing+xml"/>
  <Override PartName="/xl/comments9.xml" ContentType="application/vnd.openxmlformats-officedocument.spreadsheetml.comments+xml"/>
  <Override PartName="/xl/threadedComments/threadedComment5.xml" ContentType="application/vnd.ms-excel.threadedcomments+xml"/>
  <Override PartName="/xl/drawings/drawing14.xml" ContentType="application/vnd.openxmlformats-officedocument.drawing+xml"/>
  <Override PartName="/xl/comments10.xml" ContentType="application/vnd.openxmlformats-officedocument.spreadsheetml.comments+xml"/>
  <Override PartName="/xl/threadedComments/threadedComment6.xml" ContentType="application/vnd.ms-excel.threaded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threadedComments/threadedComment7.xml" ContentType="application/vnd.ms-excel.threaded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0.xml" ContentType="application/vnd.openxmlformats-officedocument.drawing+xml"/>
  <Override PartName="/xl/comments16.xml" ContentType="application/vnd.openxmlformats-officedocument.spreadsheetml.comments+xml"/>
  <Override PartName="/xl/threadedComments/threadedComment8.xml" ContentType="application/vnd.ms-excel.threadedcomments+xml"/>
  <Override PartName="/xl/drawings/drawing21.xml" ContentType="application/vnd.openxmlformats-officedocument.drawing+xml"/>
  <Override PartName="/xl/comments17.xml" ContentType="application/vnd.openxmlformats-officedocument.spreadsheetml.comments+xml"/>
  <Override PartName="/xl/threadedComments/threadedComment9.xml" ContentType="application/vnd.ms-excel.threadedcomments+xml"/>
  <Override PartName="/xl/drawings/drawing22.xml" ContentType="application/vnd.openxmlformats-officedocument.drawing+xml"/>
  <Override PartName="/xl/comments18.xml" ContentType="application/vnd.openxmlformats-officedocument.spreadsheetml.comments+xml"/>
  <Override PartName="/xl/threadedComments/threadedComment10.xml" ContentType="application/vnd.ms-excel.threadedcomments+xml"/>
  <Override PartName="/xl/drawings/drawing2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energir.sharepoint.com/sites/APPR-Equipe-Developpement-offre-de-programmes-PE242-Optimisationdeschaufferies/Documents partages/PE242 - Optimisation des chaufferies/Travaux 2025 (Passage à 2000h)/MAJ guide-formulaire/Formulaire-calculateur/Nouveaux formulaires/"/>
    </mc:Choice>
  </mc:AlternateContent>
  <xr:revisionPtr revIDLastSave="162" documentId="13_ncr:1_{8239A868-0949-4ABE-8941-63094A1B495B}" xr6:coauthVersionLast="47" xr6:coauthVersionMax="47" xr10:uidLastSave="{54655956-C60D-4AC6-B8B9-0B2D909E88EB}"/>
  <workbookProtection workbookAlgorithmName="SHA-512" workbookHashValue="xa3d+GGvpoaeW5FCBcv5qyzHDe/JV+uTwXRpCCULElS37/+1lF9TEl3tqziAglXVe503GfpA86eiggkNjVeOLA==" workbookSaltValue="Ekspjq+2zxCCbskvuIXAoQ==" workbookSpinCount="100000" lockStructure="1"/>
  <bookViews>
    <workbookView xWindow="-28920" yWindow="-2160" windowWidth="29040" windowHeight="15720" firstSheet="1" activeTab="1" xr2:uid="{A22255C6-A00A-46BD-8212-DD74D7A92D21}"/>
  </bookViews>
  <sheets>
    <sheet name="Onglet Énergir" sheetId="60" state="hidden" r:id="rId1"/>
    <sheet name="1. General Information" sheetId="67" r:id="rId2"/>
    <sheet name="2. Detailed report of costs" sheetId="68" r:id="rId3"/>
    <sheet name="3a. Calculator - Instructions" sheetId="70" r:id="rId4"/>
    <sheet name="3b. Calculator - EEM 1" sheetId="55" r:id="rId5"/>
    <sheet name="3c. Calculator EEM 2-3" sheetId="15" r:id="rId6"/>
    <sheet name="4. Request for payment" sheetId="66" r:id="rId7"/>
    <sheet name="Subvention" sheetId="9" state="hidden" r:id="rId8"/>
    <sheet name="Menus déroulants" sheetId="14" state="hidden" r:id="rId9"/>
    <sheet name="Détails des onglets" sheetId="59" state="hidden" r:id="rId10"/>
    <sheet name="Hypothèses" sheetId="28" state="hidden" r:id="rId11"/>
    <sheet name="Isolation" sheetId="58" state="hidden" r:id="rId12"/>
    <sheet name="Isolation - CAS 1" sheetId="52" state="hidden" r:id="rId13"/>
    <sheet name="Isolation - CAS 2" sheetId="56" state="hidden" r:id="rId14"/>
    <sheet name="Isolation - CAS 3" sheetId="57" state="hidden" r:id="rId15"/>
    <sheet name="Propriété_air" sheetId="53" state="hidden" r:id="rId16"/>
    <sheet name="Propriété_matériau" sheetId="54" state="hidden" r:id="rId17"/>
    <sheet name="P opération brûleur - avant MEE" sheetId="26" state="hidden" r:id="rId18"/>
    <sheet name="P opération brûleur - éco" sheetId="38" state="hidden" r:id="rId19"/>
    <sheet name="Combustion_Chaud1" sheetId="41" state="hidden" r:id="rId20"/>
    <sheet name="Combustion_Chaud2" sheetId="42" state="hidden" r:id="rId21"/>
    <sheet name="Combustion_Chaud3" sheetId="43" state="hidden" r:id="rId22"/>
    <sheet name="Combustion_Chaud4" sheetId="44" state="hidden" r:id="rId23"/>
    <sheet name="Micromodulation et sonde O2" sheetId="11" state="hidden" r:id="rId24"/>
    <sheet name="Combustion_Chaud1 (Micro)" sheetId="47" state="hidden" r:id="rId25"/>
    <sheet name="Combustion_Chaud2 (Micro)" sheetId="45" state="hidden" r:id="rId26"/>
    <sheet name="Combustion_Chaud3 (Micro)" sheetId="48" state="hidden" r:id="rId27"/>
    <sheet name="Combustion_Chaud4 (Micro)" sheetId="49" state="hidden" r:id="rId28"/>
    <sheet name="Tables vapeur" sheetId="3" state="hidden" r:id="rId29"/>
    <sheet name="Facteurs conversion" sheetId="4" state="hidden" r:id="rId30"/>
    <sheet name="normales 1981-2010" sheetId="50" state="hidden" r:id="rId31"/>
    <sheet name="T° eau" sheetId="69" state="hidden" r:id="rId32"/>
    <sheet name="Cond_valid" sheetId="40" state="hidden" r:id="rId33"/>
    <sheet name="Détails calcul isolation" sheetId="63" state="hidden" r:id="rId34"/>
  </sheets>
  <definedNames>
    <definedName name="\0" localSheetId="19">#REF!</definedName>
    <definedName name="\0" localSheetId="24">#REF!</definedName>
    <definedName name="\0" localSheetId="20">#REF!</definedName>
    <definedName name="\0" localSheetId="25">#REF!</definedName>
    <definedName name="\0" localSheetId="21">#REF!</definedName>
    <definedName name="\0" localSheetId="26">#REF!</definedName>
    <definedName name="\0" localSheetId="22">#REF!</definedName>
    <definedName name="\0" localSheetId="27">#REF!</definedName>
    <definedName name="\0">#REF!</definedName>
    <definedName name="\a" localSheetId="19">#REF!</definedName>
    <definedName name="\a" localSheetId="24">#REF!</definedName>
    <definedName name="\a" localSheetId="20">#REF!</definedName>
    <definedName name="\a" localSheetId="25">#REF!</definedName>
    <definedName name="\a" localSheetId="21">#REF!</definedName>
    <definedName name="\a" localSheetId="26">#REF!</definedName>
    <definedName name="\a" localSheetId="22">#REF!</definedName>
    <definedName name="\a" localSheetId="27">#REF!</definedName>
    <definedName name="\a">#REF!</definedName>
    <definedName name="\b" localSheetId="19">#REF!</definedName>
    <definedName name="\b" localSheetId="24">#REF!</definedName>
    <definedName name="\b" localSheetId="20">#REF!</definedName>
    <definedName name="\b" localSheetId="25">#REF!</definedName>
    <definedName name="\b" localSheetId="21">#REF!</definedName>
    <definedName name="\b" localSheetId="26">#REF!</definedName>
    <definedName name="\b" localSheetId="22">#REF!</definedName>
    <definedName name="\b" localSheetId="27">#REF!</definedName>
    <definedName name="\b">#REF!</definedName>
    <definedName name="\c">#REF!</definedName>
    <definedName name="\d">#REF!</definedName>
    <definedName name="\e">#REF!</definedName>
    <definedName name="\f">#REF!</definedName>
    <definedName name="\g">#REF!</definedName>
    <definedName name="\h">#REF!</definedName>
    <definedName name="\l">#REF!</definedName>
    <definedName name="\m">#REF!</definedName>
    <definedName name="\n">#REF!</definedName>
    <definedName name="\o">#REF!</definedName>
    <definedName name="\O_">#REF!</definedName>
    <definedName name="\p">#REF!</definedName>
    <definedName name="\q">#REF!</definedName>
    <definedName name="\r">#REF!</definedName>
    <definedName name="\s">#REF!</definedName>
    <definedName name="\t">#REF!</definedName>
    <definedName name="\v">#REF!</definedName>
    <definedName name="\w">#REF!</definedName>
    <definedName name="_\N">#REF!</definedName>
    <definedName name="_\O">#REF!</definedName>
    <definedName name="Altitude">#REF!</definedName>
    <definedName name="Ambiant_air">#REF!</definedName>
    <definedName name="_xlnm.Database">#REF!</definedName>
    <definedName name="Base_données_MI">#REF!</definedName>
    <definedName name="_xlnm.Criteria">#REF!</definedName>
    <definedName name="Critères_MI">#REF!</definedName>
    <definedName name="Extraction_MI">#REF!</definedName>
    <definedName name="_xlnm.Extract">#REF!</definedName>
    <definedName name="Fluid_density_table">#REF!</definedName>
    <definedName name="Fluid_max_temp_table">#REF!</definedName>
    <definedName name="Fluid_sat_table">#REF!</definedName>
    <definedName name="Fluid_specific_heat_table">#REF!</definedName>
    <definedName name="Fluid_thermal_cond_table">#REF!</definedName>
    <definedName name="Fluid_Visco_dynam_table">#REF!</definedName>
    <definedName name="Fuel">#REF!</definedName>
    <definedName name="Fuel_HHV">#REF!</definedName>
    <definedName name="_xlnm.Print_Titles" localSheetId="12">'Isolation - CAS 1'!$1:$7</definedName>
    <definedName name="_xlnm.Print_Titles" localSheetId="13">'Isolation - CAS 2'!$1:$7</definedName>
    <definedName name="_xlnm.Print_Titles" localSheetId="14">'Isolation - CAS 3'!$1:$7</definedName>
    <definedName name="ListeGaz">#REF!</definedName>
    <definedName name="Relative_humidity">#REF!</definedName>
    <definedName name="solver_adj" localSheetId="24" hidden="1">'Combustion_Chaud1 (Micro)'!$U$7</definedName>
    <definedName name="solver_adj" localSheetId="25" hidden="1">'Combustion_Chaud2 (Micro)'!$U$7</definedName>
    <definedName name="solver_adj" localSheetId="26" hidden="1">'Combustion_Chaud3 (Micro)'!$U$7</definedName>
    <definedName name="solver_adj" localSheetId="27" hidden="1">'Combustion_Chaud4 (Micro)'!$U$7</definedName>
    <definedName name="solver_opt" localSheetId="24" hidden="1">'Combustion_Chaud1 (Micro)'!$G$2</definedName>
    <definedName name="solver_opt" localSheetId="25" hidden="1">'Combustion_Chaud2 (Micro)'!$G$2</definedName>
    <definedName name="solver_opt" localSheetId="26" hidden="1">'Combustion_Chaud3 (Micro)'!$G$2</definedName>
    <definedName name="solver_opt" localSheetId="27" hidden="1">'Combustion_Chaud4 (Micro)'!$G$2</definedName>
    <definedName name="solver_typ" localSheetId="24" hidden="1">3</definedName>
    <definedName name="solver_typ" localSheetId="25" hidden="1">3</definedName>
    <definedName name="solver_typ" localSheetId="26" hidden="1">3</definedName>
    <definedName name="solver_typ" localSheetId="27" hidden="1">3</definedName>
    <definedName name="Table_HPS_data">#REF!</definedName>
    <definedName name="Table_HPSLV_data">#REF!</definedName>
    <definedName name="Table_HW_data">#REF!</definedName>
    <definedName name="Table_LPS_data">#REF!</definedName>
    <definedName name="_xlnm.Print_Area" localSheetId="12">'Isolation - CAS 1'!$A$1:$K$110</definedName>
    <definedName name="_xlnm.Print_Area" localSheetId="13">'Isolation - CAS 2'!$A$1:$K$110</definedName>
    <definedName name="_xlnm.Print_Area" localSheetId="14">'Isolation - CAS 3'!$A$1:$K$110</definedName>
    <definedName name="_xlnm.Print_Area" localSheetId="16">Propriété_matériau!$A$1:$K$29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7" i="60" l="1"/>
  <c r="I8" i="60" l="1"/>
  <c r="H87" i="60" l="1" a="1"/>
  <c r="H87" i="60" s="1"/>
  <c r="H86" i="60" a="1"/>
  <c r="H86" i="60" s="1"/>
  <c r="G87" i="60" a="1"/>
  <c r="G87" i="60" s="1"/>
  <c r="G86" i="60" a="1"/>
  <c r="G86" i="60" s="1"/>
  <c r="F87" i="60" a="1"/>
  <c r="F87" i="60" s="1"/>
  <c r="F86" i="60" a="1"/>
  <c r="F86" i="60" s="1"/>
  <c r="E87" i="60" a="1"/>
  <c r="E87" i="60" s="1"/>
  <c r="O86" i="60" s="1"/>
  <c r="E86" i="60" a="1"/>
  <c r="E86" i="60" s="1"/>
  <c r="K81" i="60"/>
  <c r="K82" i="60" s="1" a="1"/>
  <c r="K82" i="60" s="1"/>
  <c r="J81" i="60"/>
  <c r="J82" i="60" s="1" a="1"/>
  <c r="J82" i="60" s="1"/>
  <c r="I81" i="60"/>
  <c r="I82" i="60" s="1" a="1"/>
  <c r="I82" i="60" s="1"/>
  <c r="H81" i="60"/>
  <c r="H82" i="60" s="1" a="1"/>
  <c r="H82" i="60" s="1"/>
  <c r="C103" i="60" l="1"/>
  <c r="C104" i="60"/>
  <c r="C105" i="60"/>
  <c r="C106" i="60"/>
  <c r="C107" i="60"/>
  <c r="C108" i="60"/>
  <c r="C109" i="60"/>
  <c r="C110" i="60"/>
  <c r="C102" i="60"/>
  <c r="J128" i="55"/>
  <c r="J129" i="55"/>
  <c r="J127" i="55"/>
  <c r="J126" i="55"/>
  <c r="J125" i="55"/>
  <c r="G101" i="60"/>
  <c r="J97" i="60"/>
  <c r="G89" i="15" a="1"/>
  <c r="G89" i="15" s="1"/>
  <c r="C32" i="66" s="1"/>
  <c r="M89" i="15" a="1"/>
  <c r="M89" i="15" s="1"/>
  <c r="K89" i="15" a="1"/>
  <c r="K89" i="15" s="1"/>
  <c r="I89" i="15" a="1"/>
  <c r="I89" i="15" s="1"/>
  <c r="M84" i="15"/>
  <c r="K84" i="15"/>
  <c r="I84" i="15"/>
  <c r="M82" i="15"/>
  <c r="K82" i="15"/>
  <c r="I82" i="15"/>
  <c r="G84" i="15"/>
  <c r="G82" i="15"/>
  <c r="D23" i="15"/>
  <c r="D20" i="15"/>
  <c r="F24" i="60" l="1"/>
  <c r="F23" i="60"/>
  <c r="F22" i="60"/>
  <c r="F21" i="60"/>
  <c r="G7" i="58"/>
  <c r="M49" i="15"/>
  <c r="K49" i="15"/>
  <c r="I49" i="15"/>
  <c r="G49" i="15"/>
  <c r="H10" i="66" l="1"/>
  <c r="N10" i="66" s="1"/>
  <c r="D29" i="28"/>
  <c r="D28" i="28"/>
  <c r="E8960" i="69"/>
  <c r="C8960" i="69"/>
  <c r="E8959" i="69"/>
  <c r="C8959" i="69"/>
  <c r="E8958" i="69"/>
  <c r="C8958" i="69"/>
  <c r="E8957" i="69"/>
  <c r="C8957" i="69"/>
  <c r="E8956" i="69"/>
  <c r="C8956" i="69"/>
  <c r="E8955" i="69"/>
  <c r="C8955" i="69"/>
  <c r="E8954" i="69"/>
  <c r="C8954" i="69"/>
  <c r="E8953" i="69"/>
  <c r="C8953" i="69"/>
  <c r="E8952" i="69"/>
  <c r="C8952" i="69"/>
  <c r="E8951" i="69"/>
  <c r="C8951" i="69"/>
  <c r="E8950" i="69"/>
  <c r="C8950" i="69"/>
  <c r="E8949" i="69"/>
  <c r="C8949" i="69"/>
  <c r="E8948" i="69"/>
  <c r="C8948" i="69"/>
  <c r="E8947" i="69"/>
  <c r="C8947" i="69"/>
  <c r="E8946" i="69"/>
  <c r="C8946" i="69"/>
  <c r="E8945" i="69"/>
  <c r="C8945" i="69"/>
  <c r="E8944" i="69"/>
  <c r="C8944" i="69"/>
  <c r="E8943" i="69"/>
  <c r="C8943" i="69"/>
  <c r="E8942" i="69"/>
  <c r="C8942" i="69"/>
  <c r="E8941" i="69"/>
  <c r="C8941" i="69"/>
  <c r="E8940" i="69"/>
  <c r="C8940" i="69"/>
  <c r="E8939" i="69"/>
  <c r="C8939" i="69"/>
  <c r="E8938" i="69"/>
  <c r="C8938" i="69"/>
  <c r="E8937" i="69"/>
  <c r="C8937" i="69"/>
  <c r="E8936" i="69"/>
  <c r="C8936" i="69"/>
  <c r="E8935" i="69"/>
  <c r="C8935" i="69"/>
  <c r="E8934" i="69"/>
  <c r="C8934" i="69"/>
  <c r="E8933" i="69"/>
  <c r="C8933" i="69"/>
  <c r="E8932" i="69"/>
  <c r="C8932" i="69"/>
  <c r="E8931" i="69"/>
  <c r="C8931" i="69"/>
  <c r="E8930" i="69"/>
  <c r="C8930" i="69"/>
  <c r="E8929" i="69"/>
  <c r="C8929" i="69"/>
  <c r="E8928" i="69"/>
  <c r="C8928" i="69"/>
  <c r="E8927" i="69"/>
  <c r="C8927" i="69"/>
  <c r="E8926" i="69"/>
  <c r="C8926" i="69"/>
  <c r="E8925" i="69"/>
  <c r="C8925" i="69"/>
  <c r="E8924" i="69"/>
  <c r="C8924" i="69"/>
  <c r="E8923" i="69"/>
  <c r="C8923" i="69"/>
  <c r="E8922" i="69"/>
  <c r="C8922" i="69"/>
  <c r="E8921" i="69"/>
  <c r="C8921" i="69"/>
  <c r="E8920" i="69"/>
  <c r="C8920" i="69"/>
  <c r="E8919" i="69"/>
  <c r="C8919" i="69"/>
  <c r="E8918" i="69"/>
  <c r="C8918" i="69"/>
  <c r="E8917" i="69"/>
  <c r="C8917" i="69"/>
  <c r="E8916" i="69"/>
  <c r="C8916" i="69"/>
  <c r="E8915" i="69"/>
  <c r="C8915" i="69"/>
  <c r="E8914" i="69"/>
  <c r="C8914" i="69"/>
  <c r="E8913" i="69"/>
  <c r="C8913" i="69"/>
  <c r="E8912" i="69"/>
  <c r="C8912" i="69"/>
  <c r="E8911" i="69"/>
  <c r="C8911" i="69"/>
  <c r="E8910" i="69"/>
  <c r="C8910" i="69"/>
  <c r="E8909" i="69"/>
  <c r="C8909" i="69"/>
  <c r="E8908" i="69"/>
  <c r="C8908" i="69"/>
  <c r="E8907" i="69"/>
  <c r="C8907" i="69"/>
  <c r="E8906" i="69"/>
  <c r="C8906" i="69"/>
  <c r="E8905" i="69"/>
  <c r="C8905" i="69"/>
  <c r="E8904" i="69"/>
  <c r="C8904" i="69"/>
  <c r="E8903" i="69"/>
  <c r="C8903" i="69"/>
  <c r="E8902" i="69"/>
  <c r="C8902" i="69"/>
  <c r="E8901" i="69"/>
  <c r="C8901" i="69"/>
  <c r="E8900" i="69"/>
  <c r="C8900" i="69"/>
  <c r="E8899" i="69"/>
  <c r="C8899" i="69"/>
  <c r="E8898" i="69"/>
  <c r="C8898" i="69"/>
  <c r="E8897" i="69"/>
  <c r="C8897" i="69"/>
  <c r="E8896" i="69"/>
  <c r="C8896" i="69"/>
  <c r="E8895" i="69"/>
  <c r="C8895" i="69"/>
  <c r="E8894" i="69"/>
  <c r="C8894" i="69"/>
  <c r="E8893" i="69"/>
  <c r="C8893" i="69"/>
  <c r="E8892" i="69"/>
  <c r="C8892" i="69"/>
  <c r="E8891" i="69"/>
  <c r="C8891" i="69"/>
  <c r="E8890" i="69"/>
  <c r="C8890" i="69"/>
  <c r="E8889" i="69"/>
  <c r="C8889" i="69"/>
  <c r="E8888" i="69"/>
  <c r="C8888" i="69"/>
  <c r="E8887" i="69"/>
  <c r="C8887" i="69"/>
  <c r="E8886" i="69"/>
  <c r="C8886" i="69"/>
  <c r="E8885" i="69"/>
  <c r="C8885" i="69"/>
  <c r="E8884" i="69"/>
  <c r="C8884" i="69"/>
  <c r="E8883" i="69"/>
  <c r="C8883" i="69"/>
  <c r="E8882" i="69"/>
  <c r="C8882" i="69"/>
  <c r="E8881" i="69"/>
  <c r="C8881" i="69"/>
  <c r="E8880" i="69"/>
  <c r="C8880" i="69"/>
  <c r="E8879" i="69"/>
  <c r="C8879" i="69"/>
  <c r="E8878" i="69"/>
  <c r="C8878" i="69"/>
  <c r="E8877" i="69"/>
  <c r="C8877" i="69"/>
  <c r="E8876" i="69"/>
  <c r="C8876" i="69"/>
  <c r="E8875" i="69"/>
  <c r="C8875" i="69"/>
  <c r="E8874" i="69"/>
  <c r="C8874" i="69"/>
  <c r="E8873" i="69"/>
  <c r="C8873" i="69"/>
  <c r="E8872" i="69"/>
  <c r="C8872" i="69"/>
  <c r="E8871" i="69"/>
  <c r="C8871" i="69"/>
  <c r="E8870" i="69"/>
  <c r="C8870" i="69"/>
  <c r="E8869" i="69"/>
  <c r="C8869" i="69"/>
  <c r="E8868" i="69"/>
  <c r="C8868" i="69"/>
  <c r="E8867" i="69"/>
  <c r="C8867" i="69"/>
  <c r="E8866" i="69"/>
  <c r="C8866" i="69"/>
  <c r="E8865" i="69"/>
  <c r="C8865" i="69"/>
  <c r="E8864" i="69"/>
  <c r="C8864" i="69"/>
  <c r="E8863" i="69"/>
  <c r="C8863" i="69"/>
  <c r="E8862" i="69"/>
  <c r="C8862" i="69"/>
  <c r="E8861" i="69"/>
  <c r="C8861" i="69"/>
  <c r="E8860" i="69"/>
  <c r="C8860" i="69"/>
  <c r="E8859" i="69"/>
  <c r="C8859" i="69"/>
  <c r="E8858" i="69"/>
  <c r="C8858" i="69"/>
  <c r="E8857" i="69"/>
  <c r="C8857" i="69"/>
  <c r="E8856" i="69"/>
  <c r="C8856" i="69"/>
  <c r="E8855" i="69"/>
  <c r="C8855" i="69"/>
  <c r="E8854" i="69"/>
  <c r="C8854" i="69"/>
  <c r="E8853" i="69"/>
  <c r="C8853" i="69"/>
  <c r="E8852" i="69"/>
  <c r="C8852" i="69"/>
  <c r="E8851" i="69"/>
  <c r="C8851" i="69"/>
  <c r="E8850" i="69"/>
  <c r="C8850" i="69"/>
  <c r="E8849" i="69"/>
  <c r="C8849" i="69"/>
  <c r="E8848" i="69"/>
  <c r="C8848" i="69"/>
  <c r="E8847" i="69"/>
  <c r="C8847" i="69"/>
  <c r="E8846" i="69"/>
  <c r="C8846" i="69"/>
  <c r="E8845" i="69"/>
  <c r="C8845" i="69"/>
  <c r="E8844" i="69"/>
  <c r="C8844" i="69"/>
  <c r="E8843" i="69"/>
  <c r="C8843" i="69"/>
  <c r="E8842" i="69"/>
  <c r="C8842" i="69"/>
  <c r="E8841" i="69"/>
  <c r="C8841" i="69"/>
  <c r="E8840" i="69"/>
  <c r="C8840" i="69"/>
  <c r="E8839" i="69"/>
  <c r="C8839" i="69"/>
  <c r="E8838" i="69"/>
  <c r="C8838" i="69"/>
  <c r="E8837" i="69"/>
  <c r="C8837" i="69"/>
  <c r="E8836" i="69"/>
  <c r="C8836" i="69"/>
  <c r="E8835" i="69"/>
  <c r="C8835" i="69"/>
  <c r="E8834" i="69"/>
  <c r="C8834" i="69"/>
  <c r="E8833" i="69"/>
  <c r="C8833" i="69"/>
  <c r="E8832" i="69"/>
  <c r="C8832" i="69"/>
  <c r="E8831" i="69"/>
  <c r="C8831" i="69"/>
  <c r="E8830" i="69"/>
  <c r="C8830" i="69"/>
  <c r="E8829" i="69"/>
  <c r="C8829" i="69"/>
  <c r="E8828" i="69"/>
  <c r="C8828" i="69"/>
  <c r="E8827" i="69"/>
  <c r="C8827" i="69"/>
  <c r="E8826" i="69"/>
  <c r="C8826" i="69"/>
  <c r="E8825" i="69"/>
  <c r="C8825" i="69"/>
  <c r="E8824" i="69"/>
  <c r="C8824" i="69"/>
  <c r="E8823" i="69"/>
  <c r="C8823" i="69"/>
  <c r="E8822" i="69"/>
  <c r="C8822" i="69"/>
  <c r="E8821" i="69"/>
  <c r="C8821" i="69"/>
  <c r="E8820" i="69"/>
  <c r="C8820" i="69"/>
  <c r="E8819" i="69"/>
  <c r="C8819" i="69"/>
  <c r="E8818" i="69"/>
  <c r="C8818" i="69"/>
  <c r="E8817" i="69"/>
  <c r="C8817" i="69"/>
  <c r="E8816" i="69"/>
  <c r="C8816" i="69"/>
  <c r="E8815" i="69"/>
  <c r="C8815" i="69"/>
  <c r="E8814" i="69"/>
  <c r="C8814" i="69"/>
  <c r="E8813" i="69"/>
  <c r="C8813" i="69"/>
  <c r="E8812" i="69"/>
  <c r="C8812" i="69"/>
  <c r="E8811" i="69"/>
  <c r="C8811" i="69"/>
  <c r="E8810" i="69"/>
  <c r="C8810" i="69"/>
  <c r="E8809" i="69"/>
  <c r="C8809" i="69"/>
  <c r="E8808" i="69"/>
  <c r="C8808" i="69"/>
  <c r="E8807" i="69"/>
  <c r="C8807" i="69"/>
  <c r="E8806" i="69"/>
  <c r="C8806" i="69"/>
  <c r="E8805" i="69"/>
  <c r="C8805" i="69"/>
  <c r="E8804" i="69"/>
  <c r="C8804" i="69"/>
  <c r="E8803" i="69"/>
  <c r="C8803" i="69"/>
  <c r="E8802" i="69"/>
  <c r="C8802" i="69"/>
  <c r="E8801" i="69"/>
  <c r="C8801" i="69"/>
  <c r="E8800" i="69"/>
  <c r="C8800" i="69"/>
  <c r="E8799" i="69"/>
  <c r="C8799" i="69"/>
  <c r="E8798" i="69"/>
  <c r="C8798" i="69"/>
  <c r="E8797" i="69"/>
  <c r="C8797" i="69"/>
  <c r="E8796" i="69"/>
  <c r="C8796" i="69"/>
  <c r="E8795" i="69"/>
  <c r="C8795" i="69"/>
  <c r="E8794" i="69"/>
  <c r="C8794" i="69"/>
  <c r="E8793" i="69"/>
  <c r="C8793" i="69"/>
  <c r="E8792" i="69"/>
  <c r="C8792" i="69"/>
  <c r="E8791" i="69"/>
  <c r="C8791" i="69"/>
  <c r="E8790" i="69"/>
  <c r="C8790" i="69"/>
  <c r="E8789" i="69"/>
  <c r="C8789" i="69"/>
  <c r="E8788" i="69"/>
  <c r="C8788" i="69"/>
  <c r="E8787" i="69"/>
  <c r="C8787" i="69"/>
  <c r="E8786" i="69"/>
  <c r="C8786" i="69"/>
  <c r="E8785" i="69"/>
  <c r="C8785" i="69"/>
  <c r="E8784" i="69"/>
  <c r="C8784" i="69"/>
  <c r="E8783" i="69"/>
  <c r="C8783" i="69"/>
  <c r="E8782" i="69"/>
  <c r="C8782" i="69"/>
  <c r="E8781" i="69"/>
  <c r="C8781" i="69"/>
  <c r="E8780" i="69"/>
  <c r="C8780" i="69"/>
  <c r="E8779" i="69"/>
  <c r="C8779" i="69"/>
  <c r="E8778" i="69"/>
  <c r="C8778" i="69"/>
  <c r="E8777" i="69"/>
  <c r="C8777" i="69"/>
  <c r="E8776" i="69"/>
  <c r="C8776" i="69"/>
  <c r="E8775" i="69"/>
  <c r="C8775" i="69"/>
  <c r="E8774" i="69"/>
  <c r="C8774" i="69"/>
  <c r="E8773" i="69"/>
  <c r="C8773" i="69"/>
  <c r="E8772" i="69"/>
  <c r="C8772" i="69"/>
  <c r="E8771" i="69"/>
  <c r="C8771" i="69"/>
  <c r="E8770" i="69"/>
  <c r="C8770" i="69"/>
  <c r="E8769" i="69"/>
  <c r="C8769" i="69"/>
  <c r="E8768" i="69"/>
  <c r="C8768" i="69"/>
  <c r="E8767" i="69"/>
  <c r="C8767" i="69"/>
  <c r="E8766" i="69"/>
  <c r="C8766" i="69"/>
  <c r="E8765" i="69"/>
  <c r="C8765" i="69"/>
  <c r="E8764" i="69"/>
  <c r="C8764" i="69"/>
  <c r="E8763" i="69"/>
  <c r="C8763" i="69"/>
  <c r="E8762" i="69"/>
  <c r="C8762" i="69"/>
  <c r="E8761" i="69"/>
  <c r="C8761" i="69"/>
  <c r="E8760" i="69"/>
  <c r="C8760" i="69"/>
  <c r="E8759" i="69"/>
  <c r="C8759" i="69"/>
  <c r="E8758" i="69"/>
  <c r="C8758" i="69"/>
  <c r="E8757" i="69"/>
  <c r="C8757" i="69"/>
  <c r="E8756" i="69"/>
  <c r="C8756" i="69"/>
  <c r="E8755" i="69"/>
  <c r="C8755" i="69"/>
  <c r="E8754" i="69"/>
  <c r="C8754" i="69"/>
  <c r="E8753" i="69"/>
  <c r="C8753" i="69"/>
  <c r="E8752" i="69"/>
  <c r="C8752" i="69"/>
  <c r="E8751" i="69"/>
  <c r="C8751" i="69"/>
  <c r="E8750" i="69"/>
  <c r="C8750" i="69"/>
  <c r="E8749" i="69"/>
  <c r="C8749" i="69"/>
  <c r="E8748" i="69"/>
  <c r="C8748" i="69"/>
  <c r="E8747" i="69"/>
  <c r="C8747" i="69"/>
  <c r="E8746" i="69"/>
  <c r="C8746" i="69"/>
  <c r="E8745" i="69"/>
  <c r="C8745" i="69"/>
  <c r="E8744" i="69"/>
  <c r="C8744" i="69"/>
  <c r="E8743" i="69"/>
  <c r="C8743" i="69"/>
  <c r="E8742" i="69"/>
  <c r="C8742" i="69"/>
  <c r="E8741" i="69"/>
  <c r="C8741" i="69"/>
  <c r="E8740" i="69"/>
  <c r="C8740" i="69"/>
  <c r="E8739" i="69"/>
  <c r="C8739" i="69"/>
  <c r="E8738" i="69"/>
  <c r="C8738" i="69"/>
  <c r="E8737" i="69"/>
  <c r="C8737" i="69"/>
  <c r="E8736" i="69"/>
  <c r="C8736" i="69"/>
  <c r="E8735" i="69"/>
  <c r="C8735" i="69"/>
  <c r="E8734" i="69"/>
  <c r="C8734" i="69"/>
  <c r="E8733" i="69"/>
  <c r="C8733" i="69"/>
  <c r="E8732" i="69"/>
  <c r="C8732" i="69"/>
  <c r="E8731" i="69"/>
  <c r="C8731" i="69"/>
  <c r="E8730" i="69"/>
  <c r="C8730" i="69"/>
  <c r="E8729" i="69"/>
  <c r="C8729" i="69"/>
  <c r="E8728" i="69"/>
  <c r="C8728" i="69"/>
  <c r="E8727" i="69"/>
  <c r="C8727" i="69"/>
  <c r="E8726" i="69"/>
  <c r="C8726" i="69"/>
  <c r="E8725" i="69"/>
  <c r="C8725" i="69"/>
  <c r="E8724" i="69"/>
  <c r="C8724" i="69"/>
  <c r="E8723" i="69"/>
  <c r="C8723" i="69"/>
  <c r="E8722" i="69"/>
  <c r="C8722" i="69"/>
  <c r="E8721" i="69"/>
  <c r="C8721" i="69"/>
  <c r="E8720" i="69"/>
  <c r="C8720" i="69"/>
  <c r="E8719" i="69"/>
  <c r="C8719" i="69"/>
  <c r="E8718" i="69"/>
  <c r="C8718" i="69"/>
  <c r="E8717" i="69"/>
  <c r="C8717" i="69"/>
  <c r="E8716" i="69"/>
  <c r="C8716" i="69"/>
  <c r="E8715" i="69"/>
  <c r="C8715" i="69"/>
  <c r="E8714" i="69"/>
  <c r="C8714" i="69"/>
  <c r="E8713" i="69"/>
  <c r="C8713" i="69"/>
  <c r="E8712" i="69"/>
  <c r="C8712" i="69"/>
  <c r="E8711" i="69"/>
  <c r="C8711" i="69"/>
  <c r="E8710" i="69"/>
  <c r="C8710" i="69"/>
  <c r="E8709" i="69"/>
  <c r="C8709" i="69"/>
  <c r="E8708" i="69"/>
  <c r="C8708" i="69"/>
  <c r="E8707" i="69"/>
  <c r="C8707" i="69"/>
  <c r="E8706" i="69"/>
  <c r="C8706" i="69"/>
  <c r="E8705" i="69"/>
  <c r="C8705" i="69"/>
  <c r="E8704" i="69"/>
  <c r="C8704" i="69"/>
  <c r="E8703" i="69"/>
  <c r="C8703" i="69"/>
  <c r="E8702" i="69"/>
  <c r="C8702" i="69"/>
  <c r="E8701" i="69"/>
  <c r="C8701" i="69"/>
  <c r="E8700" i="69"/>
  <c r="C8700" i="69"/>
  <c r="E8699" i="69"/>
  <c r="C8699" i="69"/>
  <c r="E8698" i="69"/>
  <c r="C8698" i="69"/>
  <c r="E8697" i="69"/>
  <c r="C8697" i="69"/>
  <c r="E8696" i="69"/>
  <c r="C8696" i="69"/>
  <c r="E8695" i="69"/>
  <c r="C8695" i="69"/>
  <c r="E8694" i="69"/>
  <c r="C8694" i="69"/>
  <c r="E8693" i="69"/>
  <c r="C8693" i="69"/>
  <c r="E8692" i="69"/>
  <c r="C8692" i="69"/>
  <c r="E8691" i="69"/>
  <c r="C8691" i="69"/>
  <c r="E8690" i="69"/>
  <c r="C8690" i="69"/>
  <c r="E8689" i="69"/>
  <c r="C8689" i="69"/>
  <c r="E8688" i="69"/>
  <c r="C8688" i="69"/>
  <c r="E8687" i="69"/>
  <c r="C8687" i="69"/>
  <c r="E8686" i="69"/>
  <c r="C8686" i="69"/>
  <c r="E8685" i="69"/>
  <c r="C8685" i="69"/>
  <c r="E8684" i="69"/>
  <c r="C8684" i="69"/>
  <c r="E8683" i="69"/>
  <c r="C8683" i="69"/>
  <c r="E8682" i="69"/>
  <c r="C8682" i="69"/>
  <c r="E8681" i="69"/>
  <c r="C8681" i="69"/>
  <c r="E8680" i="69"/>
  <c r="C8680" i="69"/>
  <c r="E8679" i="69"/>
  <c r="C8679" i="69"/>
  <c r="E8678" i="69"/>
  <c r="C8678" i="69"/>
  <c r="E8677" i="69"/>
  <c r="C8677" i="69"/>
  <c r="E8676" i="69"/>
  <c r="C8676" i="69"/>
  <c r="E8675" i="69"/>
  <c r="C8675" i="69"/>
  <c r="E8674" i="69"/>
  <c r="C8674" i="69"/>
  <c r="E8673" i="69"/>
  <c r="C8673" i="69"/>
  <c r="E8672" i="69"/>
  <c r="C8672" i="69"/>
  <c r="E8671" i="69"/>
  <c r="C8671" i="69"/>
  <c r="E8670" i="69"/>
  <c r="C8670" i="69"/>
  <c r="E8669" i="69"/>
  <c r="C8669" i="69"/>
  <c r="E8668" i="69"/>
  <c r="C8668" i="69"/>
  <c r="E8667" i="69"/>
  <c r="C8667" i="69"/>
  <c r="E8666" i="69"/>
  <c r="C8666" i="69"/>
  <c r="E8665" i="69"/>
  <c r="C8665" i="69"/>
  <c r="E8664" i="69"/>
  <c r="C8664" i="69"/>
  <c r="E8663" i="69"/>
  <c r="C8663" i="69"/>
  <c r="E8662" i="69"/>
  <c r="C8662" i="69"/>
  <c r="E8661" i="69"/>
  <c r="C8661" i="69"/>
  <c r="E8660" i="69"/>
  <c r="C8660" i="69"/>
  <c r="E8659" i="69"/>
  <c r="C8659" i="69"/>
  <c r="E8658" i="69"/>
  <c r="C8658" i="69"/>
  <c r="E8657" i="69"/>
  <c r="C8657" i="69"/>
  <c r="E8656" i="69"/>
  <c r="C8656" i="69"/>
  <c r="E8655" i="69"/>
  <c r="C8655" i="69"/>
  <c r="E8654" i="69"/>
  <c r="C8654" i="69"/>
  <c r="E8653" i="69"/>
  <c r="C8653" i="69"/>
  <c r="E8652" i="69"/>
  <c r="C8652" i="69"/>
  <c r="E8651" i="69"/>
  <c r="C8651" i="69"/>
  <c r="E8650" i="69"/>
  <c r="C8650" i="69"/>
  <c r="E8649" i="69"/>
  <c r="C8649" i="69"/>
  <c r="E8648" i="69"/>
  <c r="C8648" i="69"/>
  <c r="E8647" i="69"/>
  <c r="C8647" i="69"/>
  <c r="E8646" i="69"/>
  <c r="C8646" i="69"/>
  <c r="E8645" i="69"/>
  <c r="C8645" i="69"/>
  <c r="E8644" i="69"/>
  <c r="C8644" i="69"/>
  <c r="E8643" i="69"/>
  <c r="C8643" i="69"/>
  <c r="E8642" i="69"/>
  <c r="C8642" i="69"/>
  <c r="E8641" i="69"/>
  <c r="C8641" i="69"/>
  <c r="E8640" i="69"/>
  <c r="C8640" i="69"/>
  <c r="E8639" i="69"/>
  <c r="C8639" i="69"/>
  <c r="E8638" i="69"/>
  <c r="C8638" i="69"/>
  <c r="E8637" i="69"/>
  <c r="C8637" i="69"/>
  <c r="E8636" i="69"/>
  <c r="C8636" i="69"/>
  <c r="E8635" i="69"/>
  <c r="C8635" i="69"/>
  <c r="E8634" i="69"/>
  <c r="C8634" i="69"/>
  <c r="E8633" i="69"/>
  <c r="C8633" i="69"/>
  <c r="E8632" i="69"/>
  <c r="C8632" i="69"/>
  <c r="E8631" i="69"/>
  <c r="C8631" i="69"/>
  <c r="E8630" i="69"/>
  <c r="C8630" i="69"/>
  <c r="E8629" i="69"/>
  <c r="C8629" i="69"/>
  <c r="E8628" i="69"/>
  <c r="C8628" i="69"/>
  <c r="E8627" i="69"/>
  <c r="C8627" i="69"/>
  <c r="E8626" i="69"/>
  <c r="C8626" i="69"/>
  <c r="E8625" i="69"/>
  <c r="C8625" i="69"/>
  <c r="E8624" i="69"/>
  <c r="C8624" i="69"/>
  <c r="E8623" i="69"/>
  <c r="C8623" i="69"/>
  <c r="E8622" i="69"/>
  <c r="C8622" i="69"/>
  <c r="E8621" i="69"/>
  <c r="C8621" i="69"/>
  <c r="E8620" i="69"/>
  <c r="C8620" i="69"/>
  <c r="E8619" i="69"/>
  <c r="C8619" i="69"/>
  <c r="E8618" i="69"/>
  <c r="C8618" i="69"/>
  <c r="E8617" i="69"/>
  <c r="C8617" i="69"/>
  <c r="E8616" i="69"/>
  <c r="C8616" i="69"/>
  <c r="E8615" i="69"/>
  <c r="C8615" i="69"/>
  <c r="E8614" i="69"/>
  <c r="C8614" i="69"/>
  <c r="E8613" i="69"/>
  <c r="C8613" i="69"/>
  <c r="E8612" i="69"/>
  <c r="C8612" i="69"/>
  <c r="E8611" i="69"/>
  <c r="C8611" i="69"/>
  <c r="E8610" i="69"/>
  <c r="C8610" i="69"/>
  <c r="E8609" i="69"/>
  <c r="C8609" i="69"/>
  <c r="E8608" i="69"/>
  <c r="C8608" i="69"/>
  <c r="E8607" i="69"/>
  <c r="C8607" i="69"/>
  <c r="E8606" i="69"/>
  <c r="C8606" i="69"/>
  <c r="E8605" i="69"/>
  <c r="C8605" i="69"/>
  <c r="E8604" i="69"/>
  <c r="C8604" i="69"/>
  <c r="E8603" i="69"/>
  <c r="C8603" i="69"/>
  <c r="E8602" i="69"/>
  <c r="C8602" i="69"/>
  <c r="E8601" i="69"/>
  <c r="C8601" i="69"/>
  <c r="E8600" i="69"/>
  <c r="C8600" i="69"/>
  <c r="E8599" i="69"/>
  <c r="C8599" i="69"/>
  <c r="E8598" i="69"/>
  <c r="C8598" i="69"/>
  <c r="E8597" i="69"/>
  <c r="C8597" i="69"/>
  <c r="E8596" i="69"/>
  <c r="C8596" i="69"/>
  <c r="E8595" i="69"/>
  <c r="C8595" i="69"/>
  <c r="E8594" i="69"/>
  <c r="C8594" i="69"/>
  <c r="E8593" i="69"/>
  <c r="C8593" i="69"/>
  <c r="E8592" i="69"/>
  <c r="C8592" i="69"/>
  <c r="E8591" i="69"/>
  <c r="C8591" i="69"/>
  <c r="E8590" i="69"/>
  <c r="C8590" i="69"/>
  <c r="E8589" i="69"/>
  <c r="C8589" i="69"/>
  <c r="E8588" i="69"/>
  <c r="C8588" i="69"/>
  <c r="E8587" i="69"/>
  <c r="C8587" i="69"/>
  <c r="E8586" i="69"/>
  <c r="C8586" i="69"/>
  <c r="E8585" i="69"/>
  <c r="C8585" i="69"/>
  <c r="E8584" i="69"/>
  <c r="C8584" i="69"/>
  <c r="E8583" i="69"/>
  <c r="C8583" i="69"/>
  <c r="E8582" i="69"/>
  <c r="C8582" i="69"/>
  <c r="E8581" i="69"/>
  <c r="C8581" i="69"/>
  <c r="E8580" i="69"/>
  <c r="C8580" i="69"/>
  <c r="E8579" i="69"/>
  <c r="C8579" i="69"/>
  <c r="E8578" i="69"/>
  <c r="C8578" i="69"/>
  <c r="E8577" i="69"/>
  <c r="C8577" i="69"/>
  <c r="E8576" i="69"/>
  <c r="C8576" i="69"/>
  <c r="E8575" i="69"/>
  <c r="C8575" i="69"/>
  <c r="E8574" i="69"/>
  <c r="C8574" i="69"/>
  <c r="E8573" i="69"/>
  <c r="C8573" i="69"/>
  <c r="E8572" i="69"/>
  <c r="C8572" i="69"/>
  <c r="E8571" i="69"/>
  <c r="C8571" i="69"/>
  <c r="E8570" i="69"/>
  <c r="C8570" i="69"/>
  <c r="E8569" i="69"/>
  <c r="C8569" i="69"/>
  <c r="E8568" i="69"/>
  <c r="C8568" i="69"/>
  <c r="E8567" i="69"/>
  <c r="C8567" i="69"/>
  <c r="E8566" i="69"/>
  <c r="C8566" i="69"/>
  <c r="E8565" i="69"/>
  <c r="C8565" i="69"/>
  <c r="E8564" i="69"/>
  <c r="C8564" i="69"/>
  <c r="E8563" i="69"/>
  <c r="C8563" i="69"/>
  <c r="E8562" i="69"/>
  <c r="C8562" i="69"/>
  <c r="E8561" i="69"/>
  <c r="C8561" i="69"/>
  <c r="E8560" i="69"/>
  <c r="C8560" i="69"/>
  <c r="E8559" i="69"/>
  <c r="C8559" i="69"/>
  <c r="E8558" i="69"/>
  <c r="C8558" i="69"/>
  <c r="E8557" i="69"/>
  <c r="C8557" i="69"/>
  <c r="E8556" i="69"/>
  <c r="C8556" i="69"/>
  <c r="E8555" i="69"/>
  <c r="C8555" i="69"/>
  <c r="E8554" i="69"/>
  <c r="C8554" i="69"/>
  <c r="E8553" i="69"/>
  <c r="C8553" i="69"/>
  <c r="E8552" i="69"/>
  <c r="C8552" i="69"/>
  <c r="E8551" i="69"/>
  <c r="C8551" i="69"/>
  <c r="E8550" i="69"/>
  <c r="C8550" i="69"/>
  <c r="E8549" i="69"/>
  <c r="C8549" i="69"/>
  <c r="E8548" i="69"/>
  <c r="C8548" i="69"/>
  <c r="E8547" i="69"/>
  <c r="C8547" i="69"/>
  <c r="E8546" i="69"/>
  <c r="C8546" i="69"/>
  <c r="E8545" i="69"/>
  <c r="C8545" i="69"/>
  <c r="E8544" i="69"/>
  <c r="C8544" i="69"/>
  <c r="E8543" i="69"/>
  <c r="C8543" i="69"/>
  <c r="E8542" i="69"/>
  <c r="C8542" i="69"/>
  <c r="E8541" i="69"/>
  <c r="C8541" i="69"/>
  <c r="E8540" i="69"/>
  <c r="C8540" i="69"/>
  <c r="E8539" i="69"/>
  <c r="C8539" i="69"/>
  <c r="E8538" i="69"/>
  <c r="C8538" i="69"/>
  <c r="E8537" i="69"/>
  <c r="C8537" i="69"/>
  <c r="E8536" i="69"/>
  <c r="C8536" i="69"/>
  <c r="E8535" i="69"/>
  <c r="C8535" i="69"/>
  <c r="E8534" i="69"/>
  <c r="C8534" i="69"/>
  <c r="E8533" i="69"/>
  <c r="C8533" i="69"/>
  <c r="E8532" i="69"/>
  <c r="C8532" i="69"/>
  <c r="E8531" i="69"/>
  <c r="C8531" i="69"/>
  <c r="E8530" i="69"/>
  <c r="C8530" i="69"/>
  <c r="E8529" i="69"/>
  <c r="C8529" i="69"/>
  <c r="E8528" i="69"/>
  <c r="C8528" i="69"/>
  <c r="E8527" i="69"/>
  <c r="C8527" i="69"/>
  <c r="E8526" i="69"/>
  <c r="C8526" i="69"/>
  <c r="E8525" i="69"/>
  <c r="C8525" i="69"/>
  <c r="E8524" i="69"/>
  <c r="C8524" i="69"/>
  <c r="E8523" i="69"/>
  <c r="C8523" i="69"/>
  <c r="E8522" i="69"/>
  <c r="C8522" i="69"/>
  <c r="E8521" i="69"/>
  <c r="C8521" i="69"/>
  <c r="E8520" i="69"/>
  <c r="C8520" i="69"/>
  <c r="E8519" i="69"/>
  <c r="C8519" i="69"/>
  <c r="E8518" i="69"/>
  <c r="C8518" i="69"/>
  <c r="E8517" i="69"/>
  <c r="C8517" i="69"/>
  <c r="E8516" i="69"/>
  <c r="C8516" i="69"/>
  <c r="E8515" i="69"/>
  <c r="C8515" i="69"/>
  <c r="E8514" i="69"/>
  <c r="C8514" i="69"/>
  <c r="E8513" i="69"/>
  <c r="C8513" i="69"/>
  <c r="E8512" i="69"/>
  <c r="C8512" i="69"/>
  <c r="E8511" i="69"/>
  <c r="C8511" i="69"/>
  <c r="E8510" i="69"/>
  <c r="C8510" i="69"/>
  <c r="E8509" i="69"/>
  <c r="C8509" i="69"/>
  <c r="E8508" i="69"/>
  <c r="C8508" i="69"/>
  <c r="E8507" i="69"/>
  <c r="C8507" i="69"/>
  <c r="E8506" i="69"/>
  <c r="C8506" i="69"/>
  <c r="E8505" i="69"/>
  <c r="C8505" i="69"/>
  <c r="E8504" i="69"/>
  <c r="C8504" i="69"/>
  <c r="E8503" i="69"/>
  <c r="C8503" i="69"/>
  <c r="E8502" i="69"/>
  <c r="C8502" i="69"/>
  <c r="E8501" i="69"/>
  <c r="C8501" i="69"/>
  <c r="E8500" i="69"/>
  <c r="C8500" i="69"/>
  <c r="E8499" i="69"/>
  <c r="C8499" i="69"/>
  <c r="E8498" i="69"/>
  <c r="C8498" i="69"/>
  <c r="E8497" i="69"/>
  <c r="C8497" i="69"/>
  <c r="E8496" i="69"/>
  <c r="C8496" i="69"/>
  <c r="E8495" i="69"/>
  <c r="C8495" i="69"/>
  <c r="E8494" i="69"/>
  <c r="C8494" i="69"/>
  <c r="E8493" i="69"/>
  <c r="C8493" i="69"/>
  <c r="E8492" i="69"/>
  <c r="C8492" i="69"/>
  <c r="E8491" i="69"/>
  <c r="C8491" i="69"/>
  <c r="E8490" i="69"/>
  <c r="C8490" i="69"/>
  <c r="E8489" i="69"/>
  <c r="C8489" i="69"/>
  <c r="E8488" i="69"/>
  <c r="C8488" i="69"/>
  <c r="E8487" i="69"/>
  <c r="C8487" i="69"/>
  <c r="E8486" i="69"/>
  <c r="C8486" i="69"/>
  <c r="E8485" i="69"/>
  <c r="C8485" i="69"/>
  <c r="E8484" i="69"/>
  <c r="C8484" i="69"/>
  <c r="E8483" i="69"/>
  <c r="C8483" i="69"/>
  <c r="E8482" i="69"/>
  <c r="C8482" i="69"/>
  <c r="E8481" i="69"/>
  <c r="C8481" i="69"/>
  <c r="E8480" i="69"/>
  <c r="C8480" i="69"/>
  <c r="E8479" i="69"/>
  <c r="C8479" i="69"/>
  <c r="E8478" i="69"/>
  <c r="C8478" i="69"/>
  <c r="E8477" i="69"/>
  <c r="C8477" i="69"/>
  <c r="E8476" i="69"/>
  <c r="C8476" i="69"/>
  <c r="E8475" i="69"/>
  <c r="C8475" i="69"/>
  <c r="E8474" i="69"/>
  <c r="C8474" i="69"/>
  <c r="E8473" i="69"/>
  <c r="C8473" i="69"/>
  <c r="E8472" i="69"/>
  <c r="C8472" i="69"/>
  <c r="E8471" i="69"/>
  <c r="C8471" i="69"/>
  <c r="E8470" i="69"/>
  <c r="C8470" i="69"/>
  <c r="E8469" i="69"/>
  <c r="C8469" i="69"/>
  <c r="E8468" i="69"/>
  <c r="C8468" i="69"/>
  <c r="E8467" i="69"/>
  <c r="C8467" i="69"/>
  <c r="E8466" i="69"/>
  <c r="C8466" i="69"/>
  <c r="E8465" i="69"/>
  <c r="C8465" i="69"/>
  <c r="E8464" i="69"/>
  <c r="C8464" i="69"/>
  <c r="E8463" i="69"/>
  <c r="C8463" i="69"/>
  <c r="E8462" i="69"/>
  <c r="C8462" i="69"/>
  <c r="E8461" i="69"/>
  <c r="C8461" i="69"/>
  <c r="E8460" i="69"/>
  <c r="C8460" i="69"/>
  <c r="E8459" i="69"/>
  <c r="C8459" i="69"/>
  <c r="E8458" i="69"/>
  <c r="C8458" i="69"/>
  <c r="E8457" i="69"/>
  <c r="C8457" i="69"/>
  <c r="E8456" i="69"/>
  <c r="C8456" i="69"/>
  <c r="E8455" i="69"/>
  <c r="C8455" i="69"/>
  <c r="E8454" i="69"/>
  <c r="C8454" i="69"/>
  <c r="E8453" i="69"/>
  <c r="C8453" i="69"/>
  <c r="E8452" i="69"/>
  <c r="C8452" i="69"/>
  <c r="E8451" i="69"/>
  <c r="C8451" i="69"/>
  <c r="E8450" i="69"/>
  <c r="C8450" i="69"/>
  <c r="E8449" i="69"/>
  <c r="C8449" i="69"/>
  <c r="E8448" i="69"/>
  <c r="C8448" i="69"/>
  <c r="E8447" i="69"/>
  <c r="C8447" i="69"/>
  <c r="E8446" i="69"/>
  <c r="C8446" i="69"/>
  <c r="E8445" i="69"/>
  <c r="C8445" i="69"/>
  <c r="E8444" i="69"/>
  <c r="C8444" i="69"/>
  <c r="E8443" i="69"/>
  <c r="C8443" i="69"/>
  <c r="E8442" i="69"/>
  <c r="C8442" i="69"/>
  <c r="E8441" i="69"/>
  <c r="C8441" i="69"/>
  <c r="E8440" i="69"/>
  <c r="C8440" i="69"/>
  <c r="E8439" i="69"/>
  <c r="C8439" i="69"/>
  <c r="E8438" i="69"/>
  <c r="C8438" i="69"/>
  <c r="E8437" i="69"/>
  <c r="C8437" i="69"/>
  <c r="E8436" i="69"/>
  <c r="C8436" i="69"/>
  <c r="E8435" i="69"/>
  <c r="C8435" i="69"/>
  <c r="E8434" i="69"/>
  <c r="C8434" i="69"/>
  <c r="E8433" i="69"/>
  <c r="C8433" i="69"/>
  <c r="E8432" i="69"/>
  <c r="C8432" i="69"/>
  <c r="E8431" i="69"/>
  <c r="C8431" i="69"/>
  <c r="E8430" i="69"/>
  <c r="C8430" i="69"/>
  <c r="E8429" i="69"/>
  <c r="C8429" i="69"/>
  <c r="E8428" i="69"/>
  <c r="C8428" i="69"/>
  <c r="E8427" i="69"/>
  <c r="C8427" i="69"/>
  <c r="E8426" i="69"/>
  <c r="C8426" i="69"/>
  <c r="E8425" i="69"/>
  <c r="C8425" i="69"/>
  <c r="E8424" i="69"/>
  <c r="C8424" i="69"/>
  <c r="E8423" i="69"/>
  <c r="C8423" i="69"/>
  <c r="E8422" i="69"/>
  <c r="C8422" i="69"/>
  <c r="E8421" i="69"/>
  <c r="C8421" i="69"/>
  <c r="E8420" i="69"/>
  <c r="C8420" i="69"/>
  <c r="E8419" i="69"/>
  <c r="C8419" i="69"/>
  <c r="E8418" i="69"/>
  <c r="C8418" i="69"/>
  <c r="E8417" i="69"/>
  <c r="C8417" i="69"/>
  <c r="E8416" i="69"/>
  <c r="C8416" i="69"/>
  <c r="E8415" i="69"/>
  <c r="C8415" i="69"/>
  <c r="E8414" i="69"/>
  <c r="C8414" i="69"/>
  <c r="E8413" i="69"/>
  <c r="C8413" i="69"/>
  <c r="E8412" i="69"/>
  <c r="C8412" i="69"/>
  <c r="E8411" i="69"/>
  <c r="C8411" i="69"/>
  <c r="E8410" i="69"/>
  <c r="C8410" i="69"/>
  <c r="E8409" i="69"/>
  <c r="C8409" i="69"/>
  <c r="E8408" i="69"/>
  <c r="C8408" i="69"/>
  <c r="E8407" i="69"/>
  <c r="C8407" i="69"/>
  <c r="E8406" i="69"/>
  <c r="C8406" i="69"/>
  <c r="E8405" i="69"/>
  <c r="C8405" i="69"/>
  <c r="E8404" i="69"/>
  <c r="C8404" i="69"/>
  <c r="E8403" i="69"/>
  <c r="C8403" i="69"/>
  <c r="E8402" i="69"/>
  <c r="C8402" i="69"/>
  <c r="E8401" i="69"/>
  <c r="C8401" i="69"/>
  <c r="E8400" i="69"/>
  <c r="C8400" i="69"/>
  <c r="E8399" i="69"/>
  <c r="C8399" i="69"/>
  <c r="E8398" i="69"/>
  <c r="C8398" i="69"/>
  <c r="E8397" i="69"/>
  <c r="C8397" i="69"/>
  <c r="E8396" i="69"/>
  <c r="C8396" i="69"/>
  <c r="E8395" i="69"/>
  <c r="C8395" i="69"/>
  <c r="E8394" i="69"/>
  <c r="C8394" i="69"/>
  <c r="E8393" i="69"/>
  <c r="C8393" i="69"/>
  <c r="E8392" i="69"/>
  <c r="C8392" i="69"/>
  <c r="E8391" i="69"/>
  <c r="C8391" i="69"/>
  <c r="E8390" i="69"/>
  <c r="C8390" i="69"/>
  <c r="E8389" i="69"/>
  <c r="C8389" i="69"/>
  <c r="E8388" i="69"/>
  <c r="C8388" i="69"/>
  <c r="E8387" i="69"/>
  <c r="C8387" i="69"/>
  <c r="E8386" i="69"/>
  <c r="C8386" i="69"/>
  <c r="E8385" i="69"/>
  <c r="C8385" i="69"/>
  <c r="E8384" i="69"/>
  <c r="C8384" i="69"/>
  <c r="E8383" i="69"/>
  <c r="C8383" i="69"/>
  <c r="E8382" i="69"/>
  <c r="C8382" i="69"/>
  <c r="E8381" i="69"/>
  <c r="C8381" i="69"/>
  <c r="E8380" i="69"/>
  <c r="C8380" i="69"/>
  <c r="E8379" i="69"/>
  <c r="C8379" i="69"/>
  <c r="E8378" i="69"/>
  <c r="C8378" i="69"/>
  <c r="E8377" i="69"/>
  <c r="C8377" i="69"/>
  <c r="E8376" i="69"/>
  <c r="C8376" i="69"/>
  <c r="E8375" i="69"/>
  <c r="C8375" i="69"/>
  <c r="E8374" i="69"/>
  <c r="C8374" i="69"/>
  <c r="E8373" i="69"/>
  <c r="C8373" i="69"/>
  <c r="E8372" i="69"/>
  <c r="C8372" i="69"/>
  <c r="E8371" i="69"/>
  <c r="C8371" i="69"/>
  <c r="E8370" i="69"/>
  <c r="C8370" i="69"/>
  <c r="E8369" i="69"/>
  <c r="C8369" i="69"/>
  <c r="E8368" i="69"/>
  <c r="C8368" i="69"/>
  <c r="E8367" i="69"/>
  <c r="C8367" i="69"/>
  <c r="E8366" i="69"/>
  <c r="C8366" i="69"/>
  <c r="E8365" i="69"/>
  <c r="C8365" i="69"/>
  <c r="E8364" i="69"/>
  <c r="C8364" i="69"/>
  <c r="E8363" i="69"/>
  <c r="C8363" i="69"/>
  <c r="E8362" i="69"/>
  <c r="C8362" i="69"/>
  <c r="E8361" i="69"/>
  <c r="C8361" i="69"/>
  <c r="E8360" i="69"/>
  <c r="C8360" i="69"/>
  <c r="E8359" i="69"/>
  <c r="C8359" i="69"/>
  <c r="E8358" i="69"/>
  <c r="C8358" i="69"/>
  <c r="E8357" i="69"/>
  <c r="C8357" i="69"/>
  <c r="E8356" i="69"/>
  <c r="C8356" i="69"/>
  <c r="E8355" i="69"/>
  <c r="C8355" i="69"/>
  <c r="E8354" i="69"/>
  <c r="C8354" i="69"/>
  <c r="E8353" i="69"/>
  <c r="C8353" i="69"/>
  <c r="E8352" i="69"/>
  <c r="C8352" i="69"/>
  <c r="E8351" i="69"/>
  <c r="C8351" i="69"/>
  <c r="E8350" i="69"/>
  <c r="C8350" i="69"/>
  <c r="E8349" i="69"/>
  <c r="C8349" i="69"/>
  <c r="E8348" i="69"/>
  <c r="C8348" i="69"/>
  <c r="E8347" i="69"/>
  <c r="C8347" i="69"/>
  <c r="E8346" i="69"/>
  <c r="C8346" i="69"/>
  <c r="E8345" i="69"/>
  <c r="C8345" i="69"/>
  <c r="E8344" i="69"/>
  <c r="C8344" i="69"/>
  <c r="E8343" i="69"/>
  <c r="C8343" i="69"/>
  <c r="E8342" i="69"/>
  <c r="C8342" i="69"/>
  <c r="E8341" i="69"/>
  <c r="C8341" i="69"/>
  <c r="E8340" i="69"/>
  <c r="C8340" i="69"/>
  <c r="E8339" i="69"/>
  <c r="C8339" i="69"/>
  <c r="E8338" i="69"/>
  <c r="C8338" i="69"/>
  <c r="E8337" i="69"/>
  <c r="C8337" i="69"/>
  <c r="E8336" i="69"/>
  <c r="C8336" i="69"/>
  <c r="E8335" i="69"/>
  <c r="C8335" i="69"/>
  <c r="E8334" i="69"/>
  <c r="C8334" i="69"/>
  <c r="E8333" i="69"/>
  <c r="C8333" i="69"/>
  <c r="E8332" i="69"/>
  <c r="C8332" i="69"/>
  <c r="E8331" i="69"/>
  <c r="C8331" i="69"/>
  <c r="E8330" i="69"/>
  <c r="C8330" i="69"/>
  <c r="E8329" i="69"/>
  <c r="C8329" i="69"/>
  <c r="E8328" i="69"/>
  <c r="C8328" i="69"/>
  <c r="E8327" i="69"/>
  <c r="C8327" i="69"/>
  <c r="E8326" i="69"/>
  <c r="C8326" i="69"/>
  <c r="E8325" i="69"/>
  <c r="C8325" i="69"/>
  <c r="E8324" i="69"/>
  <c r="C8324" i="69"/>
  <c r="E8323" i="69"/>
  <c r="C8323" i="69"/>
  <c r="E8322" i="69"/>
  <c r="C8322" i="69"/>
  <c r="E8321" i="69"/>
  <c r="C8321" i="69"/>
  <c r="E8320" i="69"/>
  <c r="C8320" i="69"/>
  <c r="E8319" i="69"/>
  <c r="C8319" i="69"/>
  <c r="E8318" i="69"/>
  <c r="C8318" i="69"/>
  <c r="E8317" i="69"/>
  <c r="C8317" i="69"/>
  <c r="E8316" i="69"/>
  <c r="C8316" i="69"/>
  <c r="E8315" i="69"/>
  <c r="C8315" i="69"/>
  <c r="E8314" i="69"/>
  <c r="C8314" i="69"/>
  <c r="E8313" i="69"/>
  <c r="C8313" i="69"/>
  <c r="E8312" i="69"/>
  <c r="C8312" i="69"/>
  <c r="E8311" i="69"/>
  <c r="C8311" i="69"/>
  <c r="E8310" i="69"/>
  <c r="C8310" i="69"/>
  <c r="E8309" i="69"/>
  <c r="C8309" i="69"/>
  <c r="E8308" i="69"/>
  <c r="C8308" i="69"/>
  <c r="E8307" i="69"/>
  <c r="C8307" i="69"/>
  <c r="E8306" i="69"/>
  <c r="C8306" i="69"/>
  <c r="E8305" i="69"/>
  <c r="C8305" i="69"/>
  <c r="E8304" i="69"/>
  <c r="C8304" i="69"/>
  <c r="E8303" i="69"/>
  <c r="C8303" i="69"/>
  <c r="E8302" i="69"/>
  <c r="C8302" i="69"/>
  <c r="E8301" i="69"/>
  <c r="C8301" i="69"/>
  <c r="E8300" i="69"/>
  <c r="C8300" i="69"/>
  <c r="E8299" i="69"/>
  <c r="C8299" i="69"/>
  <c r="E8298" i="69"/>
  <c r="C8298" i="69"/>
  <c r="E8297" i="69"/>
  <c r="C8297" i="69"/>
  <c r="E8296" i="69"/>
  <c r="C8296" i="69"/>
  <c r="E8295" i="69"/>
  <c r="C8295" i="69"/>
  <c r="E8294" i="69"/>
  <c r="C8294" i="69"/>
  <c r="E8293" i="69"/>
  <c r="C8293" i="69"/>
  <c r="E8292" i="69"/>
  <c r="C8292" i="69"/>
  <c r="E8291" i="69"/>
  <c r="C8291" i="69"/>
  <c r="E8290" i="69"/>
  <c r="C8290" i="69"/>
  <c r="E8289" i="69"/>
  <c r="C8289" i="69"/>
  <c r="E8288" i="69"/>
  <c r="C8288" i="69"/>
  <c r="E8287" i="69"/>
  <c r="C8287" i="69"/>
  <c r="E8286" i="69"/>
  <c r="C8286" i="69"/>
  <c r="E8285" i="69"/>
  <c r="C8285" i="69"/>
  <c r="E8284" i="69"/>
  <c r="C8284" i="69"/>
  <c r="E8283" i="69"/>
  <c r="C8283" i="69"/>
  <c r="E8282" i="69"/>
  <c r="C8282" i="69"/>
  <c r="E8281" i="69"/>
  <c r="C8281" i="69"/>
  <c r="E8280" i="69"/>
  <c r="C8280" i="69"/>
  <c r="E8279" i="69"/>
  <c r="C8279" i="69"/>
  <c r="E8278" i="69"/>
  <c r="C8278" i="69"/>
  <c r="E8277" i="69"/>
  <c r="C8277" i="69"/>
  <c r="E8276" i="69"/>
  <c r="C8276" i="69"/>
  <c r="E8275" i="69"/>
  <c r="C8275" i="69"/>
  <c r="E8274" i="69"/>
  <c r="C8274" i="69"/>
  <c r="E8273" i="69"/>
  <c r="C8273" i="69"/>
  <c r="E8272" i="69"/>
  <c r="C8272" i="69"/>
  <c r="E8271" i="69"/>
  <c r="C8271" i="69"/>
  <c r="E8270" i="69"/>
  <c r="C8270" i="69"/>
  <c r="E8269" i="69"/>
  <c r="C8269" i="69"/>
  <c r="E8268" i="69"/>
  <c r="C8268" i="69"/>
  <c r="E8267" i="69"/>
  <c r="C8267" i="69"/>
  <c r="E8266" i="69"/>
  <c r="C8266" i="69"/>
  <c r="E8265" i="69"/>
  <c r="C8265" i="69"/>
  <c r="E8264" i="69"/>
  <c r="C8264" i="69"/>
  <c r="E8263" i="69"/>
  <c r="C8263" i="69"/>
  <c r="E8262" i="69"/>
  <c r="C8262" i="69"/>
  <c r="E8261" i="69"/>
  <c r="C8261" i="69"/>
  <c r="E8260" i="69"/>
  <c r="C8260" i="69"/>
  <c r="E8259" i="69"/>
  <c r="C8259" i="69"/>
  <c r="E8258" i="69"/>
  <c r="C8258" i="69"/>
  <c r="E8257" i="69"/>
  <c r="C8257" i="69"/>
  <c r="E8256" i="69"/>
  <c r="C8256" i="69"/>
  <c r="E8255" i="69"/>
  <c r="C8255" i="69"/>
  <c r="E8254" i="69"/>
  <c r="C8254" i="69"/>
  <c r="E8253" i="69"/>
  <c r="C8253" i="69"/>
  <c r="E8252" i="69"/>
  <c r="C8252" i="69"/>
  <c r="E8251" i="69"/>
  <c r="C8251" i="69"/>
  <c r="E8250" i="69"/>
  <c r="C8250" i="69"/>
  <c r="E8249" i="69"/>
  <c r="C8249" i="69"/>
  <c r="E8248" i="69"/>
  <c r="C8248" i="69"/>
  <c r="E8247" i="69"/>
  <c r="C8247" i="69"/>
  <c r="E8246" i="69"/>
  <c r="C8246" i="69"/>
  <c r="E8245" i="69"/>
  <c r="C8245" i="69"/>
  <c r="E8244" i="69"/>
  <c r="C8244" i="69"/>
  <c r="E8243" i="69"/>
  <c r="C8243" i="69"/>
  <c r="E8242" i="69"/>
  <c r="C8242" i="69"/>
  <c r="E8241" i="69"/>
  <c r="C8241" i="69"/>
  <c r="E8240" i="69"/>
  <c r="C8240" i="69"/>
  <c r="E8239" i="69"/>
  <c r="C8239" i="69"/>
  <c r="E8238" i="69"/>
  <c r="C8238" i="69"/>
  <c r="E8237" i="69"/>
  <c r="C8237" i="69"/>
  <c r="E8236" i="69"/>
  <c r="C8236" i="69"/>
  <c r="E8235" i="69"/>
  <c r="C8235" i="69"/>
  <c r="E8234" i="69"/>
  <c r="C8234" i="69"/>
  <c r="E8233" i="69"/>
  <c r="C8233" i="69"/>
  <c r="E8232" i="69"/>
  <c r="C8232" i="69"/>
  <c r="E8231" i="69"/>
  <c r="C8231" i="69"/>
  <c r="E8230" i="69"/>
  <c r="C8230" i="69"/>
  <c r="E8229" i="69"/>
  <c r="C8229" i="69"/>
  <c r="E8228" i="69"/>
  <c r="C8228" i="69"/>
  <c r="E8227" i="69"/>
  <c r="C8227" i="69"/>
  <c r="E8226" i="69"/>
  <c r="C8226" i="69"/>
  <c r="E8225" i="69"/>
  <c r="C8225" i="69"/>
  <c r="E8224" i="69"/>
  <c r="C8224" i="69"/>
  <c r="E8223" i="69"/>
  <c r="C8223" i="69"/>
  <c r="E8222" i="69"/>
  <c r="C8222" i="69"/>
  <c r="E8221" i="69"/>
  <c r="C8221" i="69"/>
  <c r="E8220" i="69"/>
  <c r="C8220" i="69"/>
  <c r="E8219" i="69"/>
  <c r="C8219" i="69"/>
  <c r="E8218" i="69"/>
  <c r="C8218" i="69"/>
  <c r="E8217" i="69"/>
  <c r="C8217" i="69"/>
  <c r="E8216" i="69"/>
  <c r="C8216" i="69"/>
  <c r="E8215" i="69"/>
  <c r="C8215" i="69"/>
  <c r="E8214" i="69"/>
  <c r="C8214" i="69"/>
  <c r="E8213" i="69"/>
  <c r="C8213" i="69"/>
  <c r="E8212" i="69"/>
  <c r="C8212" i="69"/>
  <c r="E8211" i="69"/>
  <c r="C8211" i="69"/>
  <c r="E8210" i="69"/>
  <c r="C8210" i="69"/>
  <c r="E8209" i="69"/>
  <c r="C8209" i="69"/>
  <c r="E8208" i="69"/>
  <c r="C8208" i="69"/>
  <c r="E8207" i="69"/>
  <c r="C8207" i="69"/>
  <c r="E8206" i="69"/>
  <c r="C8206" i="69"/>
  <c r="E8205" i="69"/>
  <c r="C8205" i="69"/>
  <c r="E8204" i="69"/>
  <c r="C8204" i="69"/>
  <c r="E8203" i="69"/>
  <c r="C8203" i="69"/>
  <c r="E8202" i="69"/>
  <c r="C8202" i="69"/>
  <c r="E8201" i="69"/>
  <c r="C8201" i="69"/>
  <c r="E8200" i="69"/>
  <c r="C8200" i="69"/>
  <c r="E8199" i="69"/>
  <c r="C8199" i="69"/>
  <c r="E8198" i="69"/>
  <c r="C8198" i="69"/>
  <c r="E8197" i="69"/>
  <c r="C8197" i="69"/>
  <c r="E8196" i="69"/>
  <c r="C8196" i="69"/>
  <c r="E8195" i="69"/>
  <c r="C8195" i="69"/>
  <c r="E8194" i="69"/>
  <c r="C8194" i="69"/>
  <c r="E8193" i="69"/>
  <c r="C8193" i="69"/>
  <c r="E8192" i="69"/>
  <c r="C8192" i="69"/>
  <c r="E8191" i="69"/>
  <c r="C8191" i="69"/>
  <c r="E8190" i="69"/>
  <c r="C8190" i="69"/>
  <c r="E8189" i="69"/>
  <c r="C8189" i="69"/>
  <c r="E8188" i="69"/>
  <c r="C8188" i="69"/>
  <c r="E8187" i="69"/>
  <c r="C8187" i="69"/>
  <c r="E8186" i="69"/>
  <c r="C8186" i="69"/>
  <c r="E8185" i="69"/>
  <c r="C8185" i="69"/>
  <c r="E8184" i="69"/>
  <c r="C8184" i="69"/>
  <c r="E8183" i="69"/>
  <c r="C8183" i="69"/>
  <c r="E8182" i="69"/>
  <c r="C8182" i="69"/>
  <c r="E8181" i="69"/>
  <c r="C8181" i="69"/>
  <c r="E8180" i="69"/>
  <c r="C8180" i="69"/>
  <c r="E8179" i="69"/>
  <c r="C8179" i="69"/>
  <c r="E8178" i="69"/>
  <c r="C8178" i="69"/>
  <c r="E8177" i="69"/>
  <c r="C8177" i="69"/>
  <c r="E8176" i="69"/>
  <c r="C8176" i="69"/>
  <c r="E8175" i="69"/>
  <c r="C8175" i="69"/>
  <c r="E8174" i="69"/>
  <c r="C8174" i="69"/>
  <c r="E8173" i="69"/>
  <c r="C8173" i="69"/>
  <c r="E8172" i="69"/>
  <c r="C8172" i="69"/>
  <c r="E8171" i="69"/>
  <c r="C8171" i="69"/>
  <c r="E8170" i="69"/>
  <c r="C8170" i="69"/>
  <c r="E8169" i="69"/>
  <c r="C8169" i="69"/>
  <c r="E8168" i="69"/>
  <c r="C8168" i="69"/>
  <c r="E8167" i="69"/>
  <c r="C8167" i="69"/>
  <c r="E8166" i="69"/>
  <c r="C8166" i="69"/>
  <c r="E8165" i="69"/>
  <c r="C8165" i="69"/>
  <c r="E8164" i="69"/>
  <c r="C8164" i="69"/>
  <c r="E8163" i="69"/>
  <c r="C8163" i="69"/>
  <c r="E8162" i="69"/>
  <c r="C8162" i="69"/>
  <c r="E8161" i="69"/>
  <c r="C8161" i="69"/>
  <c r="E8160" i="69"/>
  <c r="C8160" i="69"/>
  <c r="E8159" i="69"/>
  <c r="C8159" i="69"/>
  <c r="E8158" i="69"/>
  <c r="C8158" i="69"/>
  <c r="E8157" i="69"/>
  <c r="C8157" i="69"/>
  <c r="E8156" i="69"/>
  <c r="C8156" i="69"/>
  <c r="E8155" i="69"/>
  <c r="C8155" i="69"/>
  <c r="E8154" i="69"/>
  <c r="C8154" i="69"/>
  <c r="E8153" i="69"/>
  <c r="C8153" i="69"/>
  <c r="E8152" i="69"/>
  <c r="C8152" i="69"/>
  <c r="E8151" i="69"/>
  <c r="C8151" i="69"/>
  <c r="E8150" i="69"/>
  <c r="C8150" i="69"/>
  <c r="E8149" i="69"/>
  <c r="C8149" i="69"/>
  <c r="E8148" i="69"/>
  <c r="C8148" i="69"/>
  <c r="E8147" i="69"/>
  <c r="C8147" i="69"/>
  <c r="E8146" i="69"/>
  <c r="C8146" i="69"/>
  <c r="E8145" i="69"/>
  <c r="C8145" i="69"/>
  <c r="E8144" i="69"/>
  <c r="C8144" i="69"/>
  <c r="E8143" i="69"/>
  <c r="C8143" i="69"/>
  <c r="E8142" i="69"/>
  <c r="C8142" i="69"/>
  <c r="E8141" i="69"/>
  <c r="C8141" i="69"/>
  <c r="E8140" i="69"/>
  <c r="C8140" i="69"/>
  <c r="E8139" i="69"/>
  <c r="C8139" i="69"/>
  <c r="E8138" i="69"/>
  <c r="C8138" i="69"/>
  <c r="E8137" i="69"/>
  <c r="C8137" i="69"/>
  <c r="E8136" i="69"/>
  <c r="C8136" i="69"/>
  <c r="E8135" i="69"/>
  <c r="C8135" i="69"/>
  <c r="E8134" i="69"/>
  <c r="C8134" i="69"/>
  <c r="E8133" i="69"/>
  <c r="C8133" i="69"/>
  <c r="E8132" i="69"/>
  <c r="C8132" i="69"/>
  <c r="E8131" i="69"/>
  <c r="C8131" i="69"/>
  <c r="E8130" i="69"/>
  <c r="C8130" i="69"/>
  <c r="E8129" i="69"/>
  <c r="C8129" i="69"/>
  <c r="E8128" i="69"/>
  <c r="C8128" i="69"/>
  <c r="E8127" i="69"/>
  <c r="C8127" i="69"/>
  <c r="E8126" i="69"/>
  <c r="C8126" i="69"/>
  <c r="E8125" i="69"/>
  <c r="C8125" i="69"/>
  <c r="E8124" i="69"/>
  <c r="C8124" i="69"/>
  <c r="E8123" i="69"/>
  <c r="C8123" i="69"/>
  <c r="E8122" i="69"/>
  <c r="C8122" i="69"/>
  <c r="E8121" i="69"/>
  <c r="C8121" i="69"/>
  <c r="E8120" i="69"/>
  <c r="C8120" i="69"/>
  <c r="E8119" i="69"/>
  <c r="C8119" i="69"/>
  <c r="E8118" i="69"/>
  <c r="C8118" i="69"/>
  <c r="E8117" i="69"/>
  <c r="C8117" i="69"/>
  <c r="E8116" i="69"/>
  <c r="C8116" i="69"/>
  <c r="E8115" i="69"/>
  <c r="C8115" i="69"/>
  <c r="E8114" i="69"/>
  <c r="C8114" i="69"/>
  <c r="E8113" i="69"/>
  <c r="C8113" i="69"/>
  <c r="E8112" i="69"/>
  <c r="C8112" i="69"/>
  <c r="E8111" i="69"/>
  <c r="C8111" i="69"/>
  <c r="E8110" i="69"/>
  <c r="C8110" i="69"/>
  <c r="E8109" i="69"/>
  <c r="C8109" i="69"/>
  <c r="E8108" i="69"/>
  <c r="C8108" i="69"/>
  <c r="E8107" i="69"/>
  <c r="C8107" i="69"/>
  <c r="E8106" i="69"/>
  <c r="C8106" i="69"/>
  <c r="E8105" i="69"/>
  <c r="C8105" i="69"/>
  <c r="E8104" i="69"/>
  <c r="C8104" i="69"/>
  <c r="E8103" i="69"/>
  <c r="C8103" i="69"/>
  <c r="E8102" i="69"/>
  <c r="C8102" i="69"/>
  <c r="E8101" i="69"/>
  <c r="C8101" i="69"/>
  <c r="E8100" i="69"/>
  <c r="C8100" i="69"/>
  <c r="E8099" i="69"/>
  <c r="C8099" i="69"/>
  <c r="E8098" i="69"/>
  <c r="C8098" i="69"/>
  <c r="E8097" i="69"/>
  <c r="C8097" i="69"/>
  <c r="E8096" i="69"/>
  <c r="C8096" i="69"/>
  <c r="E8095" i="69"/>
  <c r="C8095" i="69"/>
  <c r="E8094" i="69"/>
  <c r="C8094" i="69"/>
  <c r="E8093" i="69"/>
  <c r="C8093" i="69"/>
  <c r="E8092" i="69"/>
  <c r="C8092" i="69"/>
  <c r="E8091" i="69"/>
  <c r="C8091" i="69"/>
  <c r="E8090" i="69"/>
  <c r="C8090" i="69"/>
  <c r="E8089" i="69"/>
  <c r="C8089" i="69"/>
  <c r="E8088" i="69"/>
  <c r="C8088" i="69"/>
  <c r="E8087" i="69"/>
  <c r="C8087" i="69"/>
  <c r="E8086" i="69"/>
  <c r="C8086" i="69"/>
  <c r="E8085" i="69"/>
  <c r="C8085" i="69"/>
  <c r="E8084" i="69"/>
  <c r="C8084" i="69"/>
  <c r="E8083" i="69"/>
  <c r="C8083" i="69"/>
  <c r="E8082" i="69"/>
  <c r="C8082" i="69"/>
  <c r="E8081" i="69"/>
  <c r="C8081" i="69"/>
  <c r="E8080" i="69"/>
  <c r="C8080" i="69"/>
  <c r="E8079" i="69"/>
  <c r="C8079" i="69"/>
  <c r="E8078" i="69"/>
  <c r="C8078" i="69"/>
  <c r="E8077" i="69"/>
  <c r="C8077" i="69"/>
  <c r="E8076" i="69"/>
  <c r="C8076" i="69"/>
  <c r="E8075" i="69"/>
  <c r="C8075" i="69"/>
  <c r="E8074" i="69"/>
  <c r="C8074" i="69"/>
  <c r="E8073" i="69"/>
  <c r="C8073" i="69"/>
  <c r="E8072" i="69"/>
  <c r="C8072" i="69"/>
  <c r="E8071" i="69"/>
  <c r="C8071" i="69"/>
  <c r="E8070" i="69"/>
  <c r="C8070" i="69"/>
  <c r="E8069" i="69"/>
  <c r="C8069" i="69"/>
  <c r="E8068" i="69"/>
  <c r="C8068" i="69"/>
  <c r="E8067" i="69"/>
  <c r="C8067" i="69"/>
  <c r="E8066" i="69"/>
  <c r="C8066" i="69"/>
  <c r="E8065" i="69"/>
  <c r="C8065" i="69"/>
  <c r="E8064" i="69"/>
  <c r="C8064" i="69"/>
  <c r="E8063" i="69"/>
  <c r="C8063" i="69"/>
  <c r="E8062" i="69"/>
  <c r="C8062" i="69"/>
  <c r="E8061" i="69"/>
  <c r="C8061" i="69"/>
  <c r="E8060" i="69"/>
  <c r="C8060" i="69"/>
  <c r="E8059" i="69"/>
  <c r="C8059" i="69"/>
  <c r="E8058" i="69"/>
  <c r="C8058" i="69"/>
  <c r="E8057" i="69"/>
  <c r="C8057" i="69"/>
  <c r="E8056" i="69"/>
  <c r="C8056" i="69"/>
  <c r="E8055" i="69"/>
  <c r="C8055" i="69"/>
  <c r="E8054" i="69"/>
  <c r="C8054" i="69"/>
  <c r="E8053" i="69"/>
  <c r="C8053" i="69"/>
  <c r="E8052" i="69"/>
  <c r="C8052" i="69"/>
  <c r="E8051" i="69"/>
  <c r="C8051" i="69"/>
  <c r="E8050" i="69"/>
  <c r="C8050" i="69"/>
  <c r="E8049" i="69"/>
  <c r="C8049" i="69"/>
  <c r="E8048" i="69"/>
  <c r="C8048" i="69"/>
  <c r="E8047" i="69"/>
  <c r="C8047" i="69"/>
  <c r="E8046" i="69"/>
  <c r="C8046" i="69"/>
  <c r="E8045" i="69"/>
  <c r="C8045" i="69"/>
  <c r="E8044" i="69"/>
  <c r="C8044" i="69"/>
  <c r="E8043" i="69"/>
  <c r="C8043" i="69"/>
  <c r="E8042" i="69"/>
  <c r="C8042" i="69"/>
  <c r="E8041" i="69"/>
  <c r="C8041" i="69"/>
  <c r="E8040" i="69"/>
  <c r="C8040" i="69"/>
  <c r="E8039" i="69"/>
  <c r="C8039" i="69"/>
  <c r="E8038" i="69"/>
  <c r="C8038" i="69"/>
  <c r="E8037" i="69"/>
  <c r="C8037" i="69"/>
  <c r="E8036" i="69"/>
  <c r="C8036" i="69"/>
  <c r="E8035" i="69"/>
  <c r="C8035" i="69"/>
  <c r="E8034" i="69"/>
  <c r="C8034" i="69"/>
  <c r="E8033" i="69"/>
  <c r="C8033" i="69"/>
  <c r="E8032" i="69"/>
  <c r="C8032" i="69"/>
  <c r="E8031" i="69"/>
  <c r="C8031" i="69"/>
  <c r="E8030" i="69"/>
  <c r="C8030" i="69"/>
  <c r="E8029" i="69"/>
  <c r="C8029" i="69"/>
  <c r="E8028" i="69"/>
  <c r="C8028" i="69"/>
  <c r="E8027" i="69"/>
  <c r="C8027" i="69"/>
  <c r="E8026" i="69"/>
  <c r="C8026" i="69"/>
  <c r="E8025" i="69"/>
  <c r="C8025" i="69"/>
  <c r="E8024" i="69"/>
  <c r="C8024" i="69"/>
  <c r="E8023" i="69"/>
  <c r="C8023" i="69"/>
  <c r="E8022" i="69"/>
  <c r="C8022" i="69"/>
  <c r="E8021" i="69"/>
  <c r="C8021" i="69"/>
  <c r="E8020" i="69"/>
  <c r="C8020" i="69"/>
  <c r="E8019" i="69"/>
  <c r="C8019" i="69"/>
  <c r="E8018" i="69"/>
  <c r="C8018" i="69"/>
  <c r="E8017" i="69"/>
  <c r="C8017" i="69"/>
  <c r="E8016" i="69"/>
  <c r="C8016" i="69"/>
  <c r="E8015" i="69"/>
  <c r="C8015" i="69"/>
  <c r="E8014" i="69"/>
  <c r="C8014" i="69"/>
  <c r="E8013" i="69"/>
  <c r="C8013" i="69"/>
  <c r="E8012" i="69"/>
  <c r="C8012" i="69"/>
  <c r="E8011" i="69"/>
  <c r="C8011" i="69"/>
  <c r="E8010" i="69"/>
  <c r="C8010" i="69"/>
  <c r="E8009" i="69"/>
  <c r="C8009" i="69"/>
  <c r="E8008" i="69"/>
  <c r="C8008" i="69"/>
  <c r="E8007" i="69"/>
  <c r="C8007" i="69"/>
  <c r="E8006" i="69"/>
  <c r="C8006" i="69"/>
  <c r="E8005" i="69"/>
  <c r="C8005" i="69"/>
  <c r="E8004" i="69"/>
  <c r="C8004" i="69"/>
  <c r="E8003" i="69"/>
  <c r="C8003" i="69"/>
  <c r="E8002" i="69"/>
  <c r="C8002" i="69"/>
  <c r="E8001" i="69"/>
  <c r="C8001" i="69"/>
  <c r="E8000" i="69"/>
  <c r="C8000" i="69"/>
  <c r="E7999" i="69"/>
  <c r="C7999" i="69"/>
  <c r="E7998" i="69"/>
  <c r="C7998" i="69"/>
  <c r="E7997" i="69"/>
  <c r="C7997" i="69"/>
  <c r="E7996" i="69"/>
  <c r="C7996" i="69"/>
  <c r="E7995" i="69"/>
  <c r="C7995" i="69"/>
  <c r="E7994" i="69"/>
  <c r="C7994" i="69"/>
  <c r="E7993" i="69"/>
  <c r="C7993" i="69"/>
  <c r="E7992" i="69"/>
  <c r="C7992" i="69"/>
  <c r="E7991" i="69"/>
  <c r="C7991" i="69"/>
  <c r="E7990" i="69"/>
  <c r="C7990" i="69"/>
  <c r="E7989" i="69"/>
  <c r="C7989" i="69"/>
  <c r="E7988" i="69"/>
  <c r="C7988" i="69"/>
  <c r="E7987" i="69"/>
  <c r="C7987" i="69"/>
  <c r="E7986" i="69"/>
  <c r="C7986" i="69"/>
  <c r="E7985" i="69"/>
  <c r="C7985" i="69"/>
  <c r="E7984" i="69"/>
  <c r="C7984" i="69"/>
  <c r="E7983" i="69"/>
  <c r="C7983" i="69"/>
  <c r="E7982" i="69"/>
  <c r="C7982" i="69"/>
  <c r="E7981" i="69"/>
  <c r="C7981" i="69"/>
  <c r="E7980" i="69"/>
  <c r="C7980" i="69"/>
  <c r="E7979" i="69"/>
  <c r="C7979" i="69"/>
  <c r="E7978" i="69"/>
  <c r="C7978" i="69"/>
  <c r="E7977" i="69"/>
  <c r="C7977" i="69"/>
  <c r="E7976" i="69"/>
  <c r="C7976" i="69"/>
  <c r="E7975" i="69"/>
  <c r="C7975" i="69"/>
  <c r="E7974" i="69"/>
  <c r="C7974" i="69"/>
  <c r="E7973" i="69"/>
  <c r="C7973" i="69"/>
  <c r="E7972" i="69"/>
  <c r="C7972" i="69"/>
  <c r="E7971" i="69"/>
  <c r="C7971" i="69"/>
  <c r="E7970" i="69"/>
  <c r="C7970" i="69"/>
  <c r="E7969" i="69"/>
  <c r="C7969" i="69"/>
  <c r="E7968" i="69"/>
  <c r="C7968" i="69"/>
  <c r="E7967" i="69"/>
  <c r="C7967" i="69"/>
  <c r="E7966" i="69"/>
  <c r="C7966" i="69"/>
  <c r="E7965" i="69"/>
  <c r="C7965" i="69"/>
  <c r="E7964" i="69"/>
  <c r="C7964" i="69"/>
  <c r="E7963" i="69"/>
  <c r="C7963" i="69"/>
  <c r="E7962" i="69"/>
  <c r="C7962" i="69"/>
  <c r="E7961" i="69"/>
  <c r="C7961" i="69"/>
  <c r="E7960" i="69"/>
  <c r="C7960" i="69"/>
  <c r="E7959" i="69"/>
  <c r="C7959" i="69"/>
  <c r="E7958" i="69"/>
  <c r="C7958" i="69"/>
  <c r="E7957" i="69"/>
  <c r="C7957" i="69"/>
  <c r="E7956" i="69"/>
  <c r="C7956" i="69"/>
  <c r="E7955" i="69"/>
  <c r="C7955" i="69"/>
  <c r="E7954" i="69"/>
  <c r="C7954" i="69"/>
  <c r="E7953" i="69"/>
  <c r="C7953" i="69"/>
  <c r="E7952" i="69"/>
  <c r="C7952" i="69"/>
  <c r="E7951" i="69"/>
  <c r="C7951" i="69"/>
  <c r="E7950" i="69"/>
  <c r="C7950" i="69"/>
  <c r="E7949" i="69"/>
  <c r="C7949" i="69"/>
  <c r="E7948" i="69"/>
  <c r="C7948" i="69"/>
  <c r="E7947" i="69"/>
  <c r="C7947" i="69"/>
  <c r="E7946" i="69"/>
  <c r="C7946" i="69"/>
  <c r="E7945" i="69"/>
  <c r="C7945" i="69"/>
  <c r="E7944" i="69"/>
  <c r="C7944" i="69"/>
  <c r="E7943" i="69"/>
  <c r="C7943" i="69"/>
  <c r="E7942" i="69"/>
  <c r="C7942" i="69"/>
  <c r="E7941" i="69"/>
  <c r="C7941" i="69"/>
  <c r="E7940" i="69"/>
  <c r="C7940" i="69"/>
  <c r="E7939" i="69"/>
  <c r="C7939" i="69"/>
  <c r="E7938" i="69"/>
  <c r="C7938" i="69"/>
  <c r="E7937" i="69"/>
  <c r="C7937" i="69"/>
  <c r="E7936" i="69"/>
  <c r="C7936" i="69"/>
  <c r="E7935" i="69"/>
  <c r="C7935" i="69"/>
  <c r="E7934" i="69"/>
  <c r="C7934" i="69"/>
  <c r="E7933" i="69"/>
  <c r="C7933" i="69"/>
  <c r="E7932" i="69"/>
  <c r="C7932" i="69"/>
  <c r="E7931" i="69"/>
  <c r="C7931" i="69"/>
  <c r="E7930" i="69"/>
  <c r="C7930" i="69"/>
  <c r="E7929" i="69"/>
  <c r="C7929" i="69"/>
  <c r="E7928" i="69"/>
  <c r="C7928" i="69"/>
  <c r="E7927" i="69"/>
  <c r="C7927" i="69"/>
  <c r="E7926" i="69"/>
  <c r="C7926" i="69"/>
  <c r="E7925" i="69"/>
  <c r="C7925" i="69"/>
  <c r="E7924" i="69"/>
  <c r="C7924" i="69"/>
  <c r="E7923" i="69"/>
  <c r="C7923" i="69"/>
  <c r="E7922" i="69"/>
  <c r="C7922" i="69"/>
  <c r="E7921" i="69"/>
  <c r="C7921" i="69"/>
  <c r="E7920" i="69"/>
  <c r="C7920" i="69"/>
  <c r="E7919" i="69"/>
  <c r="C7919" i="69"/>
  <c r="E7918" i="69"/>
  <c r="C7918" i="69"/>
  <c r="E7917" i="69"/>
  <c r="C7917" i="69"/>
  <c r="E7916" i="69"/>
  <c r="C7916" i="69"/>
  <c r="E7915" i="69"/>
  <c r="C7915" i="69"/>
  <c r="E7914" i="69"/>
  <c r="C7914" i="69"/>
  <c r="E7913" i="69"/>
  <c r="C7913" i="69"/>
  <c r="E7912" i="69"/>
  <c r="C7912" i="69"/>
  <c r="E7911" i="69"/>
  <c r="C7911" i="69"/>
  <c r="E7910" i="69"/>
  <c r="C7910" i="69"/>
  <c r="E7909" i="69"/>
  <c r="C7909" i="69"/>
  <c r="E7908" i="69"/>
  <c r="C7908" i="69"/>
  <c r="E7907" i="69"/>
  <c r="C7907" i="69"/>
  <c r="E7906" i="69"/>
  <c r="C7906" i="69"/>
  <c r="E7905" i="69"/>
  <c r="C7905" i="69"/>
  <c r="E7904" i="69"/>
  <c r="C7904" i="69"/>
  <c r="E7903" i="69"/>
  <c r="C7903" i="69"/>
  <c r="E7902" i="69"/>
  <c r="C7902" i="69"/>
  <c r="E7901" i="69"/>
  <c r="C7901" i="69"/>
  <c r="E7900" i="69"/>
  <c r="C7900" i="69"/>
  <c r="E7899" i="69"/>
  <c r="C7899" i="69"/>
  <c r="E7898" i="69"/>
  <c r="C7898" i="69"/>
  <c r="E7897" i="69"/>
  <c r="C7897" i="69"/>
  <c r="E7896" i="69"/>
  <c r="C7896" i="69"/>
  <c r="E7895" i="69"/>
  <c r="C7895" i="69"/>
  <c r="E7894" i="69"/>
  <c r="C7894" i="69"/>
  <c r="E7893" i="69"/>
  <c r="C7893" i="69"/>
  <c r="E7892" i="69"/>
  <c r="C7892" i="69"/>
  <c r="E7891" i="69"/>
  <c r="C7891" i="69"/>
  <c r="E7890" i="69"/>
  <c r="C7890" i="69"/>
  <c r="E7889" i="69"/>
  <c r="C7889" i="69"/>
  <c r="E7888" i="69"/>
  <c r="C7888" i="69"/>
  <c r="E7887" i="69"/>
  <c r="C7887" i="69"/>
  <c r="E7886" i="69"/>
  <c r="C7886" i="69"/>
  <c r="E7885" i="69"/>
  <c r="C7885" i="69"/>
  <c r="E7884" i="69"/>
  <c r="C7884" i="69"/>
  <c r="E7883" i="69"/>
  <c r="C7883" i="69"/>
  <c r="E7882" i="69"/>
  <c r="C7882" i="69"/>
  <c r="E7881" i="69"/>
  <c r="C7881" i="69"/>
  <c r="E7880" i="69"/>
  <c r="C7880" i="69"/>
  <c r="E7879" i="69"/>
  <c r="C7879" i="69"/>
  <c r="E7878" i="69"/>
  <c r="C7878" i="69"/>
  <c r="E7877" i="69"/>
  <c r="C7877" i="69"/>
  <c r="E7876" i="69"/>
  <c r="C7876" i="69"/>
  <c r="E7875" i="69"/>
  <c r="C7875" i="69"/>
  <c r="E7874" i="69"/>
  <c r="C7874" i="69"/>
  <c r="E7873" i="69"/>
  <c r="C7873" i="69"/>
  <c r="E7872" i="69"/>
  <c r="C7872" i="69"/>
  <c r="E7871" i="69"/>
  <c r="C7871" i="69"/>
  <c r="E7870" i="69"/>
  <c r="C7870" i="69"/>
  <c r="E7869" i="69"/>
  <c r="C7869" i="69"/>
  <c r="E7868" i="69"/>
  <c r="C7868" i="69"/>
  <c r="E7867" i="69"/>
  <c r="C7867" i="69"/>
  <c r="E7866" i="69"/>
  <c r="C7866" i="69"/>
  <c r="E7865" i="69"/>
  <c r="C7865" i="69"/>
  <c r="E7864" i="69"/>
  <c r="C7864" i="69"/>
  <c r="E7863" i="69"/>
  <c r="C7863" i="69"/>
  <c r="E7862" i="69"/>
  <c r="C7862" i="69"/>
  <c r="E7861" i="69"/>
  <c r="C7861" i="69"/>
  <c r="E7860" i="69"/>
  <c r="C7860" i="69"/>
  <c r="E7859" i="69"/>
  <c r="C7859" i="69"/>
  <c r="E7858" i="69"/>
  <c r="C7858" i="69"/>
  <c r="E7857" i="69"/>
  <c r="C7857" i="69"/>
  <c r="E7856" i="69"/>
  <c r="C7856" i="69"/>
  <c r="E7855" i="69"/>
  <c r="C7855" i="69"/>
  <c r="E7854" i="69"/>
  <c r="C7854" i="69"/>
  <c r="E7853" i="69"/>
  <c r="C7853" i="69"/>
  <c r="E7852" i="69"/>
  <c r="C7852" i="69"/>
  <c r="E7851" i="69"/>
  <c r="C7851" i="69"/>
  <c r="E7850" i="69"/>
  <c r="C7850" i="69"/>
  <c r="E7849" i="69"/>
  <c r="C7849" i="69"/>
  <c r="E7848" i="69"/>
  <c r="C7848" i="69"/>
  <c r="E7847" i="69"/>
  <c r="C7847" i="69"/>
  <c r="E7846" i="69"/>
  <c r="C7846" i="69"/>
  <c r="E7845" i="69"/>
  <c r="C7845" i="69"/>
  <c r="E7844" i="69"/>
  <c r="C7844" i="69"/>
  <c r="E7843" i="69"/>
  <c r="C7843" i="69"/>
  <c r="E7842" i="69"/>
  <c r="C7842" i="69"/>
  <c r="E7841" i="69"/>
  <c r="C7841" i="69"/>
  <c r="E7840" i="69"/>
  <c r="C7840" i="69"/>
  <c r="E7839" i="69"/>
  <c r="C7839" i="69"/>
  <c r="E7838" i="69"/>
  <c r="C7838" i="69"/>
  <c r="E7837" i="69"/>
  <c r="C7837" i="69"/>
  <c r="E7836" i="69"/>
  <c r="C7836" i="69"/>
  <c r="E7835" i="69"/>
  <c r="C7835" i="69"/>
  <c r="E7834" i="69"/>
  <c r="C7834" i="69"/>
  <c r="E7833" i="69"/>
  <c r="C7833" i="69"/>
  <c r="E7832" i="69"/>
  <c r="C7832" i="69"/>
  <c r="E7831" i="69"/>
  <c r="C7831" i="69"/>
  <c r="E7830" i="69"/>
  <c r="C7830" i="69"/>
  <c r="E7829" i="69"/>
  <c r="C7829" i="69"/>
  <c r="E7828" i="69"/>
  <c r="C7828" i="69"/>
  <c r="E7827" i="69"/>
  <c r="C7827" i="69"/>
  <c r="E7826" i="69"/>
  <c r="C7826" i="69"/>
  <c r="E7825" i="69"/>
  <c r="C7825" i="69"/>
  <c r="E7824" i="69"/>
  <c r="C7824" i="69"/>
  <c r="E7823" i="69"/>
  <c r="C7823" i="69"/>
  <c r="E7822" i="69"/>
  <c r="C7822" i="69"/>
  <c r="E7821" i="69"/>
  <c r="C7821" i="69"/>
  <c r="E7820" i="69"/>
  <c r="C7820" i="69"/>
  <c r="E7819" i="69"/>
  <c r="C7819" i="69"/>
  <c r="E7818" i="69"/>
  <c r="C7818" i="69"/>
  <c r="E7817" i="69"/>
  <c r="C7817" i="69"/>
  <c r="E7816" i="69"/>
  <c r="C7816" i="69"/>
  <c r="E7815" i="69"/>
  <c r="C7815" i="69"/>
  <c r="E7814" i="69"/>
  <c r="C7814" i="69"/>
  <c r="E7813" i="69"/>
  <c r="C7813" i="69"/>
  <c r="E7812" i="69"/>
  <c r="C7812" i="69"/>
  <c r="E7811" i="69"/>
  <c r="C7811" i="69"/>
  <c r="E7810" i="69"/>
  <c r="C7810" i="69"/>
  <c r="E7809" i="69"/>
  <c r="C7809" i="69"/>
  <c r="E7808" i="69"/>
  <c r="C7808" i="69"/>
  <c r="E7807" i="69"/>
  <c r="C7807" i="69"/>
  <c r="E7806" i="69"/>
  <c r="C7806" i="69"/>
  <c r="E7805" i="69"/>
  <c r="C7805" i="69"/>
  <c r="E7804" i="69"/>
  <c r="C7804" i="69"/>
  <c r="E7803" i="69"/>
  <c r="C7803" i="69"/>
  <c r="E7802" i="69"/>
  <c r="C7802" i="69"/>
  <c r="E7801" i="69"/>
  <c r="C7801" i="69"/>
  <c r="E7800" i="69"/>
  <c r="C7800" i="69"/>
  <c r="E7799" i="69"/>
  <c r="C7799" i="69"/>
  <c r="E7798" i="69"/>
  <c r="C7798" i="69"/>
  <c r="E7797" i="69"/>
  <c r="C7797" i="69"/>
  <c r="E7796" i="69"/>
  <c r="C7796" i="69"/>
  <c r="E7795" i="69"/>
  <c r="C7795" i="69"/>
  <c r="E7794" i="69"/>
  <c r="C7794" i="69"/>
  <c r="E7793" i="69"/>
  <c r="C7793" i="69"/>
  <c r="E7792" i="69"/>
  <c r="C7792" i="69"/>
  <c r="E7791" i="69"/>
  <c r="C7791" i="69"/>
  <c r="E7790" i="69"/>
  <c r="C7790" i="69"/>
  <c r="E7789" i="69"/>
  <c r="C7789" i="69"/>
  <c r="E7788" i="69"/>
  <c r="C7788" i="69"/>
  <c r="E7787" i="69"/>
  <c r="C7787" i="69"/>
  <c r="E7786" i="69"/>
  <c r="C7786" i="69"/>
  <c r="E7785" i="69"/>
  <c r="C7785" i="69"/>
  <c r="E7784" i="69"/>
  <c r="C7784" i="69"/>
  <c r="E7783" i="69"/>
  <c r="C7783" i="69"/>
  <c r="E7782" i="69"/>
  <c r="C7782" i="69"/>
  <c r="E7781" i="69"/>
  <c r="C7781" i="69"/>
  <c r="E7780" i="69"/>
  <c r="C7780" i="69"/>
  <c r="E7779" i="69"/>
  <c r="C7779" i="69"/>
  <c r="E7778" i="69"/>
  <c r="C7778" i="69"/>
  <c r="E7777" i="69"/>
  <c r="C7777" i="69"/>
  <c r="E7776" i="69"/>
  <c r="C7776" i="69"/>
  <c r="E7775" i="69"/>
  <c r="C7775" i="69"/>
  <c r="E7774" i="69"/>
  <c r="C7774" i="69"/>
  <c r="E7773" i="69"/>
  <c r="C7773" i="69"/>
  <c r="E7772" i="69"/>
  <c r="C7772" i="69"/>
  <c r="E7771" i="69"/>
  <c r="C7771" i="69"/>
  <c r="E7770" i="69"/>
  <c r="C7770" i="69"/>
  <c r="E7769" i="69"/>
  <c r="C7769" i="69"/>
  <c r="E7768" i="69"/>
  <c r="C7768" i="69"/>
  <c r="E7767" i="69"/>
  <c r="C7767" i="69"/>
  <c r="E7766" i="69"/>
  <c r="C7766" i="69"/>
  <c r="E7765" i="69"/>
  <c r="C7765" i="69"/>
  <c r="E7764" i="69"/>
  <c r="C7764" i="69"/>
  <c r="E7763" i="69"/>
  <c r="C7763" i="69"/>
  <c r="E7762" i="69"/>
  <c r="C7762" i="69"/>
  <c r="E7761" i="69"/>
  <c r="C7761" i="69"/>
  <c r="E7760" i="69"/>
  <c r="C7760" i="69"/>
  <c r="E7759" i="69"/>
  <c r="C7759" i="69"/>
  <c r="E7758" i="69"/>
  <c r="C7758" i="69"/>
  <c r="E7757" i="69"/>
  <c r="C7757" i="69"/>
  <c r="E7756" i="69"/>
  <c r="C7756" i="69"/>
  <c r="E7755" i="69"/>
  <c r="C7755" i="69"/>
  <c r="E7754" i="69"/>
  <c r="C7754" i="69"/>
  <c r="E7753" i="69"/>
  <c r="C7753" i="69"/>
  <c r="E7752" i="69"/>
  <c r="C7752" i="69"/>
  <c r="E7751" i="69"/>
  <c r="C7751" i="69"/>
  <c r="E7750" i="69"/>
  <c r="C7750" i="69"/>
  <c r="E7749" i="69"/>
  <c r="C7749" i="69"/>
  <c r="E7748" i="69"/>
  <c r="C7748" i="69"/>
  <c r="E7747" i="69"/>
  <c r="C7747" i="69"/>
  <c r="E7746" i="69"/>
  <c r="C7746" i="69"/>
  <c r="E7745" i="69"/>
  <c r="C7745" i="69"/>
  <c r="E7744" i="69"/>
  <c r="C7744" i="69"/>
  <c r="E7743" i="69"/>
  <c r="C7743" i="69"/>
  <c r="E7742" i="69"/>
  <c r="C7742" i="69"/>
  <c r="E7741" i="69"/>
  <c r="C7741" i="69"/>
  <c r="E7740" i="69"/>
  <c r="C7740" i="69"/>
  <c r="E7739" i="69"/>
  <c r="C7739" i="69"/>
  <c r="E7738" i="69"/>
  <c r="C7738" i="69"/>
  <c r="E7737" i="69"/>
  <c r="C7737" i="69"/>
  <c r="E7736" i="69"/>
  <c r="C7736" i="69"/>
  <c r="E7735" i="69"/>
  <c r="C7735" i="69"/>
  <c r="E7734" i="69"/>
  <c r="C7734" i="69"/>
  <c r="E7733" i="69"/>
  <c r="C7733" i="69"/>
  <c r="E7732" i="69"/>
  <c r="C7732" i="69"/>
  <c r="E7731" i="69"/>
  <c r="C7731" i="69"/>
  <c r="E7730" i="69"/>
  <c r="C7730" i="69"/>
  <c r="E7729" i="69"/>
  <c r="C7729" i="69"/>
  <c r="E7728" i="69"/>
  <c r="C7728" i="69"/>
  <c r="E7727" i="69"/>
  <c r="C7727" i="69"/>
  <c r="E7726" i="69"/>
  <c r="C7726" i="69"/>
  <c r="E7725" i="69"/>
  <c r="C7725" i="69"/>
  <c r="E7724" i="69"/>
  <c r="C7724" i="69"/>
  <c r="E7723" i="69"/>
  <c r="C7723" i="69"/>
  <c r="E7722" i="69"/>
  <c r="C7722" i="69"/>
  <c r="E7721" i="69"/>
  <c r="C7721" i="69"/>
  <c r="E7720" i="69"/>
  <c r="C7720" i="69"/>
  <c r="E7719" i="69"/>
  <c r="C7719" i="69"/>
  <c r="E7718" i="69"/>
  <c r="C7718" i="69"/>
  <c r="E7717" i="69"/>
  <c r="C7717" i="69"/>
  <c r="E7716" i="69"/>
  <c r="C7716" i="69"/>
  <c r="E7715" i="69"/>
  <c r="C7715" i="69"/>
  <c r="E7714" i="69"/>
  <c r="C7714" i="69"/>
  <c r="E7713" i="69"/>
  <c r="C7713" i="69"/>
  <c r="E7712" i="69"/>
  <c r="C7712" i="69"/>
  <c r="E7711" i="69"/>
  <c r="C7711" i="69"/>
  <c r="E7710" i="69"/>
  <c r="C7710" i="69"/>
  <c r="E7709" i="69"/>
  <c r="C7709" i="69"/>
  <c r="E7708" i="69"/>
  <c r="C7708" i="69"/>
  <c r="E7707" i="69"/>
  <c r="C7707" i="69"/>
  <c r="E7706" i="69"/>
  <c r="C7706" i="69"/>
  <c r="E7705" i="69"/>
  <c r="C7705" i="69"/>
  <c r="E7704" i="69"/>
  <c r="C7704" i="69"/>
  <c r="E7703" i="69"/>
  <c r="C7703" i="69"/>
  <c r="E7702" i="69"/>
  <c r="C7702" i="69"/>
  <c r="E7701" i="69"/>
  <c r="C7701" i="69"/>
  <c r="E7700" i="69"/>
  <c r="C7700" i="69"/>
  <c r="E7699" i="69"/>
  <c r="C7699" i="69"/>
  <c r="E7698" i="69"/>
  <c r="C7698" i="69"/>
  <c r="E7697" i="69"/>
  <c r="C7697" i="69"/>
  <c r="E7696" i="69"/>
  <c r="C7696" i="69"/>
  <c r="E7695" i="69"/>
  <c r="C7695" i="69"/>
  <c r="E7694" i="69"/>
  <c r="C7694" i="69"/>
  <c r="E7693" i="69"/>
  <c r="C7693" i="69"/>
  <c r="E7692" i="69"/>
  <c r="C7692" i="69"/>
  <c r="E7691" i="69"/>
  <c r="C7691" i="69"/>
  <c r="E7690" i="69"/>
  <c r="C7690" i="69"/>
  <c r="E7689" i="69"/>
  <c r="C7689" i="69"/>
  <c r="E7688" i="69"/>
  <c r="C7688" i="69"/>
  <c r="E7687" i="69"/>
  <c r="C7687" i="69"/>
  <c r="E7686" i="69"/>
  <c r="C7686" i="69"/>
  <c r="E7685" i="69"/>
  <c r="C7685" i="69"/>
  <c r="E7684" i="69"/>
  <c r="C7684" i="69"/>
  <c r="E7683" i="69"/>
  <c r="C7683" i="69"/>
  <c r="E7682" i="69"/>
  <c r="C7682" i="69"/>
  <c r="E7681" i="69"/>
  <c r="C7681" i="69"/>
  <c r="E7680" i="69"/>
  <c r="C7680" i="69"/>
  <c r="E7679" i="69"/>
  <c r="C7679" i="69"/>
  <c r="E7678" i="69"/>
  <c r="C7678" i="69"/>
  <c r="E7677" i="69"/>
  <c r="C7677" i="69"/>
  <c r="E7676" i="69"/>
  <c r="C7676" i="69"/>
  <c r="E7675" i="69"/>
  <c r="C7675" i="69"/>
  <c r="E7674" i="69"/>
  <c r="C7674" i="69"/>
  <c r="E7673" i="69"/>
  <c r="C7673" i="69"/>
  <c r="E7672" i="69"/>
  <c r="C7672" i="69"/>
  <c r="E7671" i="69"/>
  <c r="C7671" i="69"/>
  <c r="E7670" i="69"/>
  <c r="C7670" i="69"/>
  <c r="E7669" i="69"/>
  <c r="C7669" i="69"/>
  <c r="E7668" i="69"/>
  <c r="C7668" i="69"/>
  <c r="E7667" i="69"/>
  <c r="C7667" i="69"/>
  <c r="E7666" i="69"/>
  <c r="C7666" i="69"/>
  <c r="E7665" i="69"/>
  <c r="C7665" i="69"/>
  <c r="E7664" i="69"/>
  <c r="C7664" i="69"/>
  <c r="E7663" i="69"/>
  <c r="C7663" i="69"/>
  <c r="E7662" i="69"/>
  <c r="C7662" i="69"/>
  <c r="E7661" i="69"/>
  <c r="C7661" i="69"/>
  <c r="E7660" i="69"/>
  <c r="C7660" i="69"/>
  <c r="E7659" i="69"/>
  <c r="C7659" i="69"/>
  <c r="E7658" i="69"/>
  <c r="C7658" i="69"/>
  <c r="E7657" i="69"/>
  <c r="C7657" i="69"/>
  <c r="E7656" i="69"/>
  <c r="C7656" i="69"/>
  <c r="E7655" i="69"/>
  <c r="C7655" i="69"/>
  <c r="E7654" i="69"/>
  <c r="C7654" i="69"/>
  <c r="E7653" i="69"/>
  <c r="C7653" i="69"/>
  <c r="E7652" i="69"/>
  <c r="C7652" i="69"/>
  <c r="E7651" i="69"/>
  <c r="C7651" i="69"/>
  <c r="E7650" i="69"/>
  <c r="C7650" i="69"/>
  <c r="E7649" i="69"/>
  <c r="C7649" i="69"/>
  <c r="E7648" i="69"/>
  <c r="C7648" i="69"/>
  <c r="E7647" i="69"/>
  <c r="C7647" i="69"/>
  <c r="E7646" i="69"/>
  <c r="C7646" i="69"/>
  <c r="E7645" i="69"/>
  <c r="C7645" i="69"/>
  <c r="E7644" i="69"/>
  <c r="C7644" i="69"/>
  <c r="E7643" i="69"/>
  <c r="C7643" i="69"/>
  <c r="E7642" i="69"/>
  <c r="C7642" i="69"/>
  <c r="E7641" i="69"/>
  <c r="C7641" i="69"/>
  <c r="E7640" i="69"/>
  <c r="C7640" i="69"/>
  <c r="E7639" i="69"/>
  <c r="C7639" i="69"/>
  <c r="E7638" i="69"/>
  <c r="C7638" i="69"/>
  <c r="E7637" i="69"/>
  <c r="C7637" i="69"/>
  <c r="E7636" i="69"/>
  <c r="C7636" i="69"/>
  <c r="E7635" i="69"/>
  <c r="C7635" i="69"/>
  <c r="E7634" i="69"/>
  <c r="C7634" i="69"/>
  <c r="E7633" i="69"/>
  <c r="C7633" i="69"/>
  <c r="E7632" i="69"/>
  <c r="C7632" i="69"/>
  <c r="E7631" i="69"/>
  <c r="C7631" i="69"/>
  <c r="E7630" i="69"/>
  <c r="C7630" i="69"/>
  <c r="E7629" i="69"/>
  <c r="C7629" i="69"/>
  <c r="E7628" i="69"/>
  <c r="C7628" i="69"/>
  <c r="E7627" i="69"/>
  <c r="C7627" i="69"/>
  <c r="E7626" i="69"/>
  <c r="C7626" i="69"/>
  <c r="E7625" i="69"/>
  <c r="C7625" i="69"/>
  <c r="E7624" i="69"/>
  <c r="C7624" i="69"/>
  <c r="E7623" i="69"/>
  <c r="C7623" i="69"/>
  <c r="E7622" i="69"/>
  <c r="C7622" i="69"/>
  <c r="E7621" i="69"/>
  <c r="C7621" i="69"/>
  <c r="E7620" i="69"/>
  <c r="C7620" i="69"/>
  <c r="E7619" i="69"/>
  <c r="C7619" i="69"/>
  <c r="E7618" i="69"/>
  <c r="C7618" i="69"/>
  <c r="E7617" i="69"/>
  <c r="C7617" i="69"/>
  <c r="E7616" i="69"/>
  <c r="C7616" i="69"/>
  <c r="E7615" i="69"/>
  <c r="C7615" i="69"/>
  <c r="E7614" i="69"/>
  <c r="C7614" i="69"/>
  <c r="E7613" i="69"/>
  <c r="C7613" i="69"/>
  <c r="E7612" i="69"/>
  <c r="C7612" i="69"/>
  <c r="E7611" i="69"/>
  <c r="C7611" i="69"/>
  <c r="E7610" i="69"/>
  <c r="C7610" i="69"/>
  <c r="E7609" i="69"/>
  <c r="C7609" i="69"/>
  <c r="E7608" i="69"/>
  <c r="C7608" i="69"/>
  <c r="E7607" i="69"/>
  <c r="C7607" i="69"/>
  <c r="E7606" i="69"/>
  <c r="C7606" i="69"/>
  <c r="E7605" i="69"/>
  <c r="C7605" i="69"/>
  <c r="E7604" i="69"/>
  <c r="C7604" i="69"/>
  <c r="E7603" i="69"/>
  <c r="C7603" i="69"/>
  <c r="E7602" i="69"/>
  <c r="C7602" i="69"/>
  <c r="E7601" i="69"/>
  <c r="C7601" i="69"/>
  <c r="E7600" i="69"/>
  <c r="C7600" i="69"/>
  <c r="E7599" i="69"/>
  <c r="C7599" i="69"/>
  <c r="E7598" i="69"/>
  <c r="C7598" i="69"/>
  <c r="E7597" i="69"/>
  <c r="C7597" i="69"/>
  <c r="E7596" i="69"/>
  <c r="C7596" i="69"/>
  <c r="E7595" i="69"/>
  <c r="C7595" i="69"/>
  <c r="E7594" i="69"/>
  <c r="C7594" i="69"/>
  <c r="E7593" i="69"/>
  <c r="C7593" i="69"/>
  <c r="E7592" i="69"/>
  <c r="C7592" i="69"/>
  <c r="E7591" i="69"/>
  <c r="C7591" i="69"/>
  <c r="E7590" i="69"/>
  <c r="C7590" i="69"/>
  <c r="E7589" i="69"/>
  <c r="C7589" i="69"/>
  <c r="E7588" i="69"/>
  <c r="C7588" i="69"/>
  <c r="E7587" i="69"/>
  <c r="C7587" i="69"/>
  <c r="E7586" i="69"/>
  <c r="C7586" i="69"/>
  <c r="E7585" i="69"/>
  <c r="C7585" i="69"/>
  <c r="E7584" i="69"/>
  <c r="C7584" i="69"/>
  <c r="E7583" i="69"/>
  <c r="C7583" i="69"/>
  <c r="E7582" i="69"/>
  <c r="C7582" i="69"/>
  <c r="E7581" i="69"/>
  <c r="C7581" i="69"/>
  <c r="E7580" i="69"/>
  <c r="C7580" i="69"/>
  <c r="E7579" i="69"/>
  <c r="C7579" i="69"/>
  <c r="E7578" i="69"/>
  <c r="C7578" i="69"/>
  <c r="E7577" i="69"/>
  <c r="C7577" i="69"/>
  <c r="E7576" i="69"/>
  <c r="C7576" i="69"/>
  <c r="E7575" i="69"/>
  <c r="C7575" i="69"/>
  <c r="E7574" i="69"/>
  <c r="C7574" i="69"/>
  <c r="E7573" i="69"/>
  <c r="C7573" i="69"/>
  <c r="E7572" i="69"/>
  <c r="C7572" i="69"/>
  <c r="E7571" i="69"/>
  <c r="C7571" i="69"/>
  <c r="E7570" i="69"/>
  <c r="C7570" i="69"/>
  <c r="E7569" i="69"/>
  <c r="C7569" i="69"/>
  <c r="E7568" i="69"/>
  <c r="C7568" i="69"/>
  <c r="E7567" i="69"/>
  <c r="C7567" i="69"/>
  <c r="E7566" i="69"/>
  <c r="C7566" i="69"/>
  <c r="E7565" i="69"/>
  <c r="C7565" i="69"/>
  <c r="E7564" i="69"/>
  <c r="C7564" i="69"/>
  <c r="E7563" i="69"/>
  <c r="C7563" i="69"/>
  <c r="E7562" i="69"/>
  <c r="C7562" i="69"/>
  <c r="E7561" i="69"/>
  <c r="C7561" i="69"/>
  <c r="E7560" i="69"/>
  <c r="C7560" i="69"/>
  <c r="E7559" i="69"/>
  <c r="C7559" i="69"/>
  <c r="E7558" i="69"/>
  <c r="C7558" i="69"/>
  <c r="E7557" i="69"/>
  <c r="C7557" i="69"/>
  <c r="E7556" i="69"/>
  <c r="C7556" i="69"/>
  <c r="E7555" i="69"/>
  <c r="C7555" i="69"/>
  <c r="E7554" i="69"/>
  <c r="C7554" i="69"/>
  <c r="E7553" i="69"/>
  <c r="C7553" i="69"/>
  <c r="E7552" i="69"/>
  <c r="C7552" i="69"/>
  <c r="E7551" i="69"/>
  <c r="C7551" i="69"/>
  <c r="E7550" i="69"/>
  <c r="C7550" i="69"/>
  <c r="E7549" i="69"/>
  <c r="C7549" i="69"/>
  <c r="E7548" i="69"/>
  <c r="C7548" i="69"/>
  <c r="E7547" i="69"/>
  <c r="C7547" i="69"/>
  <c r="E7546" i="69"/>
  <c r="C7546" i="69"/>
  <c r="E7545" i="69"/>
  <c r="C7545" i="69"/>
  <c r="E7544" i="69"/>
  <c r="C7544" i="69"/>
  <c r="E7543" i="69"/>
  <c r="C7543" i="69"/>
  <c r="E7542" i="69"/>
  <c r="C7542" i="69"/>
  <c r="E7541" i="69"/>
  <c r="C7541" i="69"/>
  <c r="E7540" i="69"/>
  <c r="C7540" i="69"/>
  <c r="E7539" i="69"/>
  <c r="C7539" i="69"/>
  <c r="E7538" i="69"/>
  <c r="C7538" i="69"/>
  <c r="E7537" i="69"/>
  <c r="C7537" i="69"/>
  <c r="E7536" i="69"/>
  <c r="C7536" i="69"/>
  <c r="E7535" i="69"/>
  <c r="C7535" i="69"/>
  <c r="E7534" i="69"/>
  <c r="C7534" i="69"/>
  <c r="E7533" i="69"/>
  <c r="C7533" i="69"/>
  <c r="E7532" i="69"/>
  <c r="C7532" i="69"/>
  <c r="E7531" i="69"/>
  <c r="C7531" i="69"/>
  <c r="E7530" i="69"/>
  <c r="C7530" i="69"/>
  <c r="E7529" i="69"/>
  <c r="C7529" i="69"/>
  <c r="E7528" i="69"/>
  <c r="C7528" i="69"/>
  <c r="E7527" i="69"/>
  <c r="C7527" i="69"/>
  <c r="E7526" i="69"/>
  <c r="C7526" i="69"/>
  <c r="E7525" i="69"/>
  <c r="C7525" i="69"/>
  <c r="E7524" i="69"/>
  <c r="C7524" i="69"/>
  <c r="E7523" i="69"/>
  <c r="C7523" i="69"/>
  <c r="E7522" i="69"/>
  <c r="C7522" i="69"/>
  <c r="E7521" i="69"/>
  <c r="C7521" i="69"/>
  <c r="E7520" i="69"/>
  <c r="C7520" i="69"/>
  <c r="E7519" i="69"/>
  <c r="C7519" i="69"/>
  <c r="E7518" i="69"/>
  <c r="C7518" i="69"/>
  <c r="E7517" i="69"/>
  <c r="C7517" i="69"/>
  <c r="E7516" i="69"/>
  <c r="C7516" i="69"/>
  <c r="E7515" i="69"/>
  <c r="C7515" i="69"/>
  <c r="E7514" i="69"/>
  <c r="C7514" i="69"/>
  <c r="E7513" i="69"/>
  <c r="C7513" i="69"/>
  <c r="E7512" i="69"/>
  <c r="C7512" i="69"/>
  <c r="E7511" i="69"/>
  <c r="C7511" i="69"/>
  <c r="E7510" i="69"/>
  <c r="C7510" i="69"/>
  <c r="E7509" i="69"/>
  <c r="C7509" i="69"/>
  <c r="E7508" i="69"/>
  <c r="C7508" i="69"/>
  <c r="E7507" i="69"/>
  <c r="C7507" i="69"/>
  <c r="E7506" i="69"/>
  <c r="C7506" i="69"/>
  <c r="E7505" i="69"/>
  <c r="C7505" i="69"/>
  <c r="E7504" i="69"/>
  <c r="C7504" i="69"/>
  <c r="E7503" i="69"/>
  <c r="C7503" i="69"/>
  <c r="E7502" i="69"/>
  <c r="C7502" i="69"/>
  <c r="E7501" i="69"/>
  <c r="C7501" i="69"/>
  <c r="E7500" i="69"/>
  <c r="C7500" i="69"/>
  <c r="E7499" i="69"/>
  <c r="C7499" i="69"/>
  <c r="E7498" i="69"/>
  <c r="C7498" i="69"/>
  <c r="E7497" i="69"/>
  <c r="C7497" i="69"/>
  <c r="E7496" i="69"/>
  <c r="C7496" i="69"/>
  <c r="E7495" i="69"/>
  <c r="C7495" i="69"/>
  <c r="E7494" i="69"/>
  <c r="C7494" i="69"/>
  <c r="E7493" i="69"/>
  <c r="C7493" i="69"/>
  <c r="E7492" i="69"/>
  <c r="C7492" i="69"/>
  <c r="E7491" i="69"/>
  <c r="C7491" i="69"/>
  <c r="E7490" i="69"/>
  <c r="C7490" i="69"/>
  <c r="E7489" i="69"/>
  <c r="C7489" i="69"/>
  <c r="E7488" i="69"/>
  <c r="C7488" i="69"/>
  <c r="E7487" i="69"/>
  <c r="C7487" i="69"/>
  <c r="E7486" i="69"/>
  <c r="C7486" i="69"/>
  <c r="E7485" i="69"/>
  <c r="C7485" i="69"/>
  <c r="E7484" i="69"/>
  <c r="C7484" i="69"/>
  <c r="E7483" i="69"/>
  <c r="C7483" i="69"/>
  <c r="E7482" i="69"/>
  <c r="C7482" i="69"/>
  <c r="E7481" i="69"/>
  <c r="C7481" i="69"/>
  <c r="E7480" i="69"/>
  <c r="C7480" i="69"/>
  <c r="E7479" i="69"/>
  <c r="C7479" i="69"/>
  <c r="E7478" i="69"/>
  <c r="C7478" i="69"/>
  <c r="E7477" i="69"/>
  <c r="C7477" i="69"/>
  <c r="E7476" i="69"/>
  <c r="C7476" i="69"/>
  <c r="E7475" i="69"/>
  <c r="C7475" i="69"/>
  <c r="E7474" i="69"/>
  <c r="C7474" i="69"/>
  <c r="E7473" i="69"/>
  <c r="C7473" i="69"/>
  <c r="E7472" i="69"/>
  <c r="C7472" i="69"/>
  <c r="E7471" i="69"/>
  <c r="C7471" i="69"/>
  <c r="E7470" i="69"/>
  <c r="C7470" i="69"/>
  <c r="E7469" i="69"/>
  <c r="C7469" i="69"/>
  <c r="E7468" i="69"/>
  <c r="C7468" i="69"/>
  <c r="E7467" i="69"/>
  <c r="C7467" i="69"/>
  <c r="E7466" i="69"/>
  <c r="C7466" i="69"/>
  <c r="E7465" i="69"/>
  <c r="C7465" i="69"/>
  <c r="E7464" i="69"/>
  <c r="C7464" i="69"/>
  <c r="E7463" i="69"/>
  <c r="C7463" i="69"/>
  <c r="E7462" i="69"/>
  <c r="C7462" i="69"/>
  <c r="E7461" i="69"/>
  <c r="C7461" i="69"/>
  <c r="E7460" i="69"/>
  <c r="C7460" i="69"/>
  <c r="E7459" i="69"/>
  <c r="C7459" i="69"/>
  <c r="E7458" i="69"/>
  <c r="C7458" i="69"/>
  <c r="E7457" i="69"/>
  <c r="C7457" i="69"/>
  <c r="E7456" i="69"/>
  <c r="C7456" i="69"/>
  <c r="E7455" i="69"/>
  <c r="C7455" i="69"/>
  <c r="E7454" i="69"/>
  <c r="C7454" i="69"/>
  <c r="E7453" i="69"/>
  <c r="C7453" i="69"/>
  <c r="E7452" i="69"/>
  <c r="C7452" i="69"/>
  <c r="E7451" i="69"/>
  <c r="C7451" i="69"/>
  <c r="E7450" i="69"/>
  <c r="C7450" i="69"/>
  <c r="E7449" i="69"/>
  <c r="C7449" i="69"/>
  <c r="E7448" i="69"/>
  <c r="C7448" i="69"/>
  <c r="E7447" i="69"/>
  <c r="C7447" i="69"/>
  <c r="E7446" i="69"/>
  <c r="C7446" i="69"/>
  <c r="E7445" i="69"/>
  <c r="C7445" i="69"/>
  <c r="E7444" i="69"/>
  <c r="C7444" i="69"/>
  <c r="E7443" i="69"/>
  <c r="C7443" i="69"/>
  <c r="E7442" i="69"/>
  <c r="C7442" i="69"/>
  <c r="E7441" i="69"/>
  <c r="C7441" i="69"/>
  <c r="E7440" i="69"/>
  <c r="C7440" i="69"/>
  <c r="E7439" i="69"/>
  <c r="C7439" i="69"/>
  <c r="E7438" i="69"/>
  <c r="C7438" i="69"/>
  <c r="E7437" i="69"/>
  <c r="C7437" i="69"/>
  <c r="E7436" i="69"/>
  <c r="C7436" i="69"/>
  <c r="E7435" i="69"/>
  <c r="C7435" i="69"/>
  <c r="E7434" i="69"/>
  <c r="C7434" i="69"/>
  <c r="E7433" i="69"/>
  <c r="C7433" i="69"/>
  <c r="E7432" i="69"/>
  <c r="C7432" i="69"/>
  <c r="E7431" i="69"/>
  <c r="C7431" i="69"/>
  <c r="E7430" i="69"/>
  <c r="C7430" i="69"/>
  <c r="E7429" i="69"/>
  <c r="C7429" i="69"/>
  <c r="E7428" i="69"/>
  <c r="C7428" i="69"/>
  <c r="E7427" i="69"/>
  <c r="C7427" i="69"/>
  <c r="E7426" i="69"/>
  <c r="C7426" i="69"/>
  <c r="E7425" i="69"/>
  <c r="C7425" i="69"/>
  <c r="E7424" i="69"/>
  <c r="C7424" i="69"/>
  <c r="E7423" i="69"/>
  <c r="C7423" i="69"/>
  <c r="E7422" i="69"/>
  <c r="C7422" i="69"/>
  <c r="E7421" i="69"/>
  <c r="C7421" i="69"/>
  <c r="E7420" i="69"/>
  <c r="C7420" i="69"/>
  <c r="E7419" i="69"/>
  <c r="C7419" i="69"/>
  <c r="E7418" i="69"/>
  <c r="C7418" i="69"/>
  <c r="E7417" i="69"/>
  <c r="C7417" i="69"/>
  <c r="E7416" i="69"/>
  <c r="C7416" i="69"/>
  <c r="E7415" i="69"/>
  <c r="C7415" i="69"/>
  <c r="E7414" i="69"/>
  <c r="C7414" i="69"/>
  <c r="E7413" i="69"/>
  <c r="C7413" i="69"/>
  <c r="E7412" i="69"/>
  <c r="C7412" i="69"/>
  <c r="E7411" i="69"/>
  <c r="C7411" i="69"/>
  <c r="E7410" i="69"/>
  <c r="C7410" i="69"/>
  <c r="E7409" i="69"/>
  <c r="C7409" i="69"/>
  <c r="E7408" i="69"/>
  <c r="C7408" i="69"/>
  <c r="E7407" i="69"/>
  <c r="C7407" i="69"/>
  <c r="E7406" i="69"/>
  <c r="C7406" i="69"/>
  <c r="E7405" i="69"/>
  <c r="C7405" i="69"/>
  <c r="E7404" i="69"/>
  <c r="C7404" i="69"/>
  <c r="E7403" i="69"/>
  <c r="C7403" i="69"/>
  <c r="E7402" i="69"/>
  <c r="C7402" i="69"/>
  <c r="E7401" i="69"/>
  <c r="C7401" i="69"/>
  <c r="E7400" i="69"/>
  <c r="C7400" i="69"/>
  <c r="E7399" i="69"/>
  <c r="C7399" i="69"/>
  <c r="E7398" i="69"/>
  <c r="C7398" i="69"/>
  <c r="E7397" i="69"/>
  <c r="C7397" i="69"/>
  <c r="E7396" i="69"/>
  <c r="C7396" i="69"/>
  <c r="E7395" i="69"/>
  <c r="C7395" i="69"/>
  <c r="E7394" i="69"/>
  <c r="C7394" i="69"/>
  <c r="E7393" i="69"/>
  <c r="C7393" i="69"/>
  <c r="E7392" i="69"/>
  <c r="C7392" i="69"/>
  <c r="E7391" i="69"/>
  <c r="C7391" i="69"/>
  <c r="E7390" i="69"/>
  <c r="C7390" i="69"/>
  <c r="E7389" i="69"/>
  <c r="C7389" i="69"/>
  <c r="E7388" i="69"/>
  <c r="C7388" i="69"/>
  <c r="E7387" i="69"/>
  <c r="C7387" i="69"/>
  <c r="E7386" i="69"/>
  <c r="C7386" i="69"/>
  <c r="E7385" i="69"/>
  <c r="C7385" i="69"/>
  <c r="E7384" i="69"/>
  <c r="C7384" i="69"/>
  <c r="E7383" i="69"/>
  <c r="C7383" i="69"/>
  <c r="E7382" i="69"/>
  <c r="C7382" i="69"/>
  <c r="E7381" i="69"/>
  <c r="C7381" i="69"/>
  <c r="E7380" i="69"/>
  <c r="C7380" i="69"/>
  <c r="E7379" i="69"/>
  <c r="C7379" i="69"/>
  <c r="E7378" i="69"/>
  <c r="C7378" i="69"/>
  <c r="E7377" i="69"/>
  <c r="C7377" i="69"/>
  <c r="E7376" i="69"/>
  <c r="C7376" i="69"/>
  <c r="E7375" i="69"/>
  <c r="C7375" i="69"/>
  <c r="E7374" i="69"/>
  <c r="C7374" i="69"/>
  <c r="E7373" i="69"/>
  <c r="C7373" i="69"/>
  <c r="E7372" i="69"/>
  <c r="C7372" i="69"/>
  <c r="E7371" i="69"/>
  <c r="C7371" i="69"/>
  <c r="E7370" i="69"/>
  <c r="C7370" i="69"/>
  <c r="E7369" i="69"/>
  <c r="C7369" i="69"/>
  <c r="E7368" i="69"/>
  <c r="C7368" i="69"/>
  <c r="E7367" i="69"/>
  <c r="C7367" i="69"/>
  <c r="E7366" i="69"/>
  <c r="C7366" i="69"/>
  <c r="E7365" i="69"/>
  <c r="C7365" i="69"/>
  <c r="E7364" i="69"/>
  <c r="C7364" i="69"/>
  <c r="E7363" i="69"/>
  <c r="C7363" i="69"/>
  <c r="E7362" i="69"/>
  <c r="C7362" i="69"/>
  <c r="E7361" i="69"/>
  <c r="C7361" i="69"/>
  <c r="E7360" i="69"/>
  <c r="C7360" i="69"/>
  <c r="E7359" i="69"/>
  <c r="C7359" i="69"/>
  <c r="E7358" i="69"/>
  <c r="C7358" i="69"/>
  <c r="E7357" i="69"/>
  <c r="C7357" i="69"/>
  <c r="E7356" i="69"/>
  <c r="C7356" i="69"/>
  <c r="E7355" i="69"/>
  <c r="C7355" i="69"/>
  <c r="E7354" i="69"/>
  <c r="C7354" i="69"/>
  <c r="E7353" i="69"/>
  <c r="C7353" i="69"/>
  <c r="E7352" i="69"/>
  <c r="C7352" i="69"/>
  <c r="E7351" i="69"/>
  <c r="C7351" i="69"/>
  <c r="E7350" i="69"/>
  <c r="C7350" i="69"/>
  <c r="E7349" i="69"/>
  <c r="C7349" i="69"/>
  <c r="E7348" i="69"/>
  <c r="C7348" i="69"/>
  <c r="E7347" i="69"/>
  <c r="C7347" i="69"/>
  <c r="E7346" i="69"/>
  <c r="C7346" i="69"/>
  <c r="E7345" i="69"/>
  <c r="C7345" i="69"/>
  <c r="E7344" i="69"/>
  <c r="C7344" i="69"/>
  <c r="E7343" i="69"/>
  <c r="C7343" i="69"/>
  <c r="E7342" i="69"/>
  <c r="C7342" i="69"/>
  <c r="E7341" i="69"/>
  <c r="C7341" i="69"/>
  <c r="E7340" i="69"/>
  <c r="C7340" i="69"/>
  <c r="E7339" i="69"/>
  <c r="C7339" i="69"/>
  <c r="E7338" i="69"/>
  <c r="C7338" i="69"/>
  <c r="E7337" i="69"/>
  <c r="C7337" i="69"/>
  <c r="E7336" i="69"/>
  <c r="C7336" i="69"/>
  <c r="E7335" i="69"/>
  <c r="C7335" i="69"/>
  <c r="E7334" i="69"/>
  <c r="C7334" i="69"/>
  <c r="E7333" i="69"/>
  <c r="C7333" i="69"/>
  <c r="E7332" i="69"/>
  <c r="C7332" i="69"/>
  <c r="E7331" i="69"/>
  <c r="C7331" i="69"/>
  <c r="E7330" i="69"/>
  <c r="C7330" i="69"/>
  <c r="E7329" i="69"/>
  <c r="C7329" i="69"/>
  <c r="E7328" i="69"/>
  <c r="C7328" i="69"/>
  <c r="E7327" i="69"/>
  <c r="C7327" i="69"/>
  <c r="E7326" i="69"/>
  <c r="C7326" i="69"/>
  <c r="E7325" i="69"/>
  <c r="C7325" i="69"/>
  <c r="E7324" i="69"/>
  <c r="C7324" i="69"/>
  <c r="E7323" i="69"/>
  <c r="C7323" i="69"/>
  <c r="E7322" i="69"/>
  <c r="C7322" i="69"/>
  <c r="E7321" i="69"/>
  <c r="C7321" i="69"/>
  <c r="E7320" i="69"/>
  <c r="C7320" i="69"/>
  <c r="E7319" i="69"/>
  <c r="C7319" i="69"/>
  <c r="E7318" i="69"/>
  <c r="C7318" i="69"/>
  <c r="E7317" i="69"/>
  <c r="C7317" i="69"/>
  <c r="E7316" i="69"/>
  <c r="C7316" i="69"/>
  <c r="E7315" i="69"/>
  <c r="C7315" i="69"/>
  <c r="E7314" i="69"/>
  <c r="C7314" i="69"/>
  <c r="E7313" i="69"/>
  <c r="C7313" i="69"/>
  <c r="E7312" i="69"/>
  <c r="C7312" i="69"/>
  <c r="E7311" i="69"/>
  <c r="C7311" i="69"/>
  <c r="E7310" i="69"/>
  <c r="C7310" i="69"/>
  <c r="E7309" i="69"/>
  <c r="C7309" i="69"/>
  <c r="E7308" i="69"/>
  <c r="C7308" i="69"/>
  <c r="E7307" i="69"/>
  <c r="C7307" i="69"/>
  <c r="E7306" i="69"/>
  <c r="C7306" i="69"/>
  <c r="E7305" i="69"/>
  <c r="C7305" i="69"/>
  <c r="E7304" i="69"/>
  <c r="C7304" i="69"/>
  <c r="E7303" i="69"/>
  <c r="C7303" i="69"/>
  <c r="E7302" i="69"/>
  <c r="C7302" i="69"/>
  <c r="E7301" i="69"/>
  <c r="C7301" i="69"/>
  <c r="E7300" i="69"/>
  <c r="C7300" i="69"/>
  <c r="E7299" i="69"/>
  <c r="C7299" i="69"/>
  <c r="E7298" i="69"/>
  <c r="C7298" i="69"/>
  <c r="E7297" i="69"/>
  <c r="C7297" i="69"/>
  <c r="E7296" i="69"/>
  <c r="C7296" i="69"/>
  <c r="E7295" i="69"/>
  <c r="C7295" i="69"/>
  <c r="E7294" i="69"/>
  <c r="C7294" i="69"/>
  <c r="E7293" i="69"/>
  <c r="C7293" i="69"/>
  <c r="E7292" i="69"/>
  <c r="C7292" i="69"/>
  <c r="E7291" i="69"/>
  <c r="C7291" i="69"/>
  <c r="E7290" i="69"/>
  <c r="C7290" i="69"/>
  <c r="E7289" i="69"/>
  <c r="C7289" i="69"/>
  <c r="E7288" i="69"/>
  <c r="C7288" i="69"/>
  <c r="E7287" i="69"/>
  <c r="C7287" i="69"/>
  <c r="E7286" i="69"/>
  <c r="C7286" i="69"/>
  <c r="E7285" i="69"/>
  <c r="C7285" i="69"/>
  <c r="E7284" i="69"/>
  <c r="C7284" i="69"/>
  <c r="E7283" i="69"/>
  <c r="C7283" i="69"/>
  <c r="E7282" i="69"/>
  <c r="C7282" i="69"/>
  <c r="E7281" i="69"/>
  <c r="C7281" i="69"/>
  <c r="E7280" i="69"/>
  <c r="C7280" i="69"/>
  <c r="E7279" i="69"/>
  <c r="C7279" i="69"/>
  <c r="E7278" i="69"/>
  <c r="C7278" i="69"/>
  <c r="E7277" i="69"/>
  <c r="C7277" i="69"/>
  <c r="E7276" i="69"/>
  <c r="C7276" i="69"/>
  <c r="E7275" i="69"/>
  <c r="C7275" i="69"/>
  <c r="E7274" i="69"/>
  <c r="C7274" i="69"/>
  <c r="E7273" i="69"/>
  <c r="C7273" i="69"/>
  <c r="E7272" i="69"/>
  <c r="C7272" i="69"/>
  <c r="E7271" i="69"/>
  <c r="C7271" i="69"/>
  <c r="E7270" i="69"/>
  <c r="C7270" i="69"/>
  <c r="E7269" i="69"/>
  <c r="C7269" i="69"/>
  <c r="E7268" i="69"/>
  <c r="C7268" i="69"/>
  <c r="E7267" i="69"/>
  <c r="C7267" i="69"/>
  <c r="E7266" i="69"/>
  <c r="C7266" i="69"/>
  <c r="E7265" i="69"/>
  <c r="C7265" i="69"/>
  <c r="E7264" i="69"/>
  <c r="C7264" i="69"/>
  <c r="E7263" i="69"/>
  <c r="C7263" i="69"/>
  <c r="E7262" i="69"/>
  <c r="C7262" i="69"/>
  <c r="E7261" i="69"/>
  <c r="C7261" i="69"/>
  <c r="E7260" i="69"/>
  <c r="C7260" i="69"/>
  <c r="E7259" i="69"/>
  <c r="C7259" i="69"/>
  <c r="E7258" i="69"/>
  <c r="C7258" i="69"/>
  <c r="E7257" i="69"/>
  <c r="C7257" i="69"/>
  <c r="E7256" i="69"/>
  <c r="C7256" i="69"/>
  <c r="E7255" i="69"/>
  <c r="C7255" i="69"/>
  <c r="E7254" i="69"/>
  <c r="C7254" i="69"/>
  <c r="E7253" i="69"/>
  <c r="C7253" i="69"/>
  <c r="E7252" i="69"/>
  <c r="C7252" i="69"/>
  <c r="E7251" i="69"/>
  <c r="C7251" i="69"/>
  <c r="E7250" i="69"/>
  <c r="C7250" i="69"/>
  <c r="E7249" i="69"/>
  <c r="C7249" i="69"/>
  <c r="E7248" i="69"/>
  <c r="C7248" i="69"/>
  <c r="E7247" i="69"/>
  <c r="C7247" i="69"/>
  <c r="E7246" i="69"/>
  <c r="C7246" i="69"/>
  <c r="E7245" i="69"/>
  <c r="C7245" i="69"/>
  <c r="E7244" i="69"/>
  <c r="C7244" i="69"/>
  <c r="E7243" i="69"/>
  <c r="C7243" i="69"/>
  <c r="E7242" i="69"/>
  <c r="C7242" i="69"/>
  <c r="E7241" i="69"/>
  <c r="C7241" i="69"/>
  <c r="E7240" i="69"/>
  <c r="C7240" i="69"/>
  <c r="E7239" i="69"/>
  <c r="C7239" i="69"/>
  <c r="E7238" i="69"/>
  <c r="C7238" i="69"/>
  <c r="E7237" i="69"/>
  <c r="C7237" i="69"/>
  <c r="E7236" i="69"/>
  <c r="C7236" i="69"/>
  <c r="E7235" i="69"/>
  <c r="C7235" i="69"/>
  <c r="E7234" i="69"/>
  <c r="C7234" i="69"/>
  <c r="E7233" i="69"/>
  <c r="C7233" i="69"/>
  <c r="E7232" i="69"/>
  <c r="C7232" i="69"/>
  <c r="E7231" i="69"/>
  <c r="C7231" i="69"/>
  <c r="E7230" i="69"/>
  <c r="C7230" i="69"/>
  <c r="E7229" i="69"/>
  <c r="C7229" i="69"/>
  <c r="E7228" i="69"/>
  <c r="C7228" i="69"/>
  <c r="E7227" i="69"/>
  <c r="C7227" i="69"/>
  <c r="E7226" i="69"/>
  <c r="C7226" i="69"/>
  <c r="E7225" i="69"/>
  <c r="C7225" i="69"/>
  <c r="E7224" i="69"/>
  <c r="C7224" i="69"/>
  <c r="E7223" i="69"/>
  <c r="C7223" i="69"/>
  <c r="E7222" i="69"/>
  <c r="C7222" i="69"/>
  <c r="E7221" i="69"/>
  <c r="C7221" i="69"/>
  <c r="E7220" i="69"/>
  <c r="C7220" i="69"/>
  <c r="E7219" i="69"/>
  <c r="C7219" i="69"/>
  <c r="E7218" i="69"/>
  <c r="C7218" i="69"/>
  <c r="E7217" i="69"/>
  <c r="C7217" i="69"/>
  <c r="E7216" i="69"/>
  <c r="C7216" i="69"/>
  <c r="E7215" i="69"/>
  <c r="C7215" i="69"/>
  <c r="E7214" i="69"/>
  <c r="C7214" i="69"/>
  <c r="E7213" i="69"/>
  <c r="C7213" i="69"/>
  <c r="E7212" i="69"/>
  <c r="C7212" i="69"/>
  <c r="E7211" i="69"/>
  <c r="C7211" i="69"/>
  <c r="E7210" i="69"/>
  <c r="C7210" i="69"/>
  <c r="E7209" i="69"/>
  <c r="C7209" i="69"/>
  <c r="E7208" i="69"/>
  <c r="C7208" i="69"/>
  <c r="E7207" i="69"/>
  <c r="C7207" i="69"/>
  <c r="E7206" i="69"/>
  <c r="C7206" i="69"/>
  <c r="E7205" i="69"/>
  <c r="C7205" i="69"/>
  <c r="E7204" i="69"/>
  <c r="C7204" i="69"/>
  <c r="E7203" i="69"/>
  <c r="C7203" i="69"/>
  <c r="E7202" i="69"/>
  <c r="C7202" i="69"/>
  <c r="E7201" i="69"/>
  <c r="C7201" i="69"/>
  <c r="E7200" i="69"/>
  <c r="C7200" i="69"/>
  <c r="E7199" i="69"/>
  <c r="C7199" i="69"/>
  <c r="E7198" i="69"/>
  <c r="C7198" i="69"/>
  <c r="E7197" i="69"/>
  <c r="C7197" i="69"/>
  <c r="E7196" i="69"/>
  <c r="C7196" i="69"/>
  <c r="E7195" i="69"/>
  <c r="C7195" i="69"/>
  <c r="E7194" i="69"/>
  <c r="C7194" i="69"/>
  <c r="E7193" i="69"/>
  <c r="C7193" i="69"/>
  <c r="E7192" i="69"/>
  <c r="C7192" i="69"/>
  <c r="E7191" i="69"/>
  <c r="C7191" i="69"/>
  <c r="E7190" i="69"/>
  <c r="C7190" i="69"/>
  <c r="E7189" i="69"/>
  <c r="C7189" i="69"/>
  <c r="E7188" i="69"/>
  <c r="C7188" i="69"/>
  <c r="E7187" i="69"/>
  <c r="C7187" i="69"/>
  <c r="E7186" i="69"/>
  <c r="C7186" i="69"/>
  <c r="E7185" i="69"/>
  <c r="C7185" i="69"/>
  <c r="E7184" i="69"/>
  <c r="C7184" i="69"/>
  <c r="E7183" i="69"/>
  <c r="C7183" i="69"/>
  <c r="E7182" i="69"/>
  <c r="C7182" i="69"/>
  <c r="E7181" i="69"/>
  <c r="C7181" i="69"/>
  <c r="E7180" i="69"/>
  <c r="C7180" i="69"/>
  <c r="E7179" i="69"/>
  <c r="C7179" i="69"/>
  <c r="E7178" i="69"/>
  <c r="C7178" i="69"/>
  <c r="E7177" i="69"/>
  <c r="C7177" i="69"/>
  <c r="E7176" i="69"/>
  <c r="C7176" i="69"/>
  <c r="E7175" i="69"/>
  <c r="C7175" i="69"/>
  <c r="E7174" i="69"/>
  <c r="C7174" i="69"/>
  <c r="E7173" i="69"/>
  <c r="C7173" i="69"/>
  <c r="E7172" i="69"/>
  <c r="C7172" i="69"/>
  <c r="E7171" i="69"/>
  <c r="C7171" i="69"/>
  <c r="E7170" i="69"/>
  <c r="C7170" i="69"/>
  <c r="E7169" i="69"/>
  <c r="C7169" i="69"/>
  <c r="E7168" i="69"/>
  <c r="C7168" i="69"/>
  <c r="E7167" i="69"/>
  <c r="C7167" i="69"/>
  <c r="E7166" i="69"/>
  <c r="C7166" i="69"/>
  <c r="E7165" i="69"/>
  <c r="C7165" i="69"/>
  <c r="E7164" i="69"/>
  <c r="C7164" i="69"/>
  <c r="E7163" i="69"/>
  <c r="C7163" i="69"/>
  <c r="E7162" i="69"/>
  <c r="C7162" i="69"/>
  <c r="E7161" i="69"/>
  <c r="C7161" i="69"/>
  <c r="E7160" i="69"/>
  <c r="C7160" i="69"/>
  <c r="E7159" i="69"/>
  <c r="C7159" i="69"/>
  <c r="E7158" i="69"/>
  <c r="C7158" i="69"/>
  <c r="E7157" i="69"/>
  <c r="C7157" i="69"/>
  <c r="E7156" i="69"/>
  <c r="C7156" i="69"/>
  <c r="E7155" i="69"/>
  <c r="C7155" i="69"/>
  <c r="E7154" i="69"/>
  <c r="C7154" i="69"/>
  <c r="E7153" i="69"/>
  <c r="C7153" i="69"/>
  <c r="E7152" i="69"/>
  <c r="C7152" i="69"/>
  <c r="E7151" i="69"/>
  <c r="C7151" i="69"/>
  <c r="E7150" i="69"/>
  <c r="C7150" i="69"/>
  <c r="E7149" i="69"/>
  <c r="C7149" i="69"/>
  <c r="E7148" i="69"/>
  <c r="C7148" i="69"/>
  <c r="E7147" i="69"/>
  <c r="C7147" i="69"/>
  <c r="E7146" i="69"/>
  <c r="C7146" i="69"/>
  <c r="E7145" i="69"/>
  <c r="C7145" i="69"/>
  <c r="E7144" i="69"/>
  <c r="C7144" i="69"/>
  <c r="E7143" i="69"/>
  <c r="C7143" i="69"/>
  <c r="E7142" i="69"/>
  <c r="C7142" i="69"/>
  <c r="E7141" i="69"/>
  <c r="C7141" i="69"/>
  <c r="E7140" i="69"/>
  <c r="C7140" i="69"/>
  <c r="E7139" i="69"/>
  <c r="C7139" i="69"/>
  <c r="E7138" i="69"/>
  <c r="C7138" i="69"/>
  <c r="E7137" i="69"/>
  <c r="C7137" i="69"/>
  <c r="E7136" i="69"/>
  <c r="C7136" i="69"/>
  <c r="E7135" i="69"/>
  <c r="C7135" i="69"/>
  <c r="E7134" i="69"/>
  <c r="C7134" i="69"/>
  <c r="E7133" i="69"/>
  <c r="C7133" i="69"/>
  <c r="E7132" i="69"/>
  <c r="C7132" i="69"/>
  <c r="E7131" i="69"/>
  <c r="C7131" i="69"/>
  <c r="E7130" i="69"/>
  <c r="C7130" i="69"/>
  <c r="E7129" i="69"/>
  <c r="C7129" i="69"/>
  <c r="E7128" i="69"/>
  <c r="C7128" i="69"/>
  <c r="E7127" i="69"/>
  <c r="C7127" i="69"/>
  <c r="E7126" i="69"/>
  <c r="C7126" i="69"/>
  <c r="E7125" i="69"/>
  <c r="C7125" i="69"/>
  <c r="E7124" i="69"/>
  <c r="C7124" i="69"/>
  <c r="E7123" i="69"/>
  <c r="C7123" i="69"/>
  <c r="E7122" i="69"/>
  <c r="C7122" i="69"/>
  <c r="E7121" i="69"/>
  <c r="C7121" i="69"/>
  <c r="E7120" i="69"/>
  <c r="C7120" i="69"/>
  <c r="E7119" i="69"/>
  <c r="C7119" i="69"/>
  <c r="E7118" i="69"/>
  <c r="C7118" i="69"/>
  <c r="E7117" i="69"/>
  <c r="C7117" i="69"/>
  <c r="E7116" i="69"/>
  <c r="C7116" i="69"/>
  <c r="E7115" i="69"/>
  <c r="C7115" i="69"/>
  <c r="E7114" i="69"/>
  <c r="C7114" i="69"/>
  <c r="E7113" i="69"/>
  <c r="C7113" i="69"/>
  <c r="E7112" i="69"/>
  <c r="C7112" i="69"/>
  <c r="E7111" i="69"/>
  <c r="C7111" i="69"/>
  <c r="E7110" i="69"/>
  <c r="C7110" i="69"/>
  <c r="E7109" i="69"/>
  <c r="C7109" i="69"/>
  <c r="E7108" i="69"/>
  <c r="C7108" i="69"/>
  <c r="E7107" i="69"/>
  <c r="C7107" i="69"/>
  <c r="E7106" i="69"/>
  <c r="C7106" i="69"/>
  <c r="E7105" i="69"/>
  <c r="C7105" i="69"/>
  <c r="E7104" i="69"/>
  <c r="C7104" i="69"/>
  <c r="E7103" i="69"/>
  <c r="C7103" i="69"/>
  <c r="E7102" i="69"/>
  <c r="C7102" i="69"/>
  <c r="E7101" i="69"/>
  <c r="C7101" i="69"/>
  <c r="E7100" i="69"/>
  <c r="C7100" i="69"/>
  <c r="E7099" i="69"/>
  <c r="C7099" i="69"/>
  <c r="E7098" i="69"/>
  <c r="C7098" i="69"/>
  <c r="E7097" i="69"/>
  <c r="C7097" i="69"/>
  <c r="E7096" i="69"/>
  <c r="C7096" i="69"/>
  <c r="E7095" i="69"/>
  <c r="C7095" i="69"/>
  <c r="E7094" i="69"/>
  <c r="C7094" i="69"/>
  <c r="E7093" i="69"/>
  <c r="C7093" i="69"/>
  <c r="E7092" i="69"/>
  <c r="C7092" i="69"/>
  <c r="E7091" i="69"/>
  <c r="C7091" i="69"/>
  <c r="E7090" i="69"/>
  <c r="C7090" i="69"/>
  <c r="E7089" i="69"/>
  <c r="C7089" i="69"/>
  <c r="E7088" i="69"/>
  <c r="C7088" i="69"/>
  <c r="E7087" i="69"/>
  <c r="C7087" i="69"/>
  <c r="E7086" i="69"/>
  <c r="C7086" i="69"/>
  <c r="E7085" i="69"/>
  <c r="C7085" i="69"/>
  <c r="E7084" i="69"/>
  <c r="C7084" i="69"/>
  <c r="E7083" i="69"/>
  <c r="C7083" i="69"/>
  <c r="E7082" i="69"/>
  <c r="C7082" i="69"/>
  <c r="E7081" i="69"/>
  <c r="C7081" i="69"/>
  <c r="E7080" i="69"/>
  <c r="C7080" i="69"/>
  <c r="E7079" i="69"/>
  <c r="C7079" i="69"/>
  <c r="E7078" i="69"/>
  <c r="C7078" i="69"/>
  <c r="E7077" i="69"/>
  <c r="C7077" i="69"/>
  <c r="E7076" i="69"/>
  <c r="C7076" i="69"/>
  <c r="E7075" i="69"/>
  <c r="C7075" i="69"/>
  <c r="E7074" i="69"/>
  <c r="C7074" i="69"/>
  <c r="E7073" i="69"/>
  <c r="C7073" i="69"/>
  <c r="E7072" i="69"/>
  <c r="C7072" i="69"/>
  <c r="E7071" i="69"/>
  <c r="C7071" i="69"/>
  <c r="E7070" i="69"/>
  <c r="C7070" i="69"/>
  <c r="E7069" i="69"/>
  <c r="C7069" i="69"/>
  <c r="E7068" i="69"/>
  <c r="C7068" i="69"/>
  <c r="E7067" i="69"/>
  <c r="C7067" i="69"/>
  <c r="E7066" i="69"/>
  <c r="C7066" i="69"/>
  <c r="E7065" i="69"/>
  <c r="C7065" i="69"/>
  <c r="E7064" i="69"/>
  <c r="C7064" i="69"/>
  <c r="E7063" i="69"/>
  <c r="C7063" i="69"/>
  <c r="E7062" i="69"/>
  <c r="C7062" i="69"/>
  <c r="E7061" i="69"/>
  <c r="C7061" i="69"/>
  <c r="E7060" i="69"/>
  <c r="C7060" i="69"/>
  <c r="E7059" i="69"/>
  <c r="C7059" i="69"/>
  <c r="E7058" i="69"/>
  <c r="C7058" i="69"/>
  <c r="E7057" i="69"/>
  <c r="C7057" i="69"/>
  <c r="E7056" i="69"/>
  <c r="C7056" i="69"/>
  <c r="E7055" i="69"/>
  <c r="C7055" i="69"/>
  <c r="E7054" i="69"/>
  <c r="C7054" i="69"/>
  <c r="E7053" i="69"/>
  <c r="C7053" i="69"/>
  <c r="E7052" i="69"/>
  <c r="C7052" i="69"/>
  <c r="E7051" i="69"/>
  <c r="C7051" i="69"/>
  <c r="E7050" i="69"/>
  <c r="C7050" i="69"/>
  <c r="E7049" i="69"/>
  <c r="C7049" i="69"/>
  <c r="E7048" i="69"/>
  <c r="C7048" i="69"/>
  <c r="E7047" i="69"/>
  <c r="C7047" i="69"/>
  <c r="E7046" i="69"/>
  <c r="C7046" i="69"/>
  <c r="E7045" i="69"/>
  <c r="C7045" i="69"/>
  <c r="E7044" i="69"/>
  <c r="C7044" i="69"/>
  <c r="E7043" i="69"/>
  <c r="C7043" i="69"/>
  <c r="E7042" i="69"/>
  <c r="C7042" i="69"/>
  <c r="E7041" i="69"/>
  <c r="C7041" i="69"/>
  <c r="E7040" i="69"/>
  <c r="C7040" i="69"/>
  <c r="E7039" i="69"/>
  <c r="C7039" i="69"/>
  <c r="E7038" i="69"/>
  <c r="C7038" i="69"/>
  <c r="E7037" i="69"/>
  <c r="C7037" i="69"/>
  <c r="E7036" i="69"/>
  <c r="C7036" i="69"/>
  <c r="E7035" i="69"/>
  <c r="C7035" i="69"/>
  <c r="E7034" i="69"/>
  <c r="C7034" i="69"/>
  <c r="E7033" i="69"/>
  <c r="C7033" i="69"/>
  <c r="E7032" i="69"/>
  <c r="C7032" i="69"/>
  <c r="E7031" i="69"/>
  <c r="C7031" i="69"/>
  <c r="E7030" i="69"/>
  <c r="C7030" i="69"/>
  <c r="E7029" i="69"/>
  <c r="C7029" i="69"/>
  <c r="E7028" i="69"/>
  <c r="C7028" i="69"/>
  <c r="E7027" i="69"/>
  <c r="C7027" i="69"/>
  <c r="E7026" i="69"/>
  <c r="C7026" i="69"/>
  <c r="E7025" i="69"/>
  <c r="C7025" i="69"/>
  <c r="E7024" i="69"/>
  <c r="C7024" i="69"/>
  <c r="E7023" i="69"/>
  <c r="C7023" i="69"/>
  <c r="E7022" i="69"/>
  <c r="C7022" i="69"/>
  <c r="E7021" i="69"/>
  <c r="C7021" i="69"/>
  <c r="E7020" i="69"/>
  <c r="C7020" i="69"/>
  <c r="E7019" i="69"/>
  <c r="C7019" i="69"/>
  <c r="E7018" i="69"/>
  <c r="C7018" i="69"/>
  <c r="E7017" i="69"/>
  <c r="C7017" i="69"/>
  <c r="E7016" i="69"/>
  <c r="C7016" i="69"/>
  <c r="E7015" i="69"/>
  <c r="C7015" i="69"/>
  <c r="E7014" i="69"/>
  <c r="C7014" i="69"/>
  <c r="E7013" i="69"/>
  <c r="C7013" i="69"/>
  <c r="E7012" i="69"/>
  <c r="C7012" i="69"/>
  <c r="E7011" i="69"/>
  <c r="C7011" i="69"/>
  <c r="E7010" i="69"/>
  <c r="C7010" i="69"/>
  <c r="E7009" i="69"/>
  <c r="C7009" i="69"/>
  <c r="E7008" i="69"/>
  <c r="C7008" i="69"/>
  <c r="E7007" i="69"/>
  <c r="C7007" i="69"/>
  <c r="E7006" i="69"/>
  <c r="C7006" i="69"/>
  <c r="E7005" i="69"/>
  <c r="C7005" i="69"/>
  <c r="E7004" i="69"/>
  <c r="C7004" i="69"/>
  <c r="E7003" i="69"/>
  <c r="C7003" i="69"/>
  <c r="E7002" i="69"/>
  <c r="C7002" i="69"/>
  <c r="E7001" i="69"/>
  <c r="C7001" i="69"/>
  <c r="E7000" i="69"/>
  <c r="C7000" i="69"/>
  <c r="E6999" i="69"/>
  <c r="C6999" i="69"/>
  <c r="E6998" i="69"/>
  <c r="C6998" i="69"/>
  <c r="E6997" i="69"/>
  <c r="C6997" i="69"/>
  <c r="E6996" i="69"/>
  <c r="C6996" i="69"/>
  <c r="E6995" i="69"/>
  <c r="C6995" i="69"/>
  <c r="E6994" i="69"/>
  <c r="C6994" i="69"/>
  <c r="E6993" i="69"/>
  <c r="C6993" i="69"/>
  <c r="E6992" i="69"/>
  <c r="C6992" i="69"/>
  <c r="E6991" i="69"/>
  <c r="C6991" i="69"/>
  <c r="E6990" i="69"/>
  <c r="C6990" i="69"/>
  <c r="E6989" i="69"/>
  <c r="C6989" i="69"/>
  <c r="E6988" i="69"/>
  <c r="C6988" i="69"/>
  <c r="E6987" i="69"/>
  <c r="C6987" i="69"/>
  <c r="E6986" i="69"/>
  <c r="C6986" i="69"/>
  <c r="E6985" i="69"/>
  <c r="C6985" i="69"/>
  <c r="E6984" i="69"/>
  <c r="C6984" i="69"/>
  <c r="E6983" i="69"/>
  <c r="C6983" i="69"/>
  <c r="E6982" i="69"/>
  <c r="C6982" i="69"/>
  <c r="E6981" i="69"/>
  <c r="C6981" i="69"/>
  <c r="E6980" i="69"/>
  <c r="C6980" i="69"/>
  <c r="E6979" i="69"/>
  <c r="C6979" i="69"/>
  <c r="E6978" i="69"/>
  <c r="C6978" i="69"/>
  <c r="E6977" i="69"/>
  <c r="C6977" i="69"/>
  <c r="E6976" i="69"/>
  <c r="C6976" i="69"/>
  <c r="E6975" i="69"/>
  <c r="C6975" i="69"/>
  <c r="E6974" i="69"/>
  <c r="C6974" i="69"/>
  <c r="E6973" i="69"/>
  <c r="C6973" i="69"/>
  <c r="E6972" i="69"/>
  <c r="C6972" i="69"/>
  <c r="E6971" i="69"/>
  <c r="C6971" i="69"/>
  <c r="E6970" i="69"/>
  <c r="C6970" i="69"/>
  <c r="E6969" i="69"/>
  <c r="C6969" i="69"/>
  <c r="E6968" i="69"/>
  <c r="C6968" i="69"/>
  <c r="E6967" i="69"/>
  <c r="C6967" i="69"/>
  <c r="E6966" i="69"/>
  <c r="C6966" i="69"/>
  <c r="E6965" i="69"/>
  <c r="C6965" i="69"/>
  <c r="E6964" i="69"/>
  <c r="C6964" i="69"/>
  <c r="E6963" i="69"/>
  <c r="C6963" i="69"/>
  <c r="E6962" i="69"/>
  <c r="C6962" i="69"/>
  <c r="E6961" i="69"/>
  <c r="C6961" i="69"/>
  <c r="E6960" i="69"/>
  <c r="C6960" i="69"/>
  <c r="E6959" i="69"/>
  <c r="C6959" i="69"/>
  <c r="E6958" i="69"/>
  <c r="C6958" i="69"/>
  <c r="E6957" i="69"/>
  <c r="C6957" i="69"/>
  <c r="E6956" i="69"/>
  <c r="C6956" i="69"/>
  <c r="E6955" i="69"/>
  <c r="C6955" i="69"/>
  <c r="E6954" i="69"/>
  <c r="C6954" i="69"/>
  <c r="E6953" i="69"/>
  <c r="C6953" i="69"/>
  <c r="E6952" i="69"/>
  <c r="C6952" i="69"/>
  <c r="E6951" i="69"/>
  <c r="C6951" i="69"/>
  <c r="E6950" i="69"/>
  <c r="C6950" i="69"/>
  <c r="E6949" i="69"/>
  <c r="C6949" i="69"/>
  <c r="E6948" i="69"/>
  <c r="C6948" i="69"/>
  <c r="E6947" i="69"/>
  <c r="C6947" i="69"/>
  <c r="E6946" i="69"/>
  <c r="C6946" i="69"/>
  <c r="E6945" i="69"/>
  <c r="C6945" i="69"/>
  <c r="E6944" i="69"/>
  <c r="C6944" i="69"/>
  <c r="E6943" i="69"/>
  <c r="C6943" i="69"/>
  <c r="E6942" i="69"/>
  <c r="C6942" i="69"/>
  <c r="E6941" i="69"/>
  <c r="C6941" i="69"/>
  <c r="E6940" i="69"/>
  <c r="C6940" i="69"/>
  <c r="E6939" i="69"/>
  <c r="C6939" i="69"/>
  <c r="E6938" i="69"/>
  <c r="C6938" i="69"/>
  <c r="E6937" i="69"/>
  <c r="C6937" i="69"/>
  <c r="E6936" i="69"/>
  <c r="C6936" i="69"/>
  <c r="E6935" i="69"/>
  <c r="C6935" i="69"/>
  <c r="E6934" i="69"/>
  <c r="C6934" i="69"/>
  <c r="E6933" i="69"/>
  <c r="C6933" i="69"/>
  <c r="E6932" i="69"/>
  <c r="C6932" i="69"/>
  <c r="E6931" i="69"/>
  <c r="C6931" i="69"/>
  <c r="E6930" i="69"/>
  <c r="C6930" i="69"/>
  <c r="E6929" i="69"/>
  <c r="C6929" i="69"/>
  <c r="E6928" i="69"/>
  <c r="C6928" i="69"/>
  <c r="E6927" i="69"/>
  <c r="C6927" i="69"/>
  <c r="E6926" i="69"/>
  <c r="C6926" i="69"/>
  <c r="E6925" i="69"/>
  <c r="C6925" i="69"/>
  <c r="E6924" i="69"/>
  <c r="C6924" i="69"/>
  <c r="E6923" i="69"/>
  <c r="C6923" i="69"/>
  <c r="E6922" i="69"/>
  <c r="C6922" i="69"/>
  <c r="E6921" i="69"/>
  <c r="C6921" i="69"/>
  <c r="E6920" i="69"/>
  <c r="C6920" i="69"/>
  <c r="E6919" i="69"/>
  <c r="C6919" i="69"/>
  <c r="E6918" i="69"/>
  <c r="C6918" i="69"/>
  <c r="E6917" i="69"/>
  <c r="C6917" i="69"/>
  <c r="E6916" i="69"/>
  <c r="C6916" i="69"/>
  <c r="E6915" i="69"/>
  <c r="C6915" i="69"/>
  <c r="E6914" i="69"/>
  <c r="C6914" i="69"/>
  <c r="E6913" i="69"/>
  <c r="C6913" i="69"/>
  <c r="E6912" i="69"/>
  <c r="C6912" i="69"/>
  <c r="E6911" i="69"/>
  <c r="C6911" i="69"/>
  <c r="E6910" i="69"/>
  <c r="C6910" i="69"/>
  <c r="E6909" i="69"/>
  <c r="C6909" i="69"/>
  <c r="E6908" i="69"/>
  <c r="C6908" i="69"/>
  <c r="E6907" i="69"/>
  <c r="C6907" i="69"/>
  <c r="E6906" i="69"/>
  <c r="C6906" i="69"/>
  <c r="E6905" i="69"/>
  <c r="C6905" i="69"/>
  <c r="E6904" i="69"/>
  <c r="C6904" i="69"/>
  <c r="E6903" i="69"/>
  <c r="C6903" i="69"/>
  <c r="E6902" i="69"/>
  <c r="C6902" i="69"/>
  <c r="E6901" i="69"/>
  <c r="C6901" i="69"/>
  <c r="E6900" i="69"/>
  <c r="C6900" i="69"/>
  <c r="E6899" i="69"/>
  <c r="C6899" i="69"/>
  <c r="E6898" i="69"/>
  <c r="C6898" i="69"/>
  <c r="E6897" i="69"/>
  <c r="C6897" i="69"/>
  <c r="E6896" i="69"/>
  <c r="C6896" i="69"/>
  <c r="E6895" i="69"/>
  <c r="C6895" i="69"/>
  <c r="E6894" i="69"/>
  <c r="C6894" i="69"/>
  <c r="E6893" i="69"/>
  <c r="C6893" i="69"/>
  <c r="E6892" i="69"/>
  <c r="C6892" i="69"/>
  <c r="E6891" i="69"/>
  <c r="C6891" i="69"/>
  <c r="E6890" i="69"/>
  <c r="C6890" i="69"/>
  <c r="E6889" i="69"/>
  <c r="C6889" i="69"/>
  <c r="E6888" i="69"/>
  <c r="C6888" i="69"/>
  <c r="E6887" i="69"/>
  <c r="C6887" i="69"/>
  <c r="E6886" i="69"/>
  <c r="C6886" i="69"/>
  <c r="E6885" i="69"/>
  <c r="C6885" i="69"/>
  <c r="E6884" i="69"/>
  <c r="C6884" i="69"/>
  <c r="E6883" i="69"/>
  <c r="C6883" i="69"/>
  <c r="E6882" i="69"/>
  <c r="C6882" i="69"/>
  <c r="E6881" i="69"/>
  <c r="C6881" i="69"/>
  <c r="E6880" i="69"/>
  <c r="C6880" i="69"/>
  <c r="E6879" i="69"/>
  <c r="C6879" i="69"/>
  <c r="E6878" i="69"/>
  <c r="C6878" i="69"/>
  <c r="E6877" i="69"/>
  <c r="C6877" i="69"/>
  <c r="E6876" i="69"/>
  <c r="C6876" i="69"/>
  <c r="E6875" i="69"/>
  <c r="C6875" i="69"/>
  <c r="E6874" i="69"/>
  <c r="C6874" i="69"/>
  <c r="E6873" i="69"/>
  <c r="C6873" i="69"/>
  <c r="E6872" i="69"/>
  <c r="C6872" i="69"/>
  <c r="E6871" i="69"/>
  <c r="C6871" i="69"/>
  <c r="E6870" i="69"/>
  <c r="C6870" i="69"/>
  <c r="E6869" i="69"/>
  <c r="C6869" i="69"/>
  <c r="E6868" i="69"/>
  <c r="C6868" i="69"/>
  <c r="E6867" i="69"/>
  <c r="C6867" i="69"/>
  <c r="E6866" i="69"/>
  <c r="C6866" i="69"/>
  <c r="E6865" i="69"/>
  <c r="C6865" i="69"/>
  <c r="E6864" i="69"/>
  <c r="C6864" i="69"/>
  <c r="E6863" i="69"/>
  <c r="C6863" i="69"/>
  <c r="E6862" i="69"/>
  <c r="C6862" i="69"/>
  <c r="E6861" i="69"/>
  <c r="C6861" i="69"/>
  <c r="E6860" i="69"/>
  <c r="C6860" i="69"/>
  <c r="E6859" i="69"/>
  <c r="C6859" i="69"/>
  <c r="E6858" i="69"/>
  <c r="C6858" i="69"/>
  <c r="E6857" i="69"/>
  <c r="C6857" i="69"/>
  <c r="E6856" i="69"/>
  <c r="C6856" i="69"/>
  <c r="E6855" i="69"/>
  <c r="C6855" i="69"/>
  <c r="E6854" i="69"/>
  <c r="C6854" i="69"/>
  <c r="E6853" i="69"/>
  <c r="C6853" i="69"/>
  <c r="E6852" i="69"/>
  <c r="C6852" i="69"/>
  <c r="E6851" i="69"/>
  <c r="C6851" i="69"/>
  <c r="E6850" i="69"/>
  <c r="C6850" i="69"/>
  <c r="E6849" i="69"/>
  <c r="C6849" i="69"/>
  <c r="E6848" i="69"/>
  <c r="C6848" i="69"/>
  <c r="E6847" i="69"/>
  <c r="C6847" i="69"/>
  <c r="E6846" i="69"/>
  <c r="C6846" i="69"/>
  <c r="E6845" i="69"/>
  <c r="C6845" i="69"/>
  <c r="E6844" i="69"/>
  <c r="C6844" i="69"/>
  <c r="E6843" i="69"/>
  <c r="C6843" i="69"/>
  <c r="E6842" i="69"/>
  <c r="C6842" i="69"/>
  <c r="E6841" i="69"/>
  <c r="C6841" i="69"/>
  <c r="E6840" i="69"/>
  <c r="C6840" i="69"/>
  <c r="E6839" i="69"/>
  <c r="C6839" i="69"/>
  <c r="E6838" i="69"/>
  <c r="C6838" i="69"/>
  <c r="E6837" i="69"/>
  <c r="C6837" i="69"/>
  <c r="E6836" i="69"/>
  <c r="C6836" i="69"/>
  <c r="E6835" i="69"/>
  <c r="C6835" i="69"/>
  <c r="E6834" i="69"/>
  <c r="C6834" i="69"/>
  <c r="E6833" i="69"/>
  <c r="C6833" i="69"/>
  <c r="E6832" i="69"/>
  <c r="C6832" i="69"/>
  <c r="E6831" i="69"/>
  <c r="C6831" i="69"/>
  <c r="E6830" i="69"/>
  <c r="C6830" i="69"/>
  <c r="E6829" i="69"/>
  <c r="C6829" i="69"/>
  <c r="E6828" i="69"/>
  <c r="C6828" i="69"/>
  <c r="E6827" i="69"/>
  <c r="C6827" i="69"/>
  <c r="E6826" i="69"/>
  <c r="C6826" i="69"/>
  <c r="E6825" i="69"/>
  <c r="C6825" i="69"/>
  <c r="E6824" i="69"/>
  <c r="C6824" i="69"/>
  <c r="E6823" i="69"/>
  <c r="C6823" i="69"/>
  <c r="E6822" i="69"/>
  <c r="C6822" i="69"/>
  <c r="E6821" i="69"/>
  <c r="C6821" i="69"/>
  <c r="E6820" i="69"/>
  <c r="C6820" i="69"/>
  <c r="E6819" i="69"/>
  <c r="C6819" i="69"/>
  <c r="E6818" i="69"/>
  <c r="C6818" i="69"/>
  <c r="E6817" i="69"/>
  <c r="C6817" i="69"/>
  <c r="E6816" i="69"/>
  <c r="C6816" i="69"/>
  <c r="E6815" i="69"/>
  <c r="C6815" i="69"/>
  <c r="E6814" i="69"/>
  <c r="C6814" i="69"/>
  <c r="E6813" i="69"/>
  <c r="C6813" i="69"/>
  <c r="E6812" i="69"/>
  <c r="C6812" i="69"/>
  <c r="E6811" i="69"/>
  <c r="C6811" i="69"/>
  <c r="E6810" i="69"/>
  <c r="C6810" i="69"/>
  <c r="E6809" i="69"/>
  <c r="C6809" i="69"/>
  <c r="E6808" i="69"/>
  <c r="C6808" i="69"/>
  <c r="E6807" i="69"/>
  <c r="C6807" i="69"/>
  <c r="E6806" i="69"/>
  <c r="C6806" i="69"/>
  <c r="E6805" i="69"/>
  <c r="C6805" i="69"/>
  <c r="E6804" i="69"/>
  <c r="C6804" i="69"/>
  <c r="E6803" i="69"/>
  <c r="C6803" i="69"/>
  <c r="E6802" i="69"/>
  <c r="C6802" i="69"/>
  <c r="E6801" i="69"/>
  <c r="C6801" i="69"/>
  <c r="E6800" i="69"/>
  <c r="C6800" i="69"/>
  <c r="E6799" i="69"/>
  <c r="C6799" i="69"/>
  <c r="E6798" i="69"/>
  <c r="C6798" i="69"/>
  <c r="E6797" i="69"/>
  <c r="C6797" i="69"/>
  <c r="E6796" i="69"/>
  <c r="C6796" i="69"/>
  <c r="E6795" i="69"/>
  <c r="C6795" i="69"/>
  <c r="E6794" i="69"/>
  <c r="C6794" i="69"/>
  <c r="E6793" i="69"/>
  <c r="C6793" i="69"/>
  <c r="E6792" i="69"/>
  <c r="C6792" i="69"/>
  <c r="E6791" i="69"/>
  <c r="C6791" i="69"/>
  <c r="E6790" i="69"/>
  <c r="C6790" i="69"/>
  <c r="E6789" i="69"/>
  <c r="C6789" i="69"/>
  <c r="E6788" i="69"/>
  <c r="C6788" i="69"/>
  <c r="E6787" i="69"/>
  <c r="C6787" i="69"/>
  <c r="E6786" i="69"/>
  <c r="C6786" i="69"/>
  <c r="E6785" i="69"/>
  <c r="C6785" i="69"/>
  <c r="E6784" i="69"/>
  <c r="C6784" i="69"/>
  <c r="E6783" i="69"/>
  <c r="C6783" i="69"/>
  <c r="E6782" i="69"/>
  <c r="C6782" i="69"/>
  <c r="E6781" i="69"/>
  <c r="C6781" i="69"/>
  <c r="E6780" i="69"/>
  <c r="C6780" i="69"/>
  <c r="E6779" i="69"/>
  <c r="C6779" i="69"/>
  <c r="E6778" i="69"/>
  <c r="C6778" i="69"/>
  <c r="E6777" i="69"/>
  <c r="C6777" i="69"/>
  <c r="E6776" i="69"/>
  <c r="C6776" i="69"/>
  <c r="E6775" i="69"/>
  <c r="C6775" i="69"/>
  <c r="E6774" i="69"/>
  <c r="C6774" i="69"/>
  <c r="E6773" i="69"/>
  <c r="C6773" i="69"/>
  <c r="E6772" i="69"/>
  <c r="C6772" i="69"/>
  <c r="E6771" i="69"/>
  <c r="C6771" i="69"/>
  <c r="E6770" i="69"/>
  <c r="C6770" i="69"/>
  <c r="E6769" i="69"/>
  <c r="C6769" i="69"/>
  <c r="E6768" i="69"/>
  <c r="C6768" i="69"/>
  <c r="E6767" i="69"/>
  <c r="C6767" i="69"/>
  <c r="E6766" i="69"/>
  <c r="C6766" i="69"/>
  <c r="E6765" i="69"/>
  <c r="C6765" i="69"/>
  <c r="E6764" i="69"/>
  <c r="C6764" i="69"/>
  <c r="E6763" i="69"/>
  <c r="C6763" i="69"/>
  <c r="E6762" i="69"/>
  <c r="C6762" i="69"/>
  <c r="E6761" i="69"/>
  <c r="C6761" i="69"/>
  <c r="E6760" i="69"/>
  <c r="C6760" i="69"/>
  <c r="E6759" i="69"/>
  <c r="C6759" i="69"/>
  <c r="E6758" i="69"/>
  <c r="C6758" i="69"/>
  <c r="E6757" i="69"/>
  <c r="C6757" i="69"/>
  <c r="E6756" i="69"/>
  <c r="C6756" i="69"/>
  <c r="E6755" i="69"/>
  <c r="C6755" i="69"/>
  <c r="E6754" i="69"/>
  <c r="C6754" i="69"/>
  <c r="E6753" i="69"/>
  <c r="C6753" i="69"/>
  <c r="E6752" i="69"/>
  <c r="C6752" i="69"/>
  <c r="E6751" i="69"/>
  <c r="C6751" i="69"/>
  <c r="E6750" i="69"/>
  <c r="C6750" i="69"/>
  <c r="E6749" i="69"/>
  <c r="C6749" i="69"/>
  <c r="E6748" i="69"/>
  <c r="C6748" i="69"/>
  <c r="E6747" i="69"/>
  <c r="C6747" i="69"/>
  <c r="E6746" i="69"/>
  <c r="C6746" i="69"/>
  <c r="E6745" i="69"/>
  <c r="C6745" i="69"/>
  <c r="E6744" i="69"/>
  <c r="C6744" i="69"/>
  <c r="E6743" i="69"/>
  <c r="C6743" i="69"/>
  <c r="E6742" i="69"/>
  <c r="C6742" i="69"/>
  <c r="E6741" i="69"/>
  <c r="C6741" i="69"/>
  <c r="E6740" i="69"/>
  <c r="C6740" i="69"/>
  <c r="E6739" i="69"/>
  <c r="C6739" i="69"/>
  <c r="E6738" i="69"/>
  <c r="C6738" i="69"/>
  <c r="E6737" i="69"/>
  <c r="C6737" i="69"/>
  <c r="E6736" i="69"/>
  <c r="C6736" i="69"/>
  <c r="E6735" i="69"/>
  <c r="C6735" i="69"/>
  <c r="E6734" i="69"/>
  <c r="C6734" i="69"/>
  <c r="E6733" i="69"/>
  <c r="C6733" i="69"/>
  <c r="E6732" i="69"/>
  <c r="C6732" i="69"/>
  <c r="E6731" i="69"/>
  <c r="C6731" i="69"/>
  <c r="E6730" i="69"/>
  <c r="C6730" i="69"/>
  <c r="E6729" i="69"/>
  <c r="C6729" i="69"/>
  <c r="E6728" i="69"/>
  <c r="C6728" i="69"/>
  <c r="E6727" i="69"/>
  <c r="C6727" i="69"/>
  <c r="E6726" i="69"/>
  <c r="C6726" i="69"/>
  <c r="E6725" i="69"/>
  <c r="C6725" i="69"/>
  <c r="E6724" i="69"/>
  <c r="C6724" i="69"/>
  <c r="E6723" i="69"/>
  <c r="C6723" i="69"/>
  <c r="E6722" i="69"/>
  <c r="C6722" i="69"/>
  <c r="E6721" i="69"/>
  <c r="C6721" i="69"/>
  <c r="E6720" i="69"/>
  <c r="C6720" i="69"/>
  <c r="E6719" i="69"/>
  <c r="C6719" i="69"/>
  <c r="E6718" i="69"/>
  <c r="C6718" i="69"/>
  <c r="E6717" i="69"/>
  <c r="C6717" i="69"/>
  <c r="E6716" i="69"/>
  <c r="C6716" i="69"/>
  <c r="E6715" i="69"/>
  <c r="C6715" i="69"/>
  <c r="E6714" i="69"/>
  <c r="C6714" i="69"/>
  <c r="E6713" i="69"/>
  <c r="C6713" i="69"/>
  <c r="E6712" i="69"/>
  <c r="C6712" i="69"/>
  <c r="E6711" i="69"/>
  <c r="C6711" i="69"/>
  <c r="E6710" i="69"/>
  <c r="C6710" i="69"/>
  <c r="E6709" i="69"/>
  <c r="C6709" i="69"/>
  <c r="E6708" i="69"/>
  <c r="C6708" i="69"/>
  <c r="E6707" i="69"/>
  <c r="C6707" i="69"/>
  <c r="E6706" i="69"/>
  <c r="C6706" i="69"/>
  <c r="E6705" i="69"/>
  <c r="C6705" i="69"/>
  <c r="E6704" i="69"/>
  <c r="C6704" i="69"/>
  <c r="E6703" i="69"/>
  <c r="C6703" i="69"/>
  <c r="E6702" i="69"/>
  <c r="C6702" i="69"/>
  <c r="E6701" i="69"/>
  <c r="C6701" i="69"/>
  <c r="E6700" i="69"/>
  <c r="C6700" i="69"/>
  <c r="E6699" i="69"/>
  <c r="C6699" i="69"/>
  <c r="E6698" i="69"/>
  <c r="C6698" i="69"/>
  <c r="E6697" i="69"/>
  <c r="C6697" i="69"/>
  <c r="E6696" i="69"/>
  <c r="C6696" i="69"/>
  <c r="E6695" i="69"/>
  <c r="C6695" i="69"/>
  <c r="E6694" i="69"/>
  <c r="C6694" i="69"/>
  <c r="E6693" i="69"/>
  <c r="C6693" i="69"/>
  <c r="E6692" i="69"/>
  <c r="C6692" i="69"/>
  <c r="E6691" i="69"/>
  <c r="C6691" i="69"/>
  <c r="E6690" i="69"/>
  <c r="C6690" i="69"/>
  <c r="E6689" i="69"/>
  <c r="C6689" i="69"/>
  <c r="E6688" i="69"/>
  <c r="C6688" i="69"/>
  <c r="E6687" i="69"/>
  <c r="C6687" i="69"/>
  <c r="E6686" i="69"/>
  <c r="C6686" i="69"/>
  <c r="E6685" i="69"/>
  <c r="C6685" i="69"/>
  <c r="E6684" i="69"/>
  <c r="C6684" i="69"/>
  <c r="E6683" i="69"/>
  <c r="C6683" i="69"/>
  <c r="E6682" i="69"/>
  <c r="C6682" i="69"/>
  <c r="E6681" i="69"/>
  <c r="C6681" i="69"/>
  <c r="E6680" i="69"/>
  <c r="C6680" i="69"/>
  <c r="E6679" i="69"/>
  <c r="C6679" i="69"/>
  <c r="E6678" i="69"/>
  <c r="C6678" i="69"/>
  <c r="E6677" i="69"/>
  <c r="C6677" i="69"/>
  <c r="E6676" i="69"/>
  <c r="C6676" i="69"/>
  <c r="E6675" i="69"/>
  <c r="C6675" i="69"/>
  <c r="E6674" i="69"/>
  <c r="C6674" i="69"/>
  <c r="E6673" i="69"/>
  <c r="C6673" i="69"/>
  <c r="E6672" i="69"/>
  <c r="C6672" i="69"/>
  <c r="E6671" i="69"/>
  <c r="C6671" i="69"/>
  <c r="E6670" i="69"/>
  <c r="C6670" i="69"/>
  <c r="E6669" i="69"/>
  <c r="C6669" i="69"/>
  <c r="E6668" i="69"/>
  <c r="C6668" i="69"/>
  <c r="E6667" i="69"/>
  <c r="C6667" i="69"/>
  <c r="E6666" i="69"/>
  <c r="C6666" i="69"/>
  <c r="E6665" i="69"/>
  <c r="C6665" i="69"/>
  <c r="E6664" i="69"/>
  <c r="C6664" i="69"/>
  <c r="E6663" i="69"/>
  <c r="C6663" i="69"/>
  <c r="E6662" i="69"/>
  <c r="C6662" i="69"/>
  <c r="E6661" i="69"/>
  <c r="C6661" i="69"/>
  <c r="E6660" i="69"/>
  <c r="C6660" i="69"/>
  <c r="E6659" i="69"/>
  <c r="C6659" i="69"/>
  <c r="E6658" i="69"/>
  <c r="C6658" i="69"/>
  <c r="E6657" i="69"/>
  <c r="C6657" i="69"/>
  <c r="E6656" i="69"/>
  <c r="C6656" i="69"/>
  <c r="E6655" i="69"/>
  <c r="C6655" i="69"/>
  <c r="E6654" i="69"/>
  <c r="C6654" i="69"/>
  <c r="E6653" i="69"/>
  <c r="C6653" i="69"/>
  <c r="E6652" i="69"/>
  <c r="C6652" i="69"/>
  <c r="E6651" i="69"/>
  <c r="C6651" i="69"/>
  <c r="E6650" i="69"/>
  <c r="C6650" i="69"/>
  <c r="E6649" i="69"/>
  <c r="C6649" i="69"/>
  <c r="E6648" i="69"/>
  <c r="C6648" i="69"/>
  <c r="E6647" i="69"/>
  <c r="C6647" i="69"/>
  <c r="E6646" i="69"/>
  <c r="C6646" i="69"/>
  <c r="E6645" i="69"/>
  <c r="C6645" i="69"/>
  <c r="E6644" i="69"/>
  <c r="C6644" i="69"/>
  <c r="E6643" i="69"/>
  <c r="C6643" i="69"/>
  <c r="E6642" i="69"/>
  <c r="C6642" i="69"/>
  <c r="E6641" i="69"/>
  <c r="C6641" i="69"/>
  <c r="E6640" i="69"/>
  <c r="C6640" i="69"/>
  <c r="E6639" i="69"/>
  <c r="C6639" i="69"/>
  <c r="E6638" i="69"/>
  <c r="C6638" i="69"/>
  <c r="E6637" i="69"/>
  <c r="C6637" i="69"/>
  <c r="E6636" i="69"/>
  <c r="C6636" i="69"/>
  <c r="E6635" i="69"/>
  <c r="C6635" i="69"/>
  <c r="E6634" i="69"/>
  <c r="C6634" i="69"/>
  <c r="E6633" i="69"/>
  <c r="C6633" i="69"/>
  <c r="E6632" i="69"/>
  <c r="C6632" i="69"/>
  <c r="E6631" i="69"/>
  <c r="C6631" i="69"/>
  <c r="E6630" i="69"/>
  <c r="C6630" i="69"/>
  <c r="E6629" i="69"/>
  <c r="C6629" i="69"/>
  <c r="E6628" i="69"/>
  <c r="C6628" i="69"/>
  <c r="E6627" i="69"/>
  <c r="C6627" i="69"/>
  <c r="E6626" i="69"/>
  <c r="C6626" i="69"/>
  <c r="E6625" i="69"/>
  <c r="C6625" i="69"/>
  <c r="E6624" i="69"/>
  <c r="C6624" i="69"/>
  <c r="E6623" i="69"/>
  <c r="C6623" i="69"/>
  <c r="E6622" i="69"/>
  <c r="C6622" i="69"/>
  <c r="E6621" i="69"/>
  <c r="C6621" i="69"/>
  <c r="E6620" i="69"/>
  <c r="C6620" i="69"/>
  <c r="E6619" i="69"/>
  <c r="C6619" i="69"/>
  <c r="E6618" i="69"/>
  <c r="C6618" i="69"/>
  <c r="E6617" i="69"/>
  <c r="C6617" i="69"/>
  <c r="E6616" i="69"/>
  <c r="C6616" i="69"/>
  <c r="E6615" i="69"/>
  <c r="C6615" i="69"/>
  <c r="E6614" i="69"/>
  <c r="C6614" i="69"/>
  <c r="E6613" i="69"/>
  <c r="C6613" i="69"/>
  <c r="E6612" i="69"/>
  <c r="C6612" i="69"/>
  <c r="E6611" i="69"/>
  <c r="C6611" i="69"/>
  <c r="E6610" i="69"/>
  <c r="C6610" i="69"/>
  <c r="E6609" i="69"/>
  <c r="C6609" i="69"/>
  <c r="E6608" i="69"/>
  <c r="C6608" i="69"/>
  <c r="E6607" i="69"/>
  <c r="C6607" i="69"/>
  <c r="E6606" i="69"/>
  <c r="C6606" i="69"/>
  <c r="E6605" i="69"/>
  <c r="C6605" i="69"/>
  <c r="E6604" i="69"/>
  <c r="C6604" i="69"/>
  <c r="E6603" i="69"/>
  <c r="C6603" i="69"/>
  <c r="E6602" i="69"/>
  <c r="C6602" i="69"/>
  <c r="E6601" i="69"/>
  <c r="C6601" i="69"/>
  <c r="E6600" i="69"/>
  <c r="C6600" i="69"/>
  <c r="E6599" i="69"/>
  <c r="C6599" i="69"/>
  <c r="E6598" i="69"/>
  <c r="C6598" i="69"/>
  <c r="E6597" i="69"/>
  <c r="C6597" i="69"/>
  <c r="E6596" i="69"/>
  <c r="C6596" i="69"/>
  <c r="E6595" i="69"/>
  <c r="C6595" i="69"/>
  <c r="E6594" i="69"/>
  <c r="C6594" i="69"/>
  <c r="E6593" i="69"/>
  <c r="C6593" i="69"/>
  <c r="E6592" i="69"/>
  <c r="C6592" i="69"/>
  <c r="E6591" i="69"/>
  <c r="C6591" i="69"/>
  <c r="E6590" i="69"/>
  <c r="C6590" i="69"/>
  <c r="E6589" i="69"/>
  <c r="C6589" i="69"/>
  <c r="E6588" i="69"/>
  <c r="C6588" i="69"/>
  <c r="E6587" i="69"/>
  <c r="C6587" i="69"/>
  <c r="E6586" i="69"/>
  <c r="C6586" i="69"/>
  <c r="E6585" i="69"/>
  <c r="C6585" i="69"/>
  <c r="E6584" i="69"/>
  <c r="C6584" i="69"/>
  <c r="E6583" i="69"/>
  <c r="C6583" i="69"/>
  <c r="E6582" i="69"/>
  <c r="C6582" i="69"/>
  <c r="E6581" i="69"/>
  <c r="C6581" i="69"/>
  <c r="E6580" i="69"/>
  <c r="C6580" i="69"/>
  <c r="E6579" i="69"/>
  <c r="C6579" i="69"/>
  <c r="E6578" i="69"/>
  <c r="C6578" i="69"/>
  <c r="E6577" i="69"/>
  <c r="C6577" i="69"/>
  <c r="E6576" i="69"/>
  <c r="C6576" i="69"/>
  <c r="E6575" i="69"/>
  <c r="C6575" i="69"/>
  <c r="E6574" i="69"/>
  <c r="C6574" i="69"/>
  <c r="E6573" i="69"/>
  <c r="C6573" i="69"/>
  <c r="E6572" i="69"/>
  <c r="C6572" i="69"/>
  <c r="E6571" i="69"/>
  <c r="C6571" i="69"/>
  <c r="E6570" i="69"/>
  <c r="C6570" i="69"/>
  <c r="E6569" i="69"/>
  <c r="C6569" i="69"/>
  <c r="E6568" i="69"/>
  <c r="C6568" i="69"/>
  <c r="E6567" i="69"/>
  <c r="C6567" i="69"/>
  <c r="E6566" i="69"/>
  <c r="C6566" i="69"/>
  <c r="E6565" i="69"/>
  <c r="C6565" i="69"/>
  <c r="E6564" i="69"/>
  <c r="C6564" i="69"/>
  <c r="E6563" i="69"/>
  <c r="C6563" i="69"/>
  <c r="E6562" i="69"/>
  <c r="C6562" i="69"/>
  <c r="E6561" i="69"/>
  <c r="C6561" i="69"/>
  <c r="E6560" i="69"/>
  <c r="C6560" i="69"/>
  <c r="E6559" i="69"/>
  <c r="C6559" i="69"/>
  <c r="E6558" i="69"/>
  <c r="C6558" i="69"/>
  <c r="E6557" i="69"/>
  <c r="C6557" i="69"/>
  <c r="E6556" i="69"/>
  <c r="C6556" i="69"/>
  <c r="E6555" i="69"/>
  <c r="C6555" i="69"/>
  <c r="E6554" i="69"/>
  <c r="C6554" i="69"/>
  <c r="E6553" i="69"/>
  <c r="C6553" i="69"/>
  <c r="E6552" i="69"/>
  <c r="C6552" i="69"/>
  <c r="E6551" i="69"/>
  <c r="C6551" i="69"/>
  <c r="E6550" i="69"/>
  <c r="C6550" i="69"/>
  <c r="E6549" i="69"/>
  <c r="C6549" i="69"/>
  <c r="E6548" i="69"/>
  <c r="C6548" i="69"/>
  <c r="E6547" i="69"/>
  <c r="C6547" i="69"/>
  <c r="E6546" i="69"/>
  <c r="C6546" i="69"/>
  <c r="E6545" i="69"/>
  <c r="C6545" i="69"/>
  <c r="E6544" i="69"/>
  <c r="C6544" i="69"/>
  <c r="E6543" i="69"/>
  <c r="C6543" i="69"/>
  <c r="E6542" i="69"/>
  <c r="C6542" i="69"/>
  <c r="E6541" i="69"/>
  <c r="C6541" i="69"/>
  <c r="E6540" i="69"/>
  <c r="C6540" i="69"/>
  <c r="E6539" i="69"/>
  <c r="C6539" i="69"/>
  <c r="E6538" i="69"/>
  <c r="C6538" i="69"/>
  <c r="E6537" i="69"/>
  <c r="C6537" i="69"/>
  <c r="E6536" i="69"/>
  <c r="C6536" i="69"/>
  <c r="E6535" i="69"/>
  <c r="C6535" i="69"/>
  <c r="E6534" i="69"/>
  <c r="C6534" i="69"/>
  <c r="E6533" i="69"/>
  <c r="C6533" i="69"/>
  <c r="E6532" i="69"/>
  <c r="C6532" i="69"/>
  <c r="E6531" i="69"/>
  <c r="C6531" i="69"/>
  <c r="E6530" i="69"/>
  <c r="C6530" i="69"/>
  <c r="E6529" i="69"/>
  <c r="C6529" i="69"/>
  <c r="E6528" i="69"/>
  <c r="C6528" i="69"/>
  <c r="E6527" i="69"/>
  <c r="C6527" i="69"/>
  <c r="E6526" i="69"/>
  <c r="C6526" i="69"/>
  <c r="E6525" i="69"/>
  <c r="C6525" i="69"/>
  <c r="E6524" i="69"/>
  <c r="C6524" i="69"/>
  <c r="E6523" i="69"/>
  <c r="C6523" i="69"/>
  <c r="E6522" i="69"/>
  <c r="C6522" i="69"/>
  <c r="E6521" i="69"/>
  <c r="C6521" i="69"/>
  <c r="E6520" i="69"/>
  <c r="C6520" i="69"/>
  <c r="E6519" i="69"/>
  <c r="C6519" i="69"/>
  <c r="E6518" i="69"/>
  <c r="C6518" i="69"/>
  <c r="E6517" i="69"/>
  <c r="C6517" i="69"/>
  <c r="E6516" i="69"/>
  <c r="C6516" i="69"/>
  <c r="E6515" i="69"/>
  <c r="C6515" i="69"/>
  <c r="E6514" i="69"/>
  <c r="C6514" i="69"/>
  <c r="E6513" i="69"/>
  <c r="C6513" i="69"/>
  <c r="E6512" i="69"/>
  <c r="C6512" i="69"/>
  <c r="E6511" i="69"/>
  <c r="C6511" i="69"/>
  <c r="E6510" i="69"/>
  <c r="C6510" i="69"/>
  <c r="E6509" i="69"/>
  <c r="C6509" i="69"/>
  <c r="E6508" i="69"/>
  <c r="C6508" i="69"/>
  <c r="E6507" i="69"/>
  <c r="C6507" i="69"/>
  <c r="E6506" i="69"/>
  <c r="C6506" i="69"/>
  <c r="E6505" i="69"/>
  <c r="C6505" i="69"/>
  <c r="E6504" i="69"/>
  <c r="C6504" i="69"/>
  <c r="E6503" i="69"/>
  <c r="C6503" i="69"/>
  <c r="E6502" i="69"/>
  <c r="C6502" i="69"/>
  <c r="E6501" i="69"/>
  <c r="C6501" i="69"/>
  <c r="E6500" i="69"/>
  <c r="C6500" i="69"/>
  <c r="E6499" i="69"/>
  <c r="C6499" i="69"/>
  <c r="E6498" i="69"/>
  <c r="C6498" i="69"/>
  <c r="E6497" i="69"/>
  <c r="C6497" i="69"/>
  <c r="E6496" i="69"/>
  <c r="C6496" i="69"/>
  <c r="E6495" i="69"/>
  <c r="C6495" i="69"/>
  <c r="E6494" i="69"/>
  <c r="C6494" i="69"/>
  <c r="E6493" i="69"/>
  <c r="C6493" i="69"/>
  <c r="E6492" i="69"/>
  <c r="C6492" i="69"/>
  <c r="E6491" i="69"/>
  <c r="C6491" i="69"/>
  <c r="E6490" i="69"/>
  <c r="C6490" i="69"/>
  <c r="E6489" i="69"/>
  <c r="C6489" i="69"/>
  <c r="E6488" i="69"/>
  <c r="C6488" i="69"/>
  <c r="E6487" i="69"/>
  <c r="C6487" i="69"/>
  <c r="E6486" i="69"/>
  <c r="C6486" i="69"/>
  <c r="E6485" i="69"/>
  <c r="C6485" i="69"/>
  <c r="E6484" i="69"/>
  <c r="C6484" i="69"/>
  <c r="E6483" i="69"/>
  <c r="C6483" i="69"/>
  <c r="E6482" i="69"/>
  <c r="C6482" i="69"/>
  <c r="E6481" i="69"/>
  <c r="C6481" i="69"/>
  <c r="E6480" i="69"/>
  <c r="C6480" i="69"/>
  <c r="E6479" i="69"/>
  <c r="C6479" i="69"/>
  <c r="E6478" i="69"/>
  <c r="C6478" i="69"/>
  <c r="E6477" i="69"/>
  <c r="C6477" i="69"/>
  <c r="E6476" i="69"/>
  <c r="C6476" i="69"/>
  <c r="E6475" i="69"/>
  <c r="C6475" i="69"/>
  <c r="E6474" i="69"/>
  <c r="C6474" i="69"/>
  <c r="E6473" i="69"/>
  <c r="C6473" i="69"/>
  <c r="E6472" i="69"/>
  <c r="C6472" i="69"/>
  <c r="E6471" i="69"/>
  <c r="C6471" i="69"/>
  <c r="E6470" i="69"/>
  <c r="C6470" i="69"/>
  <c r="E6469" i="69"/>
  <c r="C6469" i="69"/>
  <c r="E6468" i="69"/>
  <c r="C6468" i="69"/>
  <c r="E6467" i="69"/>
  <c r="C6467" i="69"/>
  <c r="E6466" i="69"/>
  <c r="C6466" i="69"/>
  <c r="E6465" i="69"/>
  <c r="C6465" i="69"/>
  <c r="E6464" i="69"/>
  <c r="C6464" i="69"/>
  <c r="E6463" i="69"/>
  <c r="C6463" i="69"/>
  <c r="E6462" i="69"/>
  <c r="C6462" i="69"/>
  <c r="E6461" i="69"/>
  <c r="C6461" i="69"/>
  <c r="E6460" i="69"/>
  <c r="C6460" i="69"/>
  <c r="E6459" i="69"/>
  <c r="C6459" i="69"/>
  <c r="E6458" i="69"/>
  <c r="C6458" i="69"/>
  <c r="E6457" i="69"/>
  <c r="C6457" i="69"/>
  <c r="E6456" i="69"/>
  <c r="C6456" i="69"/>
  <c r="E6455" i="69"/>
  <c r="C6455" i="69"/>
  <c r="E6454" i="69"/>
  <c r="C6454" i="69"/>
  <c r="E6453" i="69"/>
  <c r="C6453" i="69"/>
  <c r="E6452" i="69"/>
  <c r="C6452" i="69"/>
  <c r="E6451" i="69"/>
  <c r="C6451" i="69"/>
  <c r="E6450" i="69"/>
  <c r="C6450" i="69"/>
  <c r="E6449" i="69"/>
  <c r="C6449" i="69"/>
  <c r="E6448" i="69"/>
  <c r="C6448" i="69"/>
  <c r="E6447" i="69"/>
  <c r="C6447" i="69"/>
  <c r="E6446" i="69"/>
  <c r="C6446" i="69"/>
  <c r="E6445" i="69"/>
  <c r="C6445" i="69"/>
  <c r="E6444" i="69"/>
  <c r="C6444" i="69"/>
  <c r="E6443" i="69"/>
  <c r="C6443" i="69"/>
  <c r="E6442" i="69"/>
  <c r="C6442" i="69"/>
  <c r="E6441" i="69"/>
  <c r="C6441" i="69"/>
  <c r="E6440" i="69"/>
  <c r="C6440" i="69"/>
  <c r="E6439" i="69"/>
  <c r="C6439" i="69"/>
  <c r="E6438" i="69"/>
  <c r="C6438" i="69"/>
  <c r="E6437" i="69"/>
  <c r="C6437" i="69"/>
  <c r="E6436" i="69"/>
  <c r="C6436" i="69"/>
  <c r="E6435" i="69"/>
  <c r="C6435" i="69"/>
  <c r="E6434" i="69"/>
  <c r="C6434" i="69"/>
  <c r="E6433" i="69"/>
  <c r="C6433" i="69"/>
  <c r="E6432" i="69"/>
  <c r="C6432" i="69"/>
  <c r="E6431" i="69"/>
  <c r="C6431" i="69"/>
  <c r="E6430" i="69"/>
  <c r="C6430" i="69"/>
  <c r="E6429" i="69"/>
  <c r="C6429" i="69"/>
  <c r="E6428" i="69"/>
  <c r="C6428" i="69"/>
  <c r="E6427" i="69"/>
  <c r="C6427" i="69"/>
  <c r="E6426" i="69"/>
  <c r="C6426" i="69"/>
  <c r="E6425" i="69"/>
  <c r="C6425" i="69"/>
  <c r="E6424" i="69"/>
  <c r="C6424" i="69"/>
  <c r="E6423" i="69"/>
  <c r="C6423" i="69"/>
  <c r="E6422" i="69"/>
  <c r="C6422" i="69"/>
  <c r="E6421" i="69"/>
  <c r="C6421" i="69"/>
  <c r="E6420" i="69"/>
  <c r="C6420" i="69"/>
  <c r="E6419" i="69"/>
  <c r="C6419" i="69"/>
  <c r="E6418" i="69"/>
  <c r="C6418" i="69"/>
  <c r="E6417" i="69"/>
  <c r="C6417" i="69"/>
  <c r="E6416" i="69"/>
  <c r="C6416" i="69"/>
  <c r="E6415" i="69"/>
  <c r="C6415" i="69"/>
  <c r="E6414" i="69"/>
  <c r="C6414" i="69"/>
  <c r="E6413" i="69"/>
  <c r="C6413" i="69"/>
  <c r="E6412" i="69"/>
  <c r="C6412" i="69"/>
  <c r="E6411" i="69"/>
  <c r="C6411" i="69"/>
  <c r="E6410" i="69"/>
  <c r="C6410" i="69"/>
  <c r="E6409" i="69"/>
  <c r="C6409" i="69"/>
  <c r="E6408" i="69"/>
  <c r="C6408" i="69"/>
  <c r="E6407" i="69"/>
  <c r="C6407" i="69"/>
  <c r="E6406" i="69"/>
  <c r="C6406" i="69"/>
  <c r="E6405" i="69"/>
  <c r="C6405" i="69"/>
  <c r="E6404" i="69"/>
  <c r="C6404" i="69"/>
  <c r="E6403" i="69"/>
  <c r="C6403" i="69"/>
  <c r="E6402" i="69"/>
  <c r="C6402" i="69"/>
  <c r="E6401" i="69"/>
  <c r="C6401" i="69"/>
  <c r="E6400" i="69"/>
  <c r="C6400" i="69"/>
  <c r="E6399" i="69"/>
  <c r="C6399" i="69"/>
  <c r="E6398" i="69"/>
  <c r="C6398" i="69"/>
  <c r="E6397" i="69"/>
  <c r="C6397" i="69"/>
  <c r="E6396" i="69"/>
  <c r="C6396" i="69"/>
  <c r="E6395" i="69"/>
  <c r="C6395" i="69"/>
  <c r="E6394" i="69"/>
  <c r="C6394" i="69"/>
  <c r="E6393" i="69"/>
  <c r="C6393" i="69"/>
  <c r="E6392" i="69"/>
  <c r="C6392" i="69"/>
  <c r="E6391" i="69"/>
  <c r="C6391" i="69"/>
  <c r="E6390" i="69"/>
  <c r="C6390" i="69"/>
  <c r="E6389" i="69"/>
  <c r="C6389" i="69"/>
  <c r="E6388" i="69"/>
  <c r="C6388" i="69"/>
  <c r="E6387" i="69"/>
  <c r="C6387" i="69"/>
  <c r="E6386" i="69"/>
  <c r="C6386" i="69"/>
  <c r="E6385" i="69"/>
  <c r="C6385" i="69"/>
  <c r="E6384" i="69"/>
  <c r="C6384" i="69"/>
  <c r="E6383" i="69"/>
  <c r="C6383" i="69"/>
  <c r="E6382" i="69"/>
  <c r="C6382" i="69"/>
  <c r="E6381" i="69"/>
  <c r="C6381" i="69"/>
  <c r="E6380" i="69"/>
  <c r="C6380" i="69"/>
  <c r="E6379" i="69"/>
  <c r="C6379" i="69"/>
  <c r="E6378" i="69"/>
  <c r="C6378" i="69"/>
  <c r="E6377" i="69"/>
  <c r="C6377" i="69"/>
  <c r="E6376" i="69"/>
  <c r="C6376" i="69"/>
  <c r="E6375" i="69"/>
  <c r="C6375" i="69"/>
  <c r="E6374" i="69"/>
  <c r="C6374" i="69"/>
  <c r="E6373" i="69"/>
  <c r="C6373" i="69"/>
  <c r="E6372" i="69"/>
  <c r="C6372" i="69"/>
  <c r="E6371" i="69"/>
  <c r="C6371" i="69"/>
  <c r="E6370" i="69"/>
  <c r="C6370" i="69"/>
  <c r="E6369" i="69"/>
  <c r="C6369" i="69"/>
  <c r="E6368" i="69"/>
  <c r="C6368" i="69"/>
  <c r="E6367" i="69"/>
  <c r="C6367" i="69"/>
  <c r="E6366" i="69"/>
  <c r="C6366" i="69"/>
  <c r="E6365" i="69"/>
  <c r="C6365" i="69"/>
  <c r="E6364" i="69"/>
  <c r="C6364" i="69"/>
  <c r="E6363" i="69"/>
  <c r="C6363" i="69"/>
  <c r="E6362" i="69"/>
  <c r="C6362" i="69"/>
  <c r="E6361" i="69"/>
  <c r="C6361" i="69"/>
  <c r="E6360" i="69"/>
  <c r="C6360" i="69"/>
  <c r="E6359" i="69"/>
  <c r="C6359" i="69"/>
  <c r="E6358" i="69"/>
  <c r="C6358" i="69"/>
  <c r="E6357" i="69"/>
  <c r="C6357" i="69"/>
  <c r="E6356" i="69"/>
  <c r="C6356" i="69"/>
  <c r="E6355" i="69"/>
  <c r="C6355" i="69"/>
  <c r="E6354" i="69"/>
  <c r="C6354" i="69"/>
  <c r="E6353" i="69"/>
  <c r="C6353" i="69"/>
  <c r="E6352" i="69"/>
  <c r="C6352" i="69"/>
  <c r="E6351" i="69"/>
  <c r="C6351" i="69"/>
  <c r="E6350" i="69"/>
  <c r="C6350" i="69"/>
  <c r="E6349" i="69"/>
  <c r="C6349" i="69"/>
  <c r="E6348" i="69"/>
  <c r="C6348" i="69"/>
  <c r="E6347" i="69"/>
  <c r="C6347" i="69"/>
  <c r="E6346" i="69"/>
  <c r="C6346" i="69"/>
  <c r="E6345" i="69"/>
  <c r="C6345" i="69"/>
  <c r="E6344" i="69"/>
  <c r="C6344" i="69"/>
  <c r="E6343" i="69"/>
  <c r="C6343" i="69"/>
  <c r="E6342" i="69"/>
  <c r="C6342" i="69"/>
  <c r="E6341" i="69"/>
  <c r="C6341" i="69"/>
  <c r="E6340" i="69"/>
  <c r="C6340" i="69"/>
  <c r="E6339" i="69"/>
  <c r="C6339" i="69"/>
  <c r="E6338" i="69"/>
  <c r="C6338" i="69"/>
  <c r="E6337" i="69"/>
  <c r="C6337" i="69"/>
  <c r="E6336" i="69"/>
  <c r="C6336" i="69"/>
  <c r="E6335" i="69"/>
  <c r="C6335" i="69"/>
  <c r="E6334" i="69"/>
  <c r="C6334" i="69"/>
  <c r="E6333" i="69"/>
  <c r="C6333" i="69"/>
  <c r="E6332" i="69"/>
  <c r="C6332" i="69"/>
  <c r="E6331" i="69"/>
  <c r="C6331" i="69"/>
  <c r="E6330" i="69"/>
  <c r="C6330" i="69"/>
  <c r="E6329" i="69"/>
  <c r="C6329" i="69"/>
  <c r="E6328" i="69"/>
  <c r="C6328" i="69"/>
  <c r="E6327" i="69"/>
  <c r="C6327" i="69"/>
  <c r="E6326" i="69"/>
  <c r="C6326" i="69"/>
  <c r="E6325" i="69"/>
  <c r="C6325" i="69"/>
  <c r="E6324" i="69"/>
  <c r="C6324" i="69"/>
  <c r="E6323" i="69"/>
  <c r="C6323" i="69"/>
  <c r="E6322" i="69"/>
  <c r="C6322" i="69"/>
  <c r="E6321" i="69"/>
  <c r="C6321" i="69"/>
  <c r="E6320" i="69"/>
  <c r="C6320" i="69"/>
  <c r="E6319" i="69"/>
  <c r="C6319" i="69"/>
  <c r="E6318" i="69"/>
  <c r="C6318" i="69"/>
  <c r="E6317" i="69"/>
  <c r="C6317" i="69"/>
  <c r="E6316" i="69"/>
  <c r="C6316" i="69"/>
  <c r="E6315" i="69"/>
  <c r="C6315" i="69"/>
  <c r="E6314" i="69"/>
  <c r="C6314" i="69"/>
  <c r="E6313" i="69"/>
  <c r="C6313" i="69"/>
  <c r="E6312" i="69"/>
  <c r="C6312" i="69"/>
  <c r="E6311" i="69"/>
  <c r="C6311" i="69"/>
  <c r="E6310" i="69"/>
  <c r="C6310" i="69"/>
  <c r="E6309" i="69"/>
  <c r="C6309" i="69"/>
  <c r="E6308" i="69"/>
  <c r="C6308" i="69"/>
  <c r="E6307" i="69"/>
  <c r="C6307" i="69"/>
  <c r="E6306" i="69"/>
  <c r="C6306" i="69"/>
  <c r="E6305" i="69"/>
  <c r="C6305" i="69"/>
  <c r="E6304" i="69"/>
  <c r="C6304" i="69"/>
  <c r="E6303" i="69"/>
  <c r="C6303" i="69"/>
  <c r="E6302" i="69"/>
  <c r="C6302" i="69"/>
  <c r="E6301" i="69"/>
  <c r="C6301" i="69"/>
  <c r="E6300" i="69"/>
  <c r="C6300" i="69"/>
  <c r="E6299" i="69"/>
  <c r="C6299" i="69"/>
  <c r="E6298" i="69"/>
  <c r="C6298" i="69"/>
  <c r="E6297" i="69"/>
  <c r="C6297" i="69"/>
  <c r="E6296" i="69"/>
  <c r="C6296" i="69"/>
  <c r="E6295" i="69"/>
  <c r="C6295" i="69"/>
  <c r="E6294" i="69"/>
  <c r="C6294" i="69"/>
  <c r="E6293" i="69"/>
  <c r="C6293" i="69"/>
  <c r="E6292" i="69"/>
  <c r="C6292" i="69"/>
  <c r="E6291" i="69"/>
  <c r="C6291" i="69"/>
  <c r="E6290" i="69"/>
  <c r="C6290" i="69"/>
  <c r="E6289" i="69"/>
  <c r="C6289" i="69"/>
  <c r="E6288" i="69"/>
  <c r="C6288" i="69"/>
  <c r="E6287" i="69"/>
  <c r="C6287" i="69"/>
  <c r="E6286" i="69"/>
  <c r="C6286" i="69"/>
  <c r="E6285" i="69"/>
  <c r="C6285" i="69"/>
  <c r="E6284" i="69"/>
  <c r="C6284" i="69"/>
  <c r="E6283" i="69"/>
  <c r="C6283" i="69"/>
  <c r="E6282" i="69"/>
  <c r="C6282" i="69"/>
  <c r="E6281" i="69"/>
  <c r="C6281" i="69"/>
  <c r="E6280" i="69"/>
  <c r="C6280" i="69"/>
  <c r="E6279" i="69"/>
  <c r="C6279" i="69"/>
  <c r="E6278" i="69"/>
  <c r="C6278" i="69"/>
  <c r="E6277" i="69"/>
  <c r="C6277" i="69"/>
  <c r="E6276" i="69"/>
  <c r="C6276" i="69"/>
  <c r="E6275" i="69"/>
  <c r="C6275" i="69"/>
  <c r="E6274" i="69"/>
  <c r="C6274" i="69"/>
  <c r="E6273" i="69"/>
  <c r="C6273" i="69"/>
  <c r="E6272" i="69"/>
  <c r="C6272" i="69"/>
  <c r="E6271" i="69"/>
  <c r="C6271" i="69"/>
  <c r="E6270" i="69"/>
  <c r="C6270" i="69"/>
  <c r="E6269" i="69"/>
  <c r="C6269" i="69"/>
  <c r="E6268" i="69"/>
  <c r="C6268" i="69"/>
  <c r="E6267" i="69"/>
  <c r="C6267" i="69"/>
  <c r="E6266" i="69"/>
  <c r="C6266" i="69"/>
  <c r="E6265" i="69"/>
  <c r="C6265" i="69"/>
  <c r="E6264" i="69"/>
  <c r="C6264" i="69"/>
  <c r="E6263" i="69"/>
  <c r="C6263" i="69"/>
  <c r="E6262" i="69"/>
  <c r="C6262" i="69"/>
  <c r="E6261" i="69"/>
  <c r="C6261" i="69"/>
  <c r="E6260" i="69"/>
  <c r="C6260" i="69"/>
  <c r="E6259" i="69"/>
  <c r="C6259" i="69"/>
  <c r="E6258" i="69"/>
  <c r="C6258" i="69"/>
  <c r="E6257" i="69"/>
  <c r="C6257" i="69"/>
  <c r="E6256" i="69"/>
  <c r="C6256" i="69"/>
  <c r="E6255" i="69"/>
  <c r="C6255" i="69"/>
  <c r="E6254" i="69"/>
  <c r="C6254" i="69"/>
  <c r="E6253" i="69"/>
  <c r="C6253" i="69"/>
  <c r="E6252" i="69"/>
  <c r="C6252" i="69"/>
  <c r="E6251" i="69"/>
  <c r="C6251" i="69"/>
  <c r="E6250" i="69"/>
  <c r="C6250" i="69"/>
  <c r="E6249" i="69"/>
  <c r="C6249" i="69"/>
  <c r="E6248" i="69"/>
  <c r="C6248" i="69"/>
  <c r="E6247" i="69"/>
  <c r="C6247" i="69"/>
  <c r="E6246" i="69"/>
  <c r="C6246" i="69"/>
  <c r="E6245" i="69"/>
  <c r="C6245" i="69"/>
  <c r="E6244" i="69"/>
  <c r="C6244" i="69"/>
  <c r="E6243" i="69"/>
  <c r="C6243" i="69"/>
  <c r="E6242" i="69"/>
  <c r="C6242" i="69"/>
  <c r="E6241" i="69"/>
  <c r="C6241" i="69"/>
  <c r="E6240" i="69"/>
  <c r="C6240" i="69"/>
  <c r="E6239" i="69"/>
  <c r="C6239" i="69"/>
  <c r="E6238" i="69"/>
  <c r="C6238" i="69"/>
  <c r="E6237" i="69"/>
  <c r="C6237" i="69"/>
  <c r="E6236" i="69"/>
  <c r="C6236" i="69"/>
  <c r="E6235" i="69"/>
  <c r="C6235" i="69"/>
  <c r="E6234" i="69"/>
  <c r="C6234" i="69"/>
  <c r="E6233" i="69"/>
  <c r="C6233" i="69"/>
  <c r="E6232" i="69"/>
  <c r="C6232" i="69"/>
  <c r="E6231" i="69"/>
  <c r="C6231" i="69"/>
  <c r="E6230" i="69"/>
  <c r="C6230" i="69"/>
  <c r="E6229" i="69"/>
  <c r="C6229" i="69"/>
  <c r="E6228" i="69"/>
  <c r="C6228" i="69"/>
  <c r="E6227" i="69"/>
  <c r="C6227" i="69"/>
  <c r="E6226" i="69"/>
  <c r="C6226" i="69"/>
  <c r="E6225" i="69"/>
  <c r="C6225" i="69"/>
  <c r="E6224" i="69"/>
  <c r="C6224" i="69"/>
  <c r="E6223" i="69"/>
  <c r="C6223" i="69"/>
  <c r="E6222" i="69"/>
  <c r="C6222" i="69"/>
  <c r="E6221" i="69"/>
  <c r="C6221" i="69"/>
  <c r="E6220" i="69"/>
  <c r="C6220" i="69"/>
  <c r="E6219" i="69"/>
  <c r="C6219" i="69"/>
  <c r="E6218" i="69"/>
  <c r="C6218" i="69"/>
  <c r="E6217" i="69"/>
  <c r="C6217" i="69"/>
  <c r="E6216" i="69"/>
  <c r="C6216" i="69"/>
  <c r="E6215" i="69"/>
  <c r="C6215" i="69"/>
  <c r="E6214" i="69"/>
  <c r="C6214" i="69"/>
  <c r="E6213" i="69"/>
  <c r="C6213" i="69"/>
  <c r="E6212" i="69"/>
  <c r="C6212" i="69"/>
  <c r="E6211" i="69"/>
  <c r="C6211" i="69"/>
  <c r="E6210" i="69"/>
  <c r="C6210" i="69"/>
  <c r="E6209" i="69"/>
  <c r="C6209" i="69"/>
  <c r="E6208" i="69"/>
  <c r="C6208" i="69"/>
  <c r="E6207" i="69"/>
  <c r="C6207" i="69"/>
  <c r="E6206" i="69"/>
  <c r="C6206" i="69"/>
  <c r="E6205" i="69"/>
  <c r="C6205" i="69"/>
  <c r="E6204" i="69"/>
  <c r="C6204" i="69"/>
  <c r="E6203" i="69"/>
  <c r="C6203" i="69"/>
  <c r="E6202" i="69"/>
  <c r="C6202" i="69"/>
  <c r="E6201" i="69"/>
  <c r="C6201" i="69"/>
  <c r="E6200" i="69"/>
  <c r="C6200" i="69"/>
  <c r="E6199" i="69"/>
  <c r="C6199" i="69"/>
  <c r="E6198" i="69"/>
  <c r="C6198" i="69"/>
  <c r="E6197" i="69"/>
  <c r="C6197" i="69"/>
  <c r="E6196" i="69"/>
  <c r="C6196" i="69"/>
  <c r="E6195" i="69"/>
  <c r="C6195" i="69"/>
  <c r="E6194" i="69"/>
  <c r="C6194" i="69"/>
  <c r="E6193" i="69"/>
  <c r="C6193" i="69"/>
  <c r="E6192" i="69"/>
  <c r="C6192" i="69"/>
  <c r="E6191" i="69"/>
  <c r="C6191" i="69"/>
  <c r="E6190" i="69"/>
  <c r="C6190" i="69"/>
  <c r="E6189" i="69"/>
  <c r="C6189" i="69"/>
  <c r="E6188" i="69"/>
  <c r="C6188" i="69"/>
  <c r="E6187" i="69"/>
  <c r="C6187" i="69"/>
  <c r="E6186" i="69"/>
  <c r="C6186" i="69"/>
  <c r="E6185" i="69"/>
  <c r="C6185" i="69"/>
  <c r="E6184" i="69"/>
  <c r="C6184" i="69"/>
  <c r="E6183" i="69"/>
  <c r="C6183" i="69"/>
  <c r="E6182" i="69"/>
  <c r="C6182" i="69"/>
  <c r="E6181" i="69"/>
  <c r="C6181" i="69"/>
  <c r="E6180" i="69"/>
  <c r="C6180" i="69"/>
  <c r="E6179" i="69"/>
  <c r="C6179" i="69"/>
  <c r="E6178" i="69"/>
  <c r="C6178" i="69"/>
  <c r="E6177" i="69"/>
  <c r="C6177" i="69"/>
  <c r="E6176" i="69"/>
  <c r="C6176" i="69"/>
  <c r="E6175" i="69"/>
  <c r="C6175" i="69"/>
  <c r="E6174" i="69"/>
  <c r="C6174" i="69"/>
  <c r="E6173" i="69"/>
  <c r="C6173" i="69"/>
  <c r="E6172" i="69"/>
  <c r="C6172" i="69"/>
  <c r="E6171" i="69"/>
  <c r="C6171" i="69"/>
  <c r="E6170" i="69"/>
  <c r="C6170" i="69"/>
  <c r="E6169" i="69"/>
  <c r="C6169" i="69"/>
  <c r="E6168" i="69"/>
  <c r="C6168" i="69"/>
  <c r="E6167" i="69"/>
  <c r="C6167" i="69"/>
  <c r="E6166" i="69"/>
  <c r="C6166" i="69"/>
  <c r="E6165" i="69"/>
  <c r="C6165" i="69"/>
  <c r="E6164" i="69"/>
  <c r="C6164" i="69"/>
  <c r="E6163" i="69"/>
  <c r="C6163" i="69"/>
  <c r="E6162" i="69"/>
  <c r="C6162" i="69"/>
  <c r="E6161" i="69"/>
  <c r="C6161" i="69"/>
  <c r="E6160" i="69"/>
  <c r="C6160" i="69"/>
  <c r="E6159" i="69"/>
  <c r="C6159" i="69"/>
  <c r="E6158" i="69"/>
  <c r="C6158" i="69"/>
  <c r="E6157" i="69"/>
  <c r="C6157" i="69"/>
  <c r="E6156" i="69"/>
  <c r="C6156" i="69"/>
  <c r="E6155" i="69"/>
  <c r="C6155" i="69"/>
  <c r="E6154" i="69"/>
  <c r="C6154" i="69"/>
  <c r="E6153" i="69"/>
  <c r="C6153" i="69"/>
  <c r="E6152" i="69"/>
  <c r="C6152" i="69"/>
  <c r="E6151" i="69"/>
  <c r="C6151" i="69"/>
  <c r="E6150" i="69"/>
  <c r="C6150" i="69"/>
  <c r="E6149" i="69"/>
  <c r="C6149" i="69"/>
  <c r="E6148" i="69"/>
  <c r="C6148" i="69"/>
  <c r="E6147" i="69"/>
  <c r="C6147" i="69"/>
  <c r="E6146" i="69"/>
  <c r="C6146" i="69"/>
  <c r="E6145" i="69"/>
  <c r="C6145" i="69"/>
  <c r="E6144" i="69"/>
  <c r="C6144" i="69"/>
  <c r="E6143" i="69"/>
  <c r="C6143" i="69"/>
  <c r="E6142" i="69"/>
  <c r="C6142" i="69"/>
  <c r="E6141" i="69"/>
  <c r="C6141" i="69"/>
  <c r="E6140" i="69"/>
  <c r="C6140" i="69"/>
  <c r="E6139" i="69"/>
  <c r="C6139" i="69"/>
  <c r="E6138" i="69"/>
  <c r="C6138" i="69"/>
  <c r="E6137" i="69"/>
  <c r="C6137" i="69"/>
  <c r="E6136" i="69"/>
  <c r="C6136" i="69"/>
  <c r="E6135" i="69"/>
  <c r="C6135" i="69"/>
  <c r="E6134" i="69"/>
  <c r="C6134" i="69"/>
  <c r="E6133" i="69"/>
  <c r="C6133" i="69"/>
  <c r="E6132" i="69"/>
  <c r="C6132" i="69"/>
  <c r="E6131" i="69"/>
  <c r="C6131" i="69"/>
  <c r="E6130" i="69"/>
  <c r="C6130" i="69"/>
  <c r="E6129" i="69"/>
  <c r="C6129" i="69"/>
  <c r="E6128" i="69"/>
  <c r="C6128" i="69"/>
  <c r="E6127" i="69"/>
  <c r="C6127" i="69"/>
  <c r="E6126" i="69"/>
  <c r="C6126" i="69"/>
  <c r="E6125" i="69"/>
  <c r="C6125" i="69"/>
  <c r="E6124" i="69"/>
  <c r="C6124" i="69"/>
  <c r="E6123" i="69"/>
  <c r="C6123" i="69"/>
  <c r="E6122" i="69"/>
  <c r="C6122" i="69"/>
  <c r="E6121" i="69"/>
  <c r="C6121" i="69"/>
  <c r="E6120" i="69"/>
  <c r="C6120" i="69"/>
  <c r="E6119" i="69"/>
  <c r="C6119" i="69"/>
  <c r="E6118" i="69"/>
  <c r="C6118" i="69"/>
  <c r="E6117" i="69"/>
  <c r="C6117" i="69"/>
  <c r="E6116" i="69"/>
  <c r="C6116" i="69"/>
  <c r="E6115" i="69"/>
  <c r="C6115" i="69"/>
  <c r="E6114" i="69"/>
  <c r="C6114" i="69"/>
  <c r="E6113" i="69"/>
  <c r="C6113" i="69"/>
  <c r="E6112" i="69"/>
  <c r="C6112" i="69"/>
  <c r="E6111" i="69"/>
  <c r="C6111" i="69"/>
  <c r="E6110" i="69"/>
  <c r="C6110" i="69"/>
  <c r="E6109" i="69"/>
  <c r="C6109" i="69"/>
  <c r="E6108" i="69"/>
  <c r="C6108" i="69"/>
  <c r="E6107" i="69"/>
  <c r="C6107" i="69"/>
  <c r="E6106" i="69"/>
  <c r="C6106" i="69"/>
  <c r="E6105" i="69"/>
  <c r="C6105" i="69"/>
  <c r="E6104" i="69"/>
  <c r="C6104" i="69"/>
  <c r="E6103" i="69"/>
  <c r="C6103" i="69"/>
  <c r="E6102" i="69"/>
  <c r="C6102" i="69"/>
  <c r="E6101" i="69"/>
  <c r="C6101" i="69"/>
  <c r="E6100" i="69"/>
  <c r="C6100" i="69"/>
  <c r="E6099" i="69"/>
  <c r="C6099" i="69"/>
  <c r="E6098" i="69"/>
  <c r="C6098" i="69"/>
  <c r="E6097" i="69"/>
  <c r="C6097" i="69"/>
  <c r="E6096" i="69"/>
  <c r="C6096" i="69"/>
  <c r="E6095" i="69"/>
  <c r="C6095" i="69"/>
  <c r="E6094" i="69"/>
  <c r="C6094" i="69"/>
  <c r="E6093" i="69"/>
  <c r="C6093" i="69"/>
  <c r="E6092" i="69"/>
  <c r="C6092" i="69"/>
  <c r="E6091" i="69"/>
  <c r="C6091" i="69"/>
  <c r="E6090" i="69"/>
  <c r="C6090" i="69"/>
  <c r="E6089" i="69"/>
  <c r="C6089" i="69"/>
  <c r="E6088" i="69"/>
  <c r="C6088" i="69"/>
  <c r="E6087" i="69"/>
  <c r="C6087" i="69"/>
  <c r="E6086" i="69"/>
  <c r="C6086" i="69"/>
  <c r="E6085" i="69"/>
  <c r="C6085" i="69"/>
  <c r="E6084" i="69"/>
  <c r="C6084" i="69"/>
  <c r="E6083" i="69"/>
  <c r="C6083" i="69"/>
  <c r="E6082" i="69"/>
  <c r="C6082" i="69"/>
  <c r="E6081" i="69"/>
  <c r="C6081" i="69"/>
  <c r="E6080" i="69"/>
  <c r="C6080" i="69"/>
  <c r="E6079" i="69"/>
  <c r="C6079" i="69"/>
  <c r="E6078" i="69"/>
  <c r="C6078" i="69"/>
  <c r="E6077" i="69"/>
  <c r="C6077" i="69"/>
  <c r="E6076" i="69"/>
  <c r="C6076" i="69"/>
  <c r="E6075" i="69"/>
  <c r="C6075" i="69"/>
  <c r="E6074" i="69"/>
  <c r="C6074" i="69"/>
  <c r="E6073" i="69"/>
  <c r="C6073" i="69"/>
  <c r="E6072" i="69"/>
  <c r="C6072" i="69"/>
  <c r="E6071" i="69"/>
  <c r="C6071" i="69"/>
  <c r="E6070" i="69"/>
  <c r="C6070" i="69"/>
  <c r="E6069" i="69"/>
  <c r="C6069" i="69"/>
  <c r="E6068" i="69"/>
  <c r="C6068" i="69"/>
  <c r="E6067" i="69"/>
  <c r="C6067" i="69"/>
  <c r="E6066" i="69"/>
  <c r="C6066" i="69"/>
  <c r="E6065" i="69"/>
  <c r="C6065" i="69"/>
  <c r="E6064" i="69"/>
  <c r="C6064" i="69"/>
  <c r="E6063" i="69"/>
  <c r="C6063" i="69"/>
  <c r="E6062" i="69"/>
  <c r="C6062" i="69"/>
  <c r="E6061" i="69"/>
  <c r="C6061" i="69"/>
  <c r="E6060" i="69"/>
  <c r="C6060" i="69"/>
  <c r="E6059" i="69"/>
  <c r="C6059" i="69"/>
  <c r="E6058" i="69"/>
  <c r="C6058" i="69"/>
  <c r="E6057" i="69"/>
  <c r="C6057" i="69"/>
  <c r="E6056" i="69"/>
  <c r="C6056" i="69"/>
  <c r="E6055" i="69"/>
  <c r="C6055" i="69"/>
  <c r="E6054" i="69"/>
  <c r="C6054" i="69"/>
  <c r="E6053" i="69"/>
  <c r="C6053" i="69"/>
  <c r="E6052" i="69"/>
  <c r="C6052" i="69"/>
  <c r="E6051" i="69"/>
  <c r="C6051" i="69"/>
  <c r="E6050" i="69"/>
  <c r="C6050" i="69"/>
  <c r="E6049" i="69"/>
  <c r="C6049" i="69"/>
  <c r="E6048" i="69"/>
  <c r="C6048" i="69"/>
  <c r="E6047" i="69"/>
  <c r="C6047" i="69"/>
  <c r="E6046" i="69"/>
  <c r="C6046" i="69"/>
  <c r="E6045" i="69"/>
  <c r="C6045" i="69"/>
  <c r="E6044" i="69"/>
  <c r="C6044" i="69"/>
  <c r="E6043" i="69"/>
  <c r="C6043" i="69"/>
  <c r="E6042" i="69"/>
  <c r="C6042" i="69"/>
  <c r="E6041" i="69"/>
  <c r="C6041" i="69"/>
  <c r="E6040" i="69"/>
  <c r="C6040" i="69"/>
  <c r="E6039" i="69"/>
  <c r="C6039" i="69"/>
  <c r="E6038" i="69"/>
  <c r="C6038" i="69"/>
  <c r="E6037" i="69"/>
  <c r="C6037" i="69"/>
  <c r="E6036" i="69"/>
  <c r="C6036" i="69"/>
  <c r="E6035" i="69"/>
  <c r="C6035" i="69"/>
  <c r="E6034" i="69"/>
  <c r="C6034" i="69"/>
  <c r="E6033" i="69"/>
  <c r="C6033" i="69"/>
  <c r="E6032" i="69"/>
  <c r="C6032" i="69"/>
  <c r="E6031" i="69"/>
  <c r="C6031" i="69"/>
  <c r="E6030" i="69"/>
  <c r="C6030" i="69"/>
  <c r="E6029" i="69"/>
  <c r="C6029" i="69"/>
  <c r="E6028" i="69"/>
  <c r="C6028" i="69"/>
  <c r="E6027" i="69"/>
  <c r="C6027" i="69"/>
  <c r="E6026" i="69"/>
  <c r="C6026" i="69"/>
  <c r="E6025" i="69"/>
  <c r="C6025" i="69"/>
  <c r="E6024" i="69"/>
  <c r="C6024" i="69"/>
  <c r="E6023" i="69"/>
  <c r="C6023" i="69"/>
  <c r="E6022" i="69"/>
  <c r="C6022" i="69"/>
  <c r="E6021" i="69"/>
  <c r="C6021" i="69"/>
  <c r="E6020" i="69"/>
  <c r="C6020" i="69"/>
  <c r="E6019" i="69"/>
  <c r="C6019" i="69"/>
  <c r="E6018" i="69"/>
  <c r="C6018" i="69"/>
  <c r="E6017" i="69"/>
  <c r="C6017" i="69"/>
  <c r="E6016" i="69"/>
  <c r="C6016" i="69"/>
  <c r="E6015" i="69"/>
  <c r="C6015" i="69"/>
  <c r="E6014" i="69"/>
  <c r="C6014" i="69"/>
  <c r="E6013" i="69"/>
  <c r="C6013" i="69"/>
  <c r="E6012" i="69"/>
  <c r="C6012" i="69"/>
  <c r="E6011" i="69"/>
  <c r="C6011" i="69"/>
  <c r="E6010" i="69"/>
  <c r="C6010" i="69"/>
  <c r="E6009" i="69"/>
  <c r="C6009" i="69"/>
  <c r="E6008" i="69"/>
  <c r="C6008" i="69"/>
  <c r="E6007" i="69"/>
  <c r="C6007" i="69"/>
  <c r="E6006" i="69"/>
  <c r="C6006" i="69"/>
  <c r="E6005" i="69"/>
  <c r="C6005" i="69"/>
  <c r="E6004" i="69"/>
  <c r="C6004" i="69"/>
  <c r="E6003" i="69"/>
  <c r="C6003" i="69"/>
  <c r="E6002" i="69"/>
  <c r="C6002" i="69"/>
  <c r="E6001" i="69"/>
  <c r="C6001" i="69"/>
  <c r="E6000" i="69"/>
  <c r="C6000" i="69"/>
  <c r="E5999" i="69"/>
  <c r="C5999" i="69"/>
  <c r="E5998" i="69"/>
  <c r="C5998" i="69"/>
  <c r="E5997" i="69"/>
  <c r="C5997" i="69"/>
  <c r="E5996" i="69"/>
  <c r="C5996" i="69"/>
  <c r="E5995" i="69"/>
  <c r="C5995" i="69"/>
  <c r="E5994" i="69"/>
  <c r="C5994" i="69"/>
  <c r="E5993" i="69"/>
  <c r="C5993" i="69"/>
  <c r="E5992" i="69"/>
  <c r="C5992" i="69"/>
  <c r="E5991" i="69"/>
  <c r="C5991" i="69"/>
  <c r="E5990" i="69"/>
  <c r="C5990" i="69"/>
  <c r="E5989" i="69"/>
  <c r="C5989" i="69"/>
  <c r="E5988" i="69"/>
  <c r="C5988" i="69"/>
  <c r="E5987" i="69"/>
  <c r="C5987" i="69"/>
  <c r="E5986" i="69"/>
  <c r="C5986" i="69"/>
  <c r="E5985" i="69"/>
  <c r="C5985" i="69"/>
  <c r="E5984" i="69"/>
  <c r="C5984" i="69"/>
  <c r="E5983" i="69"/>
  <c r="C5983" i="69"/>
  <c r="E5982" i="69"/>
  <c r="C5982" i="69"/>
  <c r="E5981" i="69"/>
  <c r="C5981" i="69"/>
  <c r="E5980" i="69"/>
  <c r="C5980" i="69"/>
  <c r="E5979" i="69"/>
  <c r="C5979" i="69"/>
  <c r="E5978" i="69"/>
  <c r="C5978" i="69"/>
  <c r="E5977" i="69"/>
  <c r="C5977" i="69"/>
  <c r="E5976" i="69"/>
  <c r="C5976" i="69"/>
  <c r="E5975" i="69"/>
  <c r="C5975" i="69"/>
  <c r="E5974" i="69"/>
  <c r="C5974" i="69"/>
  <c r="E5973" i="69"/>
  <c r="C5973" i="69"/>
  <c r="E5972" i="69"/>
  <c r="C5972" i="69"/>
  <c r="E5971" i="69"/>
  <c r="C5971" i="69"/>
  <c r="E5970" i="69"/>
  <c r="C5970" i="69"/>
  <c r="E5969" i="69"/>
  <c r="C5969" i="69"/>
  <c r="E5968" i="69"/>
  <c r="C5968" i="69"/>
  <c r="E5967" i="69"/>
  <c r="C5967" i="69"/>
  <c r="E5966" i="69"/>
  <c r="C5966" i="69"/>
  <c r="E5965" i="69"/>
  <c r="C5965" i="69"/>
  <c r="E5964" i="69"/>
  <c r="C5964" i="69"/>
  <c r="E5963" i="69"/>
  <c r="C5963" i="69"/>
  <c r="E5962" i="69"/>
  <c r="C5962" i="69"/>
  <c r="E5961" i="69"/>
  <c r="C5961" i="69"/>
  <c r="E5960" i="69"/>
  <c r="C5960" i="69"/>
  <c r="E5959" i="69"/>
  <c r="C5959" i="69"/>
  <c r="E5958" i="69"/>
  <c r="C5958" i="69"/>
  <c r="E5957" i="69"/>
  <c r="C5957" i="69"/>
  <c r="E5956" i="69"/>
  <c r="C5956" i="69"/>
  <c r="E5955" i="69"/>
  <c r="C5955" i="69"/>
  <c r="E5954" i="69"/>
  <c r="C5954" i="69"/>
  <c r="E5953" i="69"/>
  <c r="C5953" i="69"/>
  <c r="E5952" i="69"/>
  <c r="C5952" i="69"/>
  <c r="E5951" i="69"/>
  <c r="C5951" i="69"/>
  <c r="E5950" i="69"/>
  <c r="C5950" i="69"/>
  <c r="E5949" i="69"/>
  <c r="C5949" i="69"/>
  <c r="E5948" i="69"/>
  <c r="C5948" i="69"/>
  <c r="E5947" i="69"/>
  <c r="C5947" i="69"/>
  <c r="E5946" i="69"/>
  <c r="C5946" i="69"/>
  <c r="E5945" i="69"/>
  <c r="C5945" i="69"/>
  <c r="E5944" i="69"/>
  <c r="C5944" i="69"/>
  <c r="E5943" i="69"/>
  <c r="C5943" i="69"/>
  <c r="E5942" i="69"/>
  <c r="C5942" i="69"/>
  <c r="E5941" i="69"/>
  <c r="C5941" i="69"/>
  <c r="E5940" i="69"/>
  <c r="C5940" i="69"/>
  <c r="E5939" i="69"/>
  <c r="C5939" i="69"/>
  <c r="E5938" i="69"/>
  <c r="C5938" i="69"/>
  <c r="E5937" i="69"/>
  <c r="C5937" i="69"/>
  <c r="E5936" i="69"/>
  <c r="C5936" i="69"/>
  <c r="E5935" i="69"/>
  <c r="C5935" i="69"/>
  <c r="E5934" i="69"/>
  <c r="C5934" i="69"/>
  <c r="E5933" i="69"/>
  <c r="C5933" i="69"/>
  <c r="E5932" i="69"/>
  <c r="C5932" i="69"/>
  <c r="E5931" i="69"/>
  <c r="C5931" i="69"/>
  <c r="E5930" i="69"/>
  <c r="C5930" i="69"/>
  <c r="E5929" i="69"/>
  <c r="C5929" i="69"/>
  <c r="E5928" i="69"/>
  <c r="C5928" i="69"/>
  <c r="E5927" i="69"/>
  <c r="C5927" i="69"/>
  <c r="E5926" i="69"/>
  <c r="C5926" i="69"/>
  <c r="E5925" i="69"/>
  <c r="C5925" i="69"/>
  <c r="E5924" i="69"/>
  <c r="C5924" i="69"/>
  <c r="E5923" i="69"/>
  <c r="C5923" i="69"/>
  <c r="E5922" i="69"/>
  <c r="C5922" i="69"/>
  <c r="E5921" i="69"/>
  <c r="C5921" i="69"/>
  <c r="E5920" i="69"/>
  <c r="C5920" i="69"/>
  <c r="E5919" i="69"/>
  <c r="C5919" i="69"/>
  <c r="E5918" i="69"/>
  <c r="C5918" i="69"/>
  <c r="E5917" i="69"/>
  <c r="C5917" i="69"/>
  <c r="E5916" i="69"/>
  <c r="C5916" i="69"/>
  <c r="E5915" i="69"/>
  <c r="C5915" i="69"/>
  <c r="E5914" i="69"/>
  <c r="C5914" i="69"/>
  <c r="E5913" i="69"/>
  <c r="C5913" i="69"/>
  <c r="E5912" i="69"/>
  <c r="C5912" i="69"/>
  <c r="E5911" i="69"/>
  <c r="C5911" i="69"/>
  <c r="E5910" i="69"/>
  <c r="C5910" i="69"/>
  <c r="E5909" i="69"/>
  <c r="C5909" i="69"/>
  <c r="E5908" i="69"/>
  <c r="C5908" i="69"/>
  <c r="E5907" i="69"/>
  <c r="C5907" i="69"/>
  <c r="E5906" i="69"/>
  <c r="C5906" i="69"/>
  <c r="E5905" i="69"/>
  <c r="C5905" i="69"/>
  <c r="E5904" i="69"/>
  <c r="C5904" i="69"/>
  <c r="E5903" i="69"/>
  <c r="C5903" i="69"/>
  <c r="E5902" i="69"/>
  <c r="C5902" i="69"/>
  <c r="E5901" i="69"/>
  <c r="C5901" i="69"/>
  <c r="E5900" i="69"/>
  <c r="C5900" i="69"/>
  <c r="E5899" i="69"/>
  <c r="C5899" i="69"/>
  <c r="E5898" i="69"/>
  <c r="C5898" i="69"/>
  <c r="E5897" i="69"/>
  <c r="C5897" i="69"/>
  <c r="E5896" i="69"/>
  <c r="C5896" i="69"/>
  <c r="E5895" i="69"/>
  <c r="C5895" i="69"/>
  <c r="E5894" i="69"/>
  <c r="C5894" i="69"/>
  <c r="E5893" i="69"/>
  <c r="C5893" i="69"/>
  <c r="E5892" i="69"/>
  <c r="C5892" i="69"/>
  <c r="E5891" i="69"/>
  <c r="C5891" i="69"/>
  <c r="E5890" i="69"/>
  <c r="C5890" i="69"/>
  <c r="E5889" i="69"/>
  <c r="C5889" i="69"/>
  <c r="E5888" i="69"/>
  <c r="C5888" i="69"/>
  <c r="E5887" i="69"/>
  <c r="C5887" i="69"/>
  <c r="E5886" i="69"/>
  <c r="C5886" i="69"/>
  <c r="E5885" i="69"/>
  <c r="C5885" i="69"/>
  <c r="E5884" i="69"/>
  <c r="C5884" i="69"/>
  <c r="E5883" i="69"/>
  <c r="C5883" i="69"/>
  <c r="E5882" i="69"/>
  <c r="C5882" i="69"/>
  <c r="E5881" i="69"/>
  <c r="C5881" i="69"/>
  <c r="E5880" i="69"/>
  <c r="C5880" i="69"/>
  <c r="E5879" i="69"/>
  <c r="C5879" i="69"/>
  <c r="E5878" i="69"/>
  <c r="C5878" i="69"/>
  <c r="E5877" i="69"/>
  <c r="C5877" i="69"/>
  <c r="E5876" i="69"/>
  <c r="C5876" i="69"/>
  <c r="E5875" i="69"/>
  <c r="C5875" i="69"/>
  <c r="E5874" i="69"/>
  <c r="C5874" i="69"/>
  <c r="E5873" i="69"/>
  <c r="C5873" i="69"/>
  <c r="E5872" i="69"/>
  <c r="C5872" i="69"/>
  <c r="E5871" i="69"/>
  <c r="C5871" i="69"/>
  <c r="E5870" i="69"/>
  <c r="C5870" i="69"/>
  <c r="E5869" i="69"/>
  <c r="C5869" i="69"/>
  <c r="E5868" i="69"/>
  <c r="C5868" i="69"/>
  <c r="E5867" i="69"/>
  <c r="C5867" i="69"/>
  <c r="E5866" i="69"/>
  <c r="C5866" i="69"/>
  <c r="E5865" i="69"/>
  <c r="C5865" i="69"/>
  <c r="E5864" i="69"/>
  <c r="C5864" i="69"/>
  <c r="E5863" i="69"/>
  <c r="C5863" i="69"/>
  <c r="E5862" i="69"/>
  <c r="C5862" i="69"/>
  <c r="E5861" i="69"/>
  <c r="C5861" i="69"/>
  <c r="E5860" i="69"/>
  <c r="C5860" i="69"/>
  <c r="E5859" i="69"/>
  <c r="C5859" i="69"/>
  <c r="E5858" i="69"/>
  <c r="C5858" i="69"/>
  <c r="E5857" i="69"/>
  <c r="C5857" i="69"/>
  <c r="E5856" i="69"/>
  <c r="C5856" i="69"/>
  <c r="E5855" i="69"/>
  <c r="C5855" i="69"/>
  <c r="E5854" i="69"/>
  <c r="C5854" i="69"/>
  <c r="E5853" i="69"/>
  <c r="C5853" i="69"/>
  <c r="E5852" i="69"/>
  <c r="C5852" i="69"/>
  <c r="E5851" i="69"/>
  <c r="C5851" i="69"/>
  <c r="E5850" i="69"/>
  <c r="C5850" i="69"/>
  <c r="E5849" i="69"/>
  <c r="C5849" i="69"/>
  <c r="E5848" i="69"/>
  <c r="C5848" i="69"/>
  <c r="E5847" i="69"/>
  <c r="C5847" i="69"/>
  <c r="E5846" i="69"/>
  <c r="C5846" i="69"/>
  <c r="E5845" i="69"/>
  <c r="C5845" i="69"/>
  <c r="E5844" i="69"/>
  <c r="C5844" i="69"/>
  <c r="E5843" i="69"/>
  <c r="C5843" i="69"/>
  <c r="E5842" i="69"/>
  <c r="C5842" i="69"/>
  <c r="E5841" i="69"/>
  <c r="C5841" i="69"/>
  <c r="E5840" i="69"/>
  <c r="C5840" i="69"/>
  <c r="E5839" i="69"/>
  <c r="C5839" i="69"/>
  <c r="E5838" i="69"/>
  <c r="C5838" i="69"/>
  <c r="E5837" i="69"/>
  <c r="C5837" i="69"/>
  <c r="E5836" i="69"/>
  <c r="C5836" i="69"/>
  <c r="E5835" i="69"/>
  <c r="C5835" i="69"/>
  <c r="E5834" i="69"/>
  <c r="C5834" i="69"/>
  <c r="E5833" i="69"/>
  <c r="C5833" i="69"/>
  <c r="E5832" i="69"/>
  <c r="C5832" i="69"/>
  <c r="E5831" i="69"/>
  <c r="C5831" i="69"/>
  <c r="E5830" i="69"/>
  <c r="C5830" i="69"/>
  <c r="E5829" i="69"/>
  <c r="C5829" i="69"/>
  <c r="E5828" i="69"/>
  <c r="C5828" i="69"/>
  <c r="E5827" i="69"/>
  <c r="C5827" i="69"/>
  <c r="E5826" i="69"/>
  <c r="C5826" i="69"/>
  <c r="E5825" i="69"/>
  <c r="C5825" i="69"/>
  <c r="E5824" i="69"/>
  <c r="C5824" i="69"/>
  <c r="E5823" i="69"/>
  <c r="C5823" i="69"/>
  <c r="E5822" i="69"/>
  <c r="C5822" i="69"/>
  <c r="E5821" i="69"/>
  <c r="C5821" i="69"/>
  <c r="E5820" i="69"/>
  <c r="C5820" i="69"/>
  <c r="E5819" i="69"/>
  <c r="C5819" i="69"/>
  <c r="E5818" i="69"/>
  <c r="C5818" i="69"/>
  <c r="E5817" i="69"/>
  <c r="C5817" i="69"/>
  <c r="E5816" i="69"/>
  <c r="C5816" i="69"/>
  <c r="E5815" i="69"/>
  <c r="C5815" i="69"/>
  <c r="E5814" i="69"/>
  <c r="C5814" i="69"/>
  <c r="E5813" i="69"/>
  <c r="C5813" i="69"/>
  <c r="E5812" i="69"/>
  <c r="C5812" i="69"/>
  <c r="E5811" i="69"/>
  <c r="C5811" i="69"/>
  <c r="E5810" i="69"/>
  <c r="C5810" i="69"/>
  <c r="E5809" i="69"/>
  <c r="C5809" i="69"/>
  <c r="E5808" i="69"/>
  <c r="C5808" i="69"/>
  <c r="E5807" i="69"/>
  <c r="C5807" i="69"/>
  <c r="E5806" i="69"/>
  <c r="C5806" i="69"/>
  <c r="E5805" i="69"/>
  <c r="C5805" i="69"/>
  <c r="E5804" i="69"/>
  <c r="C5804" i="69"/>
  <c r="E5803" i="69"/>
  <c r="C5803" i="69"/>
  <c r="E5802" i="69"/>
  <c r="C5802" i="69"/>
  <c r="E5801" i="69"/>
  <c r="C5801" i="69"/>
  <c r="E5800" i="69"/>
  <c r="C5800" i="69"/>
  <c r="E5799" i="69"/>
  <c r="C5799" i="69"/>
  <c r="E5798" i="69"/>
  <c r="C5798" i="69"/>
  <c r="E5797" i="69"/>
  <c r="C5797" i="69"/>
  <c r="E5796" i="69"/>
  <c r="C5796" i="69"/>
  <c r="E5795" i="69"/>
  <c r="C5795" i="69"/>
  <c r="E5794" i="69"/>
  <c r="C5794" i="69"/>
  <c r="E5793" i="69"/>
  <c r="C5793" i="69"/>
  <c r="E5792" i="69"/>
  <c r="C5792" i="69"/>
  <c r="E5791" i="69"/>
  <c r="C5791" i="69"/>
  <c r="E5790" i="69"/>
  <c r="C5790" i="69"/>
  <c r="E5789" i="69"/>
  <c r="C5789" i="69"/>
  <c r="E5788" i="69"/>
  <c r="C5788" i="69"/>
  <c r="E5787" i="69"/>
  <c r="C5787" i="69"/>
  <c r="E5786" i="69"/>
  <c r="C5786" i="69"/>
  <c r="E5785" i="69"/>
  <c r="C5785" i="69"/>
  <c r="E5784" i="69"/>
  <c r="C5784" i="69"/>
  <c r="E5783" i="69"/>
  <c r="C5783" i="69"/>
  <c r="E5782" i="69"/>
  <c r="C5782" i="69"/>
  <c r="E5781" i="69"/>
  <c r="C5781" i="69"/>
  <c r="E5780" i="69"/>
  <c r="C5780" i="69"/>
  <c r="E5779" i="69"/>
  <c r="C5779" i="69"/>
  <c r="E5778" i="69"/>
  <c r="C5778" i="69"/>
  <c r="E5777" i="69"/>
  <c r="C5777" i="69"/>
  <c r="E5776" i="69"/>
  <c r="C5776" i="69"/>
  <c r="E5775" i="69"/>
  <c r="C5775" i="69"/>
  <c r="E5774" i="69"/>
  <c r="C5774" i="69"/>
  <c r="E5773" i="69"/>
  <c r="C5773" i="69"/>
  <c r="E5772" i="69"/>
  <c r="C5772" i="69"/>
  <c r="E5771" i="69"/>
  <c r="C5771" i="69"/>
  <c r="E5770" i="69"/>
  <c r="C5770" i="69"/>
  <c r="E5769" i="69"/>
  <c r="C5769" i="69"/>
  <c r="E5768" i="69"/>
  <c r="C5768" i="69"/>
  <c r="E5767" i="69"/>
  <c r="C5767" i="69"/>
  <c r="E5766" i="69"/>
  <c r="C5766" i="69"/>
  <c r="E5765" i="69"/>
  <c r="C5765" i="69"/>
  <c r="E5764" i="69"/>
  <c r="C5764" i="69"/>
  <c r="E5763" i="69"/>
  <c r="C5763" i="69"/>
  <c r="E5762" i="69"/>
  <c r="C5762" i="69"/>
  <c r="E5761" i="69"/>
  <c r="C5761" i="69"/>
  <c r="E5760" i="69"/>
  <c r="C5760" i="69"/>
  <c r="E5759" i="69"/>
  <c r="C5759" i="69"/>
  <c r="E5758" i="69"/>
  <c r="C5758" i="69"/>
  <c r="E5757" i="69"/>
  <c r="C5757" i="69"/>
  <c r="E5756" i="69"/>
  <c r="C5756" i="69"/>
  <c r="E5755" i="69"/>
  <c r="C5755" i="69"/>
  <c r="E5754" i="69"/>
  <c r="C5754" i="69"/>
  <c r="E5753" i="69"/>
  <c r="C5753" i="69"/>
  <c r="E5752" i="69"/>
  <c r="C5752" i="69"/>
  <c r="E5751" i="69"/>
  <c r="C5751" i="69"/>
  <c r="E5750" i="69"/>
  <c r="C5750" i="69"/>
  <c r="E5749" i="69"/>
  <c r="C5749" i="69"/>
  <c r="E5748" i="69"/>
  <c r="C5748" i="69"/>
  <c r="E5747" i="69"/>
  <c r="C5747" i="69"/>
  <c r="E5746" i="69"/>
  <c r="C5746" i="69"/>
  <c r="E5745" i="69"/>
  <c r="C5745" i="69"/>
  <c r="E5744" i="69"/>
  <c r="C5744" i="69"/>
  <c r="E5743" i="69"/>
  <c r="C5743" i="69"/>
  <c r="E5742" i="69"/>
  <c r="C5742" i="69"/>
  <c r="E5741" i="69"/>
  <c r="C5741" i="69"/>
  <c r="E5740" i="69"/>
  <c r="C5740" i="69"/>
  <c r="E5739" i="69"/>
  <c r="C5739" i="69"/>
  <c r="E5738" i="69"/>
  <c r="C5738" i="69"/>
  <c r="E5737" i="69"/>
  <c r="C5737" i="69"/>
  <c r="E5736" i="69"/>
  <c r="C5736" i="69"/>
  <c r="E5735" i="69"/>
  <c r="C5735" i="69"/>
  <c r="E5734" i="69"/>
  <c r="C5734" i="69"/>
  <c r="E5733" i="69"/>
  <c r="C5733" i="69"/>
  <c r="E5732" i="69"/>
  <c r="C5732" i="69"/>
  <c r="E5731" i="69"/>
  <c r="C5731" i="69"/>
  <c r="E5730" i="69"/>
  <c r="C5730" i="69"/>
  <c r="E5729" i="69"/>
  <c r="C5729" i="69"/>
  <c r="E5728" i="69"/>
  <c r="C5728" i="69"/>
  <c r="E5727" i="69"/>
  <c r="C5727" i="69"/>
  <c r="E5726" i="69"/>
  <c r="C5726" i="69"/>
  <c r="E5725" i="69"/>
  <c r="C5725" i="69"/>
  <c r="E5724" i="69"/>
  <c r="C5724" i="69"/>
  <c r="E5723" i="69"/>
  <c r="C5723" i="69"/>
  <c r="E5722" i="69"/>
  <c r="C5722" i="69"/>
  <c r="E5721" i="69"/>
  <c r="C5721" i="69"/>
  <c r="E5720" i="69"/>
  <c r="C5720" i="69"/>
  <c r="E5719" i="69"/>
  <c r="C5719" i="69"/>
  <c r="E5718" i="69"/>
  <c r="C5718" i="69"/>
  <c r="E5717" i="69"/>
  <c r="C5717" i="69"/>
  <c r="E5716" i="69"/>
  <c r="C5716" i="69"/>
  <c r="E5715" i="69"/>
  <c r="C5715" i="69"/>
  <c r="E5714" i="69"/>
  <c r="C5714" i="69"/>
  <c r="E5713" i="69"/>
  <c r="C5713" i="69"/>
  <c r="E5712" i="69"/>
  <c r="C5712" i="69"/>
  <c r="E5711" i="69"/>
  <c r="C5711" i="69"/>
  <c r="E5710" i="69"/>
  <c r="C5710" i="69"/>
  <c r="E5709" i="69"/>
  <c r="C5709" i="69"/>
  <c r="E5708" i="69"/>
  <c r="C5708" i="69"/>
  <c r="E5707" i="69"/>
  <c r="C5707" i="69"/>
  <c r="E5706" i="69"/>
  <c r="C5706" i="69"/>
  <c r="E5705" i="69"/>
  <c r="C5705" i="69"/>
  <c r="E5704" i="69"/>
  <c r="C5704" i="69"/>
  <c r="E5703" i="69"/>
  <c r="C5703" i="69"/>
  <c r="E5702" i="69"/>
  <c r="C5702" i="69"/>
  <c r="E5701" i="69"/>
  <c r="C5701" i="69"/>
  <c r="E5700" i="69"/>
  <c r="C5700" i="69"/>
  <c r="E5699" i="69"/>
  <c r="C5699" i="69"/>
  <c r="E5698" i="69"/>
  <c r="C5698" i="69"/>
  <c r="E5697" i="69"/>
  <c r="C5697" i="69"/>
  <c r="E5696" i="69"/>
  <c r="C5696" i="69"/>
  <c r="E5695" i="69"/>
  <c r="C5695" i="69"/>
  <c r="E5694" i="69"/>
  <c r="C5694" i="69"/>
  <c r="E5693" i="69"/>
  <c r="C5693" i="69"/>
  <c r="E5692" i="69"/>
  <c r="C5692" i="69"/>
  <c r="E5691" i="69"/>
  <c r="C5691" i="69"/>
  <c r="E5690" i="69"/>
  <c r="C5690" i="69"/>
  <c r="E5689" i="69"/>
  <c r="C5689" i="69"/>
  <c r="E5688" i="69"/>
  <c r="C5688" i="69"/>
  <c r="E5687" i="69"/>
  <c r="C5687" i="69"/>
  <c r="E5686" i="69"/>
  <c r="C5686" i="69"/>
  <c r="E5685" i="69"/>
  <c r="C5685" i="69"/>
  <c r="E5684" i="69"/>
  <c r="C5684" i="69"/>
  <c r="E5683" i="69"/>
  <c r="C5683" i="69"/>
  <c r="E5682" i="69"/>
  <c r="C5682" i="69"/>
  <c r="E5681" i="69"/>
  <c r="C5681" i="69"/>
  <c r="E5680" i="69"/>
  <c r="C5680" i="69"/>
  <c r="E5679" i="69"/>
  <c r="C5679" i="69"/>
  <c r="E5678" i="69"/>
  <c r="C5678" i="69"/>
  <c r="E5677" i="69"/>
  <c r="C5677" i="69"/>
  <c r="E5676" i="69"/>
  <c r="C5676" i="69"/>
  <c r="E5675" i="69"/>
  <c r="C5675" i="69"/>
  <c r="E5674" i="69"/>
  <c r="C5674" i="69"/>
  <c r="E5673" i="69"/>
  <c r="C5673" i="69"/>
  <c r="E5672" i="69"/>
  <c r="C5672" i="69"/>
  <c r="E5671" i="69"/>
  <c r="C5671" i="69"/>
  <c r="E5670" i="69"/>
  <c r="C5670" i="69"/>
  <c r="E5669" i="69"/>
  <c r="C5669" i="69"/>
  <c r="E5668" i="69"/>
  <c r="C5668" i="69"/>
  <c r="E5667" i="69"/>
  <c r="C5667" i="69"/>
  <c r="E5666" i="69"/>
  <c r="C5666" i="69"/>
  <c r="E5665" i="69"/>
  <c r="C5665" i="69"/>
  <c r="E5664" i="69"/>
  <c r="C5664" i="69"/>
  <c r="E5663" i="69"/>
  <c r="C5663" i="69"/>
  <c r="E5662" i="69"/>
  <c r="C5662" i="69"/>
  <c r="E5661" i="69"/>
  <c r="C5661" i="69"/>
  <c r="E5660" i="69"/>
  <c r="C5660" i="69"/>
  <c r="E5659" i="69"/>
  <c r="C5659" i="69"/>
  <c r="E5658" i="69"/>
  <c r="C5658" i="69"/>
  <c r="E5657" i="69"/>
  <c r="C5657" i="69"/>
  <c r="E5656" i="69"/>
  <c r="C5656" i="69"/>
  <c r="E5655" i="69"/>
  <c r="C5655" i="69"/>
  <c r="E5654" i="69"/>
  <c r="C5654" i="69"/>
  <c r="E5653" i="69"/>
  <c r="C5653" i="69"/>
  <c r="E5652" i="69"/>
  <c r="C5652" i="69"/>
  <c r="E5651" i="69"/>
  <c r="C5651" i="69"/>
  <c r="E5650" i="69"/>
  <c r="C5650" i="69"/>
  <c r="E5649" i="69"/>
  <c r="C5649" i="69"/>
  <c r="E5648" i="69"/>
  <c r="C5648" i="69"/>
  <c r="E5647" i="69"/>
  <c r="C5647" i="69"/>
  <c r="E5646" i="69"/>
  <c r="C5646" i="69"/>
  <c r="E5645" i="69"/>
  <c r="C5645" i="69"/>
  <c r="E5644" i="69"/>
  <c r="C5644" i="69"/>
  <c r="E5643" i="69"/>
  <c r="C5643" i="69"/>
  <c r="E5642" i="69"/>
  <c r="C5642" i="69"/>
  <c r="E5641" i="69"/>
  <c r="C5641" i="69"/>
  <c r="E5640" i="69"/>
  <c r="C5640" i="69"/>
  <c r="E5639" i="69"/>
  <c r="C5639" i="69"/>
  <c r="E5638" i="69"/>
  <c r="C5638" i="69"/>
  <c r="E5637" i="69"/>
  <c r="C5637" i="69"/>
  <c r="E5636" i="69"/>
  <c r="C5636" i="69"/>
  <c r="E5635" i="69"/>
  <c r="C5635" i="69"/>
  <c r="E5634" i="69"/>
  <c r="C5634" i="69"/>
  <c r="E5633" i="69"/>
  <c r="C5633" i="69"/>
  <c r="E5632" i="69"/>
  <c r="C5632" i="69"/>
  <c r="E5631" i="69"/>
  <c r="C5631" i="69"/>
  <c r="E5630" i="69"/>
  <c r="C5630" i="69"/>
  <c r="E5629" i="69"/>
  <c r="C5629" i="69"/>
  <c r="E5628" i="69"/>
  <c r="C5628" i="69"/>
  <c r="E5627" i="69"/>
  <c r="C5627" i="69"/>
  <c r="E5626" i="69"/>
  <c r="C5626" i="69"/>
  <c r="E5625" i="69"/>
  <c r="C5625" i="69"/>
  <c r="E5624" i="69"/>
  <c r="C5624" i="69"/>
  <c r="E5623" i="69"/>
  <c r="C5623" i="69"/>
  <c r="E5622" i="69"/>
  <c r="C5622" i="69"/>
  <c r="E5621" i="69"/>
  <c r="C5621" i="69"/>
  <c r="E5620" i="69"/>
  <c r="C5620" i="69"/>
  <c r="E5619" i="69"/>
  <c r="C5619" i="69"/>
  <c r="E5618" i="69"/>
  <c r="C5618" i="69"/>
  <c r="E5617" i="69"/>
  <c r="C5617" i="69"/>
  <c r="E5616" i="69"/>
  <c r="C5616" i="69"/>
  <c r="E5615" i="69"/>
  <c r="C5615" i="69"/>
  <c r="E5614" i="69"/>
  <c r="C5614" i="69"/>
  <c r="E5613" i="69"/>
  <c r="C5613" i="69"/>
  <c r="E5612" i="69"/>
  <c r="C5612" i="69"/>
  <c r="E5611" i="69"/>
  <c r="C5611" i="69"/>
  <c r="E5610" i="69"/>
  <c r="C5610" i="69"/>
  <c r="E5609" i="69"/>
  <c r="C5609" i="69"/>
  <c r="E5608" i="69"/>
  <c r="C5608" i="69"/>
  <c r="E5607" i="69"/>
  <c r="C5607" i="69"/>
  <c r="E5606" i="69"/>
  <c r="C5606" i="69"/>
  <c r="E5605" i="69"/>
  <c r="C5605" i="69"/>
  <c r="E5604" i="69"/>
  <c r="C5604" i="69"/>
  <c r="E5603" i="69"/>
  <c r="C5603" i="69"/>
  <c r="E5602" i="69"/>
  <c r="C5602" i="69"/>
  <c r="E5601" i="69"/>
  <c r="C5601" i="69"/>
  <c r="E5600" i="69"/>
  <c r="C5600" i="69"/>
  <c r="E5599" i="69"/>
  <c r="C5599" i="69"/>
  <c r="E5598" i="69"/>
  <c r="C5598" i="69"/>
  <c r="E5597" i="69"/>
  <c r="C5597" i="69"/>
  <c r="E5596" i="69"/>
  <c r="C5596" i="69"/>
  <c r="E5595" i="69"/>
  <c r="C5595" i="69"/>
  <c r="E5594" i="69"/>
  <c r="C5594" i="69"/>
  <c r="E5593" i="69"/>
  <c r="C5593" i="69"/>
  <c r="E5592" i="69"/>
  <c r="C5592" i="69"/>
  <c r="E5591" i="69"/>
  <c r="C5591" i="69"/>
  <c r="E5590" i="69"/>
  <c r="C5590" i="69"/>
  <c r="E5589" i="69"/>
  <c r="C5589" i="69"/>
  <c r="E5588" i="69"/>
  <c r="C5588" i="69"/>
  <c r="E5587" i="69"/>
  <c r="C5587" i="69"/>
  <c r="E5586" i="69"/>
  <c r="C5586" i="69"/>
  <c r="E5585" i="69"/>
  <c r="C5585" i="69"/>
  <c r="E5584" i="69"/>
  <c r="C5584" i="69"/>
  <c r="E5583" i="69"/>
  <c r="C5583" i="69"/>
  <c r="E5582" i="69"/>
  <c r="C5582" i="69"/>
  <c r="E5581" i="69"/>
  <c r="C5581" i="69"/>
  <c r="E5580" i="69"/>
  <c r="C5580" i="69"/>
  <c r="E5579" i="69"/>
  <c r="C5579" i="69"/>
  <c r="E5578" i="69"/>
  <c r="C5578" i="69"/>
  <c r="E5577" i="69"/>
  <c r="C5577" i="69"/>
  <c r="E5576" i="69"/>
  <c r="C5576" i="69"/>
  <c r="E5575" i="69"/>
  <c r="C5575" i="69"/>
  <c r="E5574" i="69"/>
  <c r="C5574" i="69"/>
  <c r="E5573" i="69"/>
  <c r="C5573" i="69"/>
  <c r="E5572" i="69"/>
  <c r="C5572" i="69"/>
  <c r="E5571" i="69"/>
  <c r="C5571" i="69"/>
  <c r="E5570" i="69"/>
  <c r="C5570" i="69"/>
  <c r="E5569" i="69"/>
  <c r="C5569" i="69"/>
  <c r="E5568" i="69"/>
  <c r="C5568" i="69"/>
  <c r="E5567" i="69"/>
  <c r="C5567" i="69"/>
  <c r="E5566" i="69"/>
  <c r="C5566" i="69"/>
  <c r="E5565" i="69"/>
  <c r="C5565" i="69"/>
  <c r="E5564" i="69"/>
  <c r="C5564" i="69"/>
  <c r="E5563" i="69"/>
  <c r="C5563" i="69"/>
  <c r="E5562" i="69"/>
  <c r="C5562" i="69"/>
  <c r="E5561" i="69"/>
  <c r="C5561" i="69"/>
  <c r="E5560" i="69"/>
  <c r="C5560" i="69"/>
  <c r="E5559" i="69"/>
  <c r="C5559" i="69"/>
  <c r="E5558" i="69"/>
  <c r="C5558" i="69"/>
  <c r="E5557" i="69"/>
  <c r="C5557" i="69"/>
  <c r="E5556" i="69"/>
  <c r="C5556" i="69"/>
  <c r="E5555" i="69"/>
  <c r="C5555" i="69"/>
  <c r="E5554" i="69"/>
  <c r="C5554" i="69"/>
  <c r="E5553" i="69"/>
  <c r="C5553" i="69"/>
  <c r="E5552" i="69"/>
  <c r="C5552" i="69"/>
  <c r="E5551" i="69"/>
  <c r="C5551" i="69"/>
  <c r="E5550" i="69"/>
  <c r="C5550" i="69"/>
  <c r="E5549" i="69"/>
  <c r="C5549" i="69"/>
  <c r="E5548" i="69"/>
  <c r="C5548" i="69"/>
  <c r="E5547" i="69"/>
  <c r="C5547" i="69"/>
  <c r="E5546" i="69"/>
  <c r="C5546" i="69"/>
  <c r="E5545" i="69"/>
  <c r="C5545" i="69"/>
  <c r="E5544" i="69"/>
  <c r="C5544" i="69"/>
  <c r="E5543" i="69"/>
  <c r="C5543" i="69"/>
  <c r="E5542" i="69"/>
  <c r="C5542" i="69"/>
  <c r="E5541" i="69"/>
  <c r="C5541" i="69"/>
  <c r="E5540" i="69"/>
  <c r="C5540" i="69"/>
  <c r="E5539" i="69"/>
  <c r="C5539" i="69"/>
  <c r="E5538" i="69"/>
  <c r="C5538" i="69"/>
  <c r="E5537" i="69"/>
  <c r="C5537" i="69"/>
  <c r="E5536" i="69"/>
  <c r="C5536" i="69"/>
  <c r="E5535" i="69"/>
  <c r="C5535" i="69"/>
  <c r="E5534" i="69"/>
  <c r="C5534" i="69"/>
  <c r="E5533" i="69"/>
  <c r="C5533" i="69"/>
  <c r="E5532" i="69"/>
  <c r="C5532" i="69"/>
  <c r="E5531" i="69"/>
  <c r="C5531" i="69"/>
  <c r="E5530" i="69"/>
  <c r="C5530" i="69"/>
  <c r="E5529" i="69"/>
  <c r="C5529" i="69"/>
  <c r="E5528" i="69"/>
  <c r="C5528" i="69"/>
  <c r="E5527" i="69"/>
  <c r="C5527" i="69"/>
  <c r="E5526" i="69"/>
  <c r="C5526" i="69"/>
  <c r="E5525" i="69"/>
  <c r="C5525" i="69"/>
  <c r="E5524" i="69"/>
  <c r="C5524" i="69"/>
  <c r="E5523" i="69"/>
  <c r="C5523" i="69"/>
  <c r="E5522" i="69"/>
  <c r="C5522" i="69"/>
  <c r="E5521" i="69"/>
  <c r="C5521" i="69"/>
  <c r="E5520" i="69"/>
  <c r="C5520" i="69"/>
  <c r="E5519" i="69"/>
  <c r="C5519" i="69"/>
  <c r="E5518" i="69"/>
  <c r="C5518" i="69"/>
  <c r="E5517" i="69"/>
  <c r="C5517" i="69"/>
  <c r="E5516" i="69"/>
  <c r="C5516" i="69"/>
  <c r="E5515" i="69"/>
  <c r="C5515" i="69"/>
  <c r="E5514" i="69"/>
  <c r="C5514" i="69"/>
  <c r="E5513" i="69"/>
  <c r="C5513" i="69"/>
  <c r="E5512" i="69"/>
  <c r="C5512" i="69"/>
  <c r="E5511" i="69"/>
  <c r="C5511" i="69"/>
  <c r="E5510" i="69"/>
  <c r="C5510" i="69"/>
  <c r="E5509" i="69"/>
  <c r="C5509" i="69"/>
  <c r="E5508" i="69"/>
  <c r="C5508" i="69"/>
  <c r="E5507" i="69"/>
  <c r="C5507" i="69"/>
  <c r="E5506" i="69"/>
  <c r="C5506" i="69"/>
  <c r="E5505" i="69"/>
  <c r="C5505" i="69"/>
  <c r="E5504" i="69"/>
  <c r="C5504" i="69"/>
  <c r="E5503" i="69"/>
  <c r="C5503" i="69"/>
  <c r="E5502" i="69"/>
  <c r="C5502" i="69"/>
  <c r="E5501" i="69"/>
  <c r="C5501" i="69"/>
  <c r="E5500" i="69"/>
  <c r="C5500" i="69"/>
  <c r="E5499" i="69"/>
  <c r="C5499" i="69"/>
  <c r="E5498" i="69"/>
  <c r="C5498" i="69"/>
  <c r="E5497" i="69"/>
  <c r="C5497" i="69"/>
  <c r="E5496" i="69"/>
  <c r="C5496" i="69"/>
  <c r="E5495" i="69"/>
  <c r="C5495" i="69"/>
  <c r="E5494" i="69"/>
  <c r="C5494" i="69"/>
  <c r="E5493" i="69"/>
  <c r="C5493" i="69"/>
  <c r="E5492" i="69"/>
  <c r="C5492" i="69"/>
  <c r="E5491" i="69"/>
  <c r="C5491" i="69"/>
  <c r="E5490" i="69"/>
  <c r="C5490" i="69"/>
  <c r="E5489" i="69"/>
  <c r="C5489" i="69"/>
  <c r="E5488" i="69"/>
  <c r="C5488" i="69"/>
  <c r="E5487" i="69"/>
  <c r="C5487" i="69"/>
  <c r="E5486" i="69"/>
  <c r="C5486" i="69"/>
  <c r="E5485" i="69"/>
  <c r="C5485" i="69"/>
  <c r="E5484" i="69"/>
  <c r="C5484" i="69"/>
  <c r="E5483" i="69"/>
  <c r="C5483" i="69"/>
  <c r="E5482" i="69"/>
  <c r="C5482" i="69"/>
  <c r="E5481" i="69"/>
  <c r="C5481" i="69"/>
  <c r="E5480" i="69"/>
  <c r="C5480" i="69"/>
  <c r="E5479" i="69"/>
  <c r="C5479" i="69"/>
  <c r="E5478" i="69"/>
  <c r="C5478" i="69"/>
  <c r="E5477" i="69"/>
  <c r="C5477" i="69"/>
  <c r="E5476" i="69"/>
  <c r="C5476" i="69"/>
  <c r="E5475" i="69"/>
  <c r="C5475" i="69"/>
  <c r="E5474" i="69"/>
  <c r="C5474" i="69"/>
  <c r="E5473" i="69"/>
  <c r="C5473" i="69"/>
  <c r="E5472" i="69"/>
  <c r="C5472" i="69"/>
  <c r="E5471" i="69"/>
  <c r="C5471" i="69"/>
  <c r="E5470" i="69"/>
  <c r="C5470" i="69"/>
  <c r="E5469" i="69"/>
  <c r="C5469" i="69"/>
  <c r="E5468" i="69"/>
  <c r="C5468" i="69"/>
  <c r="E5467" i="69"/>
  <c r="C5467" i="69"/>
  <c r="E5466" i="69"/>
  <c r="C5466" i="69"/>
  <c r="E5465" i="69"/>
  <c r="C5465" i="69"/>
  <c r="E5464" i="69"/>
  <c r="C5464" i="69"/>
  <c r="E5463" i="69"/>
  <c r="C5463" i="69"/>
  <c r="E5462" i="69"/>
  <c r="C5462" i="69"/>
  <c r="E5461" i="69"/>
  <c r="C5461" i="69"/>
  <c r="E5460" i="69"/>
  <c r="C5460" i="69"/>
  <c r="E5459" i="69"/>
  <c r="C5459" i="69"/>
  <c r="E5458" i="69"/>
  <c r="C5458" i="69"/>
  <c r="E5457" i="69"/>
  <c r="C5457" i="69"/>
  <c r="E5456" i="69"/>
  <c r="C5456" i="69"/>
  <c r="E5455" i="69"/>
  <c r="C5455" i="69"/>
  <c r="E5454" i="69"/>
  <c r="C5454" i="69"/>
  <c r="E5453" i="69"/>
  <c r="C5453" i="69"/>
  <c r="E5452" i="69"/>
  <c r="C5452" i="69"/>
  <c r="E5451" i="69"/>
  <c r="C5451" i="69"/>
  <c r="E5450" i="69"/>
  <c r="C5450" i="69"/>
  <c r="E5449" i="69"/>
  <c r="C5449" i="69"/>
  <c r="E5448" i="69"/>
  <c r="C5448" i="69"/>
  <c r="E5447" i="69"/>
  <c r="C5447" i="69"/>
  <c r="E5446" i="69"/>
  <c r="C5446" i="69"/>
  <c r="E5445" i="69"/>
  <c r="C5445" i="69"/>
  <c r="E5444" i="69"/>
  <c r="C5444" i="69"/>
  <c r="E5443" i="69"/>
  <c r="C5443" i="69"/>
  <c r="E5442" i="69"/>
  <c r="C5442" i="69"/>
  <c r="E5441" i="69"/>
  <c r="C5441" i="69"/>
  <c r="E5440" i="69"/>
  <c r="C5440" i="69"/>
  <c r="E5439" i="69"/>
  <c r="C5439" i="69"/>
  <c r="E5438" i="69"/>
  <c r="C5438" i="69"/>
  <c r="E5437" i="69"/>
  <c r="C5437" i="69"/>
  <c r="E5436" i="69"/>
  <c r="C5436" i="69"/>
  <c r="E5435" i="69"/>
  <c r="C5435" i="69"/>
  <c r="E5434" i="69"/>
  <c r="C5434" i="69"/>
  <c r="E5433" i="69"/>
  <c r="C5433" i="69"/>
  <c r="E5432" i="69"/>
  <c r="C5432" i="69"/>
  <c r="E5431" i="69"/>
  <c r="C5431" i="69"/>
  <c r="E5430" i="69"/>
  <c r="C5430" i="69"/>
  <c r="E5429" i="69"/>
  <c r="C5429" i="69"/>
  <c r="E5428" i="69"/>
  <c r="C5428" i="69"/>
  <c r="E5427" i="69"/>
  <c r="C5427" i="69"/>
  <c r="E5426" i="69"/>
  <c r="C5426" i="69"/>
  <c r="E5425" i="69"/>
  <c r="C5425" i="69"/>
  <c r="E5424" i="69"/>
  <c r="C5424" i="69"/>
  <c r="E5423" i="69"/>
  <c r="C5423" i="69"/>
  <c r="E5422" i="69"/>
  <c r="C5422" i="69"/>
  <c r="E5421" i="69"/>
  <c r="C5421" i="69"/>
  <c r="E5420" i="69"/>
  <c r="C5420" i="69"/>
  <c r="E5419" i="69"/>
  <c r="C5419" i="69"/>
  <c r="E5418" i="69"/>
  <c r="C5418" i="69"/>
  <c r="E5417" i="69"/>
  <c r="C5417" i="69"/>
  <c r="E5416" i="69"/>
  <c r="C5416" i="69"/>
  <c r="E5415" i="69"/>
  <c r="C5415" i="69"/>
  <c r="E5414" i="69"/>
  <c r="C5414" i="69"/>
  <c r="E5413" i="69"/>
  <c r="C5413" i="69"/>
  <c r="E5412" i="69"/>
  <c r="C5412" i="69"/>
  <c r="E5411" i="69"/>
  <c r="C5411" i="69"/>
  <c r="E5410" i="69"/>
  <c r="C5410" i="69"/>
  <c r="E5409" i="69"/>
  <c r="C5409" i="69"/>
  <c r="E5408" i="69"/>
  <c r="C5408" i="69"/>
  <c r="E5407" i="69"/>
  <c r="C5407" i="69"/>
  <c r="E5406" i="69"/>
  <c r="C5406" i="69"/>
  <c r="E5405" i="69"/>
  <c r="C5405" i="69"/>
  <c r="E5404" i="69"/>
  <c r="C5404" i="69"/>
  <c r="E5403" i="69"/>
  <c r="C5403" i="69"/>
  <c r="E5402" i="69"/>
  <c r="C5402" i="69"/>
  <c r="E5401" i="69"/>
  <c r="C5401" i="69"/>
  <c r="E5400" i="69"/>
  <c r="C5400" i="69"/>
  <c r="E5399" i="69"/>
  <c r="C5399" i="69"/>
  <c r="E5398" i="69"/>
  <c r="C5398" i="69"/>
  <c r="E5397" i="69"/>
  <c r="C5397" i="69"/>
  <c r="E5396" i="69"/>
  <c r="C5396" i="69"/>
  <c r="E5395" i="69"/>
  <c r="C5395" i="69"/>
  <c r="E5394" i="69"/>
  <c r="C5394" i="69"/>
  <c r="E5393" i="69"/>
  <c r="C5393" i="69"/>
  <c r="E5392" i="69"/>
  <c r="C5392" i="69"/>
  <c r="E5391" i="69"/>
  <c r="C5391" i="69"/>
  <c r="E5390" i="69"/>
  <c r="C5390" i="69"/>
  <c r="E5389" i="69"/>
  <c r="C5389" i="69"/>
  <c r="E5388" i="69"/>
  <c r="C5388" i="69"/>
  <c r="E5387" i="69"/>
  <c r="C5387" i="69"/>
  <c r="E5386" i="69"/>
  <c r="C5386" i="69"/>
  <c r="E5385" i="69"/>
  <c r="C5385" i="69"/>
  <c r="E5384" i="69"/>
  <c r="C5384" i="69"/>
  <c r="E5383" i="69"/>
  <c r="C5383" i="69"/>
  <c r="E5382" i="69"/>
  <c r="C5382" i="69"/>
  <c r="E5381" i="69"/>
  <c r="C5381" i="69"/>
  <c r="E5380" i="69"/>
  <c r="C5380" i="69"/>
  <c r="E5379" i="69"/>
  <c r="C5379" i="69"/>
  <c r="E5378" i="69"/>
  <c r="C5378" i="69"/>
  <c r="E5377" i="69"/>
  <c r="C5377" i="69"/>
  <c r="E5376" i="69"/>
  <c r="C5376" i="69"/>
  <c r="E5375" i="69"/>
  <c r="C5375" i="69"/>
  <c r="E5374" i="69"/>
  <c r="C5374" i="69"/>
  <c r="E5373" i="69"/>
  <c r="C5373" i="69"/>
  <c r="E5372" i="69"/>
  <c r="C5372" i="69"/>
  <c r="E5371" i="69"/>
  <c r="C5371" i="69"/>
  <c r="E5370" i="69"/>
  <c r="C5370" i="69"/>
  <c r="E5369" i="69"/>
  <c r="C5369" i="69"/>
  <c r="E5368" i="69"/>
  <c r="C5368" i="69"/>
  <c r="E5367" i="69"/>
  <c r="C5367" i="69"/>
  <c r="E5366" i="69"/>
  <c r="C5366" i="69"/>
  <c r="E5365" i="69"/>
  <c r="C5365" i="69"/>
  <c r="E5364" i="69"/>
  <c r="C5364" i="69"/>
  <c r="E5363" i="69"/>
  <c r="C5363" i="69"/>
  <c r="E5362" i="69"/>
  <c r="C5362" i="69"/>
  <c r="E5361" i="69"/>
  <c r="C5361" i="69"/>
  <c r="E5360" i="69"/>
  <c r="C5360" i="69"/>
  <c r="E5359" i="69"/>
  <c r="C5359" i="69"/>
  <c r="E5358" i="69"/>
  <c r="C5358" i="69"/>
  <c r="E5357" i="69"/>
  <c r="C5357" i="69"/>
  <c r="E5356" i="69"/>
  <c r="C5356" i="69"/>
  <c r="E5355" i="69"/>
  <c r="C5355" i="69"/>
  <c r="E5354" i="69"/>
  <c r="C5354" i="69"/>
  <c r="E5353" i="69"/>
  <c r="C5353" i="69"/>
  <c r="E5352" i="69"/>
  <c r="C5352" i="69"/>
  <c r="E5351" i="69"/>
  <c r="C5351" i="69"/>
  <c r="E5350" i="69"/>
  <c r="C5350" i="69"/>
  <c r="E5349" i="69"/>
  <c r="C5349" i="69"/>
  <c r="E5348" i="69"/>
  <c r="C5348" i="69"/>
  <c r="E5347" i="69"/>
  <c r="C5347" i="69"/>
  <c r="E5346" i="69"/>
  <c r="C5346" i="69"/>
  <c r="E5345" i="69"/>
  <c r="C5345" i="69"/>
  <c r="E5344" i="69"/>
  <c r="C5344" i="69"/>
  <c r="E5343" i="69"/>
  <c r="C5343" i="69"/>
  <c r="E5342" i="69"/>
  <c r="C5342" i="69"/>
  <c r="E5341" i="69"/>
  <c r="C5341" i="69"/>
  <c r="E5340" i="69"/>
  <c r="C5340" i="69"/>
  <c r="E5339" i="69"/>
  <c r="C5339" i="69"/>
  <c r="E5338" i="69"/>
  <c r="C5338" i="69"/>
  <c r="E5337" i="69"/>
  <c r="C5337" i="69"/>
  <c r="E5336" i="69"/>
  <c r="C5336" i="69"/>
  <c r="E5335" i="69"/>
  <c r="C5335" i="69"/>
  <c r="E5334" i="69"/>
  <c r="C5334" i="69"/>
  <c r="E5333" i="69"/>
  <c r="C5333" i="69"/>
  <c r="E5332" i="69"/>
  <c r="C5332" i="69"/>
  <c r="E5331" i="69"/>
  <c r="C5331" i="69"/>
  <c r="E5330" i="69"/>
  <c r="C5330" i="69"/>
  <c r="E5329" i="69"/>
  <c r="C5329" i="69"/>
  <c r="E5328" i="69"/>
  <c r="C5328" i="69"/>
  <c r="E5327" i="69"/>
  <c r="C5327" i="69"/>
  <c r="E5326" i="69"/>
  <c r="C5326" i="69"/>
  <c r="E5325" i="69"/>
  <c r="C5325" i="69"/>
  <c r="E5324" i="69"/>
  <c r="C5324" i="69"/>
  <c r="E5323" i="69"/>
  <c r="C5323" i="69"/>
  <c r="E5322" i="69"/>
  <c r="C5322" i="69"/>
  <c r="E5321" i="69"/>
  <c r="C5321" i="69"/>
  <c r="E5320" i="69"/>
  <c r="C5320" i="69"/>
  <c r="E5319" i="69"/>
  <c r="C5319" i="69"/>
  <c r="E5318" i="69"/>
  <c r="C5318" i="69"/>
  <c r="E5317" i="69"/>
  <c r="C5317" i="69"/>
  <c r="E5316" i="69"/>
  <c r="C5316" i="69"/>
  <c r="E5315" i="69"/>
  <c r="C5315" i="69"/>
  <c r="E5314" i="69"/>
  <c r="C5314" i="69"/>
  <c r="E5313" i="69"/>
  <c r="C5313" i="69"/>
  <c r="E5312" i="69"/>
  <c r="C5312" i="69"/>
  <c r="E5311" i="69"/>
  <c r="C5311" i="69"/>
  <c r="E5310" i="69"/>
  <c r="C5310" i="69"/>
  <c r="E5309" i="69"/>
  <c r="C5309" i="69"/>
  <c r="E5308" i="69"/>
  <c r="C5308" i="69"/>
  <c r="E5307" i="69"/>
  <c r="C5307" i="69"/>
  <c r="E5306" i="69"/>
  <c r="C5306" i="69"/>
  <c r="E5305" i="69"/>
  <c r="C5305" i="69"/>
  <c r="E5304" i="69"/>
  <c r="C5304" i="69"/>
  <c r="E5303" i="69"/>
  <c r="C5303" i="69"/>
  <c r="E5302" i="69"/>
  <c r="C5302" i="69"/>
  <c r="E5301" i="69"/>
  <c r="C5301" i="69"/>
  <c r="E5300" i="69"/>
  <c r="C5300" i="69"/>
  <c r="E5299" i="69"/>
  <c r="C5299" i="69"/>
  <c r="E5298" i="69"/>
  <c r="C5298" i="69"/>
  <c r="E5297" i="69"/>
  <c r="C5297" i="69"/>
  <c r="E5296" i="69"/>
  <c r="C5296" i="69"/>
  <c r="E5295" i="69"/>
  <c r="C5295" i="69"/>
  <c r="E5294" i="69"/>
  <c r="C5294" i="69"/>
  <c r="E5293" i="69"/>
  <c r="C5293" i="69"/>
  <c r="E5292" i="69"/>
  <c r="C5292" i="69"/>
  <c r="E5291" i="69"/>
  <c r="C5291" i="69"/>
  <c r="E5290" i="69"/>
  <c r="C5290" i="69"/>
  <c r="E5289" i="69"/>
  <c r="C5289" i="69"/>
  <c r="E5288" i="69"/>
  <c r="C5288" i="69"/>
  <c r="E5287" i="69"/>
  <c r="C5287" i="69"/>
  <c r="E5286" i="69"/>
  <c r="C5286" i="69"/>
  <c r="E5285" i="69"/>
  <c r="C5285" i="69"/>
  <c r="E5284" i="69"/>
  <c r="C5284" i="69"/>
  <c r="E5283" i="69"/>
  <c r="C5283" i="69"/>
  <c r="E5282" i="69"/>
  <c r="C5282" i="69"/>
  <c r="E5281" i="69"/>
  <c r="C5281" i="69"/>
  <c r="E5280" i="69"/>
  <c r="C5280" i="69"/>
  <c r="E5279" i="69"/>
  <c r="C5279" i="69"/>
  <c r="E5278" i="69"/>
  <c r="C5278" i="69"/>
  <c r="E5277" i="69"/>
  <c r="C5277" i="69"/>
  <c r="E5276" i="69"/>
  <c r="C5276" i="69"/>
  <c r="E5275" i="69"/>
  <c r="C5275" i="69"/>
  <c r="E5274" i="69"/>
  <c r="C5274" i="69"/>
  <c r="E5273" i="69"/>
  <c r="C5273" i="69"/>
  <c r="E5272" i="69"/>
  <c r="C5272" i="69"/>
  <c r="E5271" i="69"/>
  <c r="C5271" i="69"/>
  <c r="E5270" i="69"/>
  <c r="C5270" i="69"/>
  <c r="E5269" i="69"/>
  <c r="C5269" i="69"/>
  <c r="E5268" i="69"/>
  <c r="C5268" i="69"/>
  <c r="E5267" i="69"/>
  <c r="C5267" i="69"/>
  <c r="E5266" i="69"/>
  <c r="C5266" i="69"/>
  <c r="E5265" i="69"/>
  <c r="C5265" i="69"/>
  <c r="E5264" i="69"/>
  <c r="C5264" i="69"/>
  <c r="E5263" i="69"/>
  <c r="C5263" i="69"/>
  <c r="E5262" i="69"/>
  <c r="C5262" i="69"/>
  <c r="E5261" i="69"/>
  <c r="C5261" i="69"/>
  <c r="E5260" i="69"/>
  <c r="C5260" i="69"/>
  <c r="E5259" i="69"/>
  <c r="C5259" i="69"/>
  <c r="E5258" i="69"/>
  <c r="C5258" i="69"/>
  <c r="E5257" i="69"/>
  <c r="C5257" i="69"/>
  <c r="E5256" i="69"/>
  <c r="C5256" i="69"/>
  <c r="E5255" i="69"/>
  <c r="C5255" i="69"/>
  <c r="E5254" i="69"/>
  <c r="C5254" i="69"/>
  <c r="E5253" i="69"/>
  <c r="C5253" i="69"/>
  <c r="E5252" i="69"/>
  <c r="C5252" i="69"/>
  <c r="E5251" i="69"/>
  <c r="C5251" i="69"/>
  <c r="E5250" i="69"/>
  <c r="C5250" i="69"/>
  <c r="E5249" i="69"/>
  <c r="C5249" i="69"/>
  <c r="E5248" i="69"/>
  <c r="C5248" i="69"/>
  <c r="E5247" i="69"/>
  <c r="C5247" i="69"/>
  <c r="E5246" i="69"/>
  <c r="C5246" i="69"/>
  <c r="E5245" i="69"/>
  <c r="C5245" i="69"/>
  <c r="E5244" i="69"/>
  <c r="C5244" i="69"/>
  <c r="E5243" i="69"/>
  <c r="C5243" i="69"/>
  <c r="E5242" i="69"/>
  <c r="C5242" i="69"/>
  <c r="E5241" i="69"/>
  <c r="C5241" i="69"/>
  <c r="E5240" i="69"/>
  <c r="C5240" i="69"/>
  <c r="E5239" i="69"/>
  <c r="C5239" i="69"/>
  <c r="E5238" i="69"/>
  <c r="C5238" i="69"/>
  <c r="E5237" i="69"/>
  <c r="C5237" i="69"/>
  <c r="E5236" i="69"/>
  <c r="C5236" i="69"/>
  <c r="E5235" i="69"/>
  <c r="C5235" i="69"/>
  <c r="E5234" i="69"/>
  <c r="C5234" i="69"/>
  <c r="E5233" i="69"/>
  <c r="C5233" i="69"/>
  <c r="E5232" i="69"/>
  <c r="C5232" i="69"/>
  <c r="E5231" i="69"/>
  <c r="C5231" i="69"/>
  <c r="E5230" i="69"/>
  <c r="C5230" i="69"/>
  <c r="E5229" i="69"/>
  <c r="C5229" i="69"/>
  <c r="E5228" i="69"/>
  <c r="C5228" i="69"/>
  <c r="E5227" i="69"/>
  <c r="C5227" i="69"/>
  <c r="E5226" i="69"/>
  <c r="C5226" i="69"/>
  <c r="E5225" i="69"/>
  <c r="C5225" i="69"/>
  <c r="E5224" i="69"/>
  <c r="C5224" i="69"/>
  <c r="E5223" i="69"/>
  <c r="C5223" i="69"/>
  <c r="E5222" i="69"/>
  <c r="C5222" i="69"/>
  <c r="E5221" i="69"/>
  <c r="C5221" i="69"/>
  <c r="E5220" i="69"/>
  <c r="C5220" i="69"/>
  <c r="E5219" i="69"/>
  <c r="C5219" i="69"/>
  <c r="E5218" i="69"/>
  <c r="C5218" i="69"/>
  <c r="E5217" i="69"/>
  <c r="C5217" i="69"/>
  <c r="E5216" i="69"/>
  <c r="C5216" i="69"/>
  <c r="E5215" i="69"/>
  <c r="C5215" i="69"/>
  <c r="E5214" i="69"/>
  <c r="C5214" i="69"/>
  <c r="E5213" i="69"/>
  <c r="C5213" i="69"/>
  <c r="E5212" i="69"/>
  <c r="C5212" i="69"/>
  <c r="E5211" i="69"/>
  <c r="C5211" i="69"/>
  <c r="E5210" i="69"/>
  <c r="C5210" i="69"/>
  <c r="E5209" i="69"/>
  <c r="C5209" i="69"/>
  <c r="E5208" i="69"/>
  <c r="C5208" i="69"/>
  <c r="E5207" i="69"/>
  <c r="C5207" i="69"/>
  <c r="E5206" i="69"/>
  <c r="C5206" i="69"/>
  <c r="E5205" i="69"/>
  <c r="C5205" i="69"/>
  <c r="E5204" i="69"/>
  <c r="C5204" i="69"/>
  <c r="E5203" i="69"/>
  <c r="C5203" i="69"/>
  <c r="E5202" i="69"/>
  <c r="C5202" i="69"/>
  <c r="E5201" i="69"/>
  <c r="C5201" i="69"/>
  <c r="E5200" i="69"/>
  <c r="C5200" i="69"/>
  <c r="E5199" i="69"/>
  <c r="C5199" i="69"/>
  <c r="E5198" i="69"/>
  <c r="C5198" i="69"/>
  <c r="E5197" i="69"/>
  <c r="C5197" i="69"/>
  <c r="E5196" i="69"/>
  <c r="C5196" i="69"/>
  <c r="E5195" i="69"/>
  <c r="C5195" i="69"/>
  <c r="E5194" i="69"/>
  <c r="C5194" i="69"/>
  <c r="E5193" i="69"/>
  <c r="C5193" i="69"/>
  <c r="E5192" i="69"/>
  <c r="C5192" i="69"/>
  <c r="E5191" i="69"/>
  <c r="C5191" i="69"/>
  <c r="E5190" i="69"/>
  <c r="C5190" i="69"/>
  <c r="E5189" i="69"/>
  <c r="C5189" i="69"/>
  <c r="E5188" i="69"/>
  <c r="C5188" i="69"/>
  <c r="E5187" i="69"/>
  <c r="C5187" i="69"/>
  <c r="E5186" i="69"/>
  <c r="C5186" i="69"/>
  <c r="E5185" i="69"/>
  <c r="C5185" i="69"/>
  <c r="E5184" i="69"/>
  <c r="C5184" i="69"/>
  <c r="E5183" i="69"/>
  <c r="C5183" i="69"/>
  <c r="E5182" i="69"/>
  <c r="C5182" i="69"/>
  <c r="E5181" i="69"/>
  <c r="C5181" i="69"/>
  <c r="E5180" i="69"/>
  <c r="C5180" i="69"/>
  <c r="E5179" i="69"/>
  <c r="C5179" i="69"/>
  <c r="E5178" i="69"/>
  <c r="C5178" i="69"/>
  <c r="E5177" i="69"/>
  <c r="C5177" i="69"/>
  <c r="E5176" i="69"/>
  <c r="C5176" i="69"/>
  <c r="E5175" i="69"/>
  <c r="C5175" i="69"/>
  <c r="E5174" i="69"/>
  <c r="C5174" i="69"/>
  <c r="E5173" i="69"/>
  <c r="C5173" i="69"/>
  <c r="E5172" i="69"/>
  <c r="C5172" i="69"/>
  <c r="E5171" i="69"/>
  <c r="C5171" i="69"/>
  <c r="E5170" i="69"/>
  <c r="C5170" i="69"/>
  <c r="E5169" i="69"/>
  <c r="C5169" i="69"/>
  <c r="E5168" i="69"/>
  <c r="C5168" i="69"/>
  <c r="E5167" i="69"/>
  <c r="C5167" i="69"/>
  <c r="E5166" i="69"/>
  <c r="C5166" i="69"/>
  <c r="E5165" i="69"/>
  <c r="C5165" i="69"/>
  <c r="E5164" i="69"/>
  <c r="C5164" i="69"/>
  <c r="E5163" i="69"/>
  <c r="C5163" i="69"/>
  <c r="E5162" i="69"/>
  <c r="C5162" i="69"/>
  <c r="E5161" i="69"/>
  <c r="C5161" i="69"/>
  <c r="E5160" i="69"/>
  <c r="C5160" i="69"/>
  <c r="E5159" i="69"/>
  <c r="C5159" i="69"/>
  <c r="E5158" i="69"/>
  <c r="C5158" i="69"/>
  <c r="E5157" i="69"/>
  <c r="C5157" i="69"/>
  <c r="E5156" i="69"/>
  <c r="C5156" i="69"/>
  <c r="E5155" i="69"/>
  <c r="C5155" i="69"/>
  <c r="E5154" i="69"/>
  <c r="C5154" i="69"/>
  <c r="E5153" i="69"/>
  <c r="C5153" i="69"/>
  <c r="E5152" i="69"/>
  <c r="C5152" i="69"/>
  <c r="E5151" i="69"/>
  <c r="C5151" i="69"/>
  <c r="E5150" i="69"/>
  <c r="C5150" i="69"/>
  <c r="E5149" i="69"/>
  <c r="C5149" i="69"/>
  <c r="E5148" i="69"/>
  <c r="C5148" i="69"/>
  <c r="E5147" i="69"/>
  <c r="C5147" i="69"/>
  <c r="E5146" i="69"/>
  <c r="C5146" i="69"/>
  <c r="E5145" i="69"/>
  <c r="C5145" i="69"/>
  <c r="E5144" i="69"/>
  <c r="C5144" i="69"/>
  <c r="E5143" i="69"/>
  <c r="C5143" i="69"/>
  <c r="E5142" i="69"/>
  <c r="C5142" i="69"/>
  <c r="E5141" i="69"/>
  <c r="C5141" i="69"/>
  <c r="E5140" i="69"/>
  <c r="C5140" i="69"/>
  <c r="E5139" i="69"/>
  <c r="C5139" i="69"/>
  <c r="E5138" i="69"/>
  <c r="C5138" i="69"/>
  <c r="E5137" i="69"/>
  <c r="C5137" i="69"/>
  <c r="E5136" i="69"/>
  <c r="C5136" i="69"/>
  <c r="E5135" i="69"/>
  <c r="C5135" i="69"/>
  <c r="E5134" i="69"/>
  <c r="C5134" i="69"/>
  <c r="E5133" i="69"/>
  <c r="C5133" i="69"/>
  <c r="E5132" i="69"/>
  <c r="C5132" i="69"/>
  <c r="E5131" i="69"/>
  <c r="C5131" i="69"/>
  <c r="E5130" i="69"/>
  <c r="C5130" i="69"/>
  <c r="E5129" i="69"/>
  <c r="C5129" i="69"/>
  <c r="E5128" i="69"/>
  <c r="C5128" i="69"/>
  <c r="E5127" i="69"/>
  <c r="C5127" i="69"/>
  <c r="E5126" i="69"/>
  <c r="C5126" i="69"/>
  <c r="E5125" i="69"/>
  <c r="C5125" i="69"/>
  <c r="E5124" i="69"/>
  <c r="C5124" i="69"/>
  <c r="E5123" i="69"/>
  <c r="C5123" i="69"/>
  <c r="E5122" i="69"/>
  <c r="C5122" i="69"/>
  <c r="E5121" i="69"/>
  <c r="C5121" i="69"/>
  <c r="E5120" i="69"/>
  <c r="C5120" i="69"/>
  <c r="E5119" i="69"/>
  <c r="C5119" i="69"/>
  <c r="E5118" i="69"/>
  <c r="C5118" i="69"/>
  <c r="E5117" i="69"/>
  <c r="C5117" i="69"/>
  <c r="E5116" i="69"/>
  <c r="C5116" i="69"/>
  <c r="E5115" i="69"/>
  <c r="C5115" i="69"/>
  <c r="E5114" i="69"/>
  <c r="C5114" i="69"/>
  <c r="E5113" i="69"/>
  <c r="C5113" i="69"/>
  <c r="E5112" i="69"/>
  <c r="C5112" i="69"/>
  <c r="E5111" i="69"/>
  <c r="C5111" i="69"/>
  <c r="E5110" i="69"/>
  <c r="C5110" i="69"/>
  <c r="E5109" i="69"/>
  <c r="C5109" i="69"/>
  <c r="E5108" i="69"/>
  <c r="C5108" i="69"/>
  <c r="E5107" i="69"/>
  <c r="C5107" i="69"/>
  <c r="E5106" i="69"/>
  <c r="C5106" i="69"/>
  <c r="E5105" i="69"/>
  <c r="C5105" i="69"/>
  <c r="E5104" i="69"/>
  <c r="C5104" i="69"/>
  <c r="E5103" i="69"/>
  <c r="C5103" i="69"/>
  <c r="E5102" i="69"/>
  <c r="C5102" i="69"/>
  <c r="E5101" i="69"/>
  <c r="C5101" i="69"/>
  <c r="E5100" i="69"/>
  <c r="C5100" i="69"/>
  <c r="E5099" i="69"/>
  <c r="C5099" i="69"/>
  <c r="E5098" i="69"/>
  <c r="C5098" i="69"/>
  <c r="E5097" i="69"/>
  <c r="C5097" i="69"/>
  <c r="E5096" i="69"/>
  <c r="C5096" i="69"/>
  <c r="E5095" i="69"/>
  <c r="C5095" i="69"/>
  <c r="E5094" i="69"/>
  <c r="C5094" i="69"/>
  <c r="E5093" i="69"/>
  <c r="C5093" i="69"/>
  <c r="E5092" i="69"/>
  <c r="C5092" i="69"/>
  <c r="E5091" i="69"/>
  <c r="C5091" i="69"/>
  <c r="E5090" i="69"/>
  <c r="C5090" i="69"/>
  <c r="E5089" i="69"/>
  <c r="C5089" i="69"/>
  <c r="E5088" i="69"/>
  <c r="C5088" i="69"/>
  <c r="E5087" i="69"/>
  <c r="C5087" i="69"/>
  <c r="E5086" i="69"/>
  <c r="C5086" i="69"/>
  <c r="E5085" i="69"/>
  <c r="C5085" i="69"/>
  <c r="E5084" i="69"/>
  <c r="C5084" i="69"/>
  <c r="E5083" i="69"/>
  <c r="C5083" i="69"/>
  <c r="E5082" i="69"/>
  <c r="C5082" i="69"/>
  <c r="E5081" i="69"/>
  <c r="C5081" i="69"/>
  <c r="E5080" i="69"/>
  <c r="C5080" i="69"/>
  <c r="E5079" i="69"/>
  <c r="C5079" i="69"/>
  <c r="E5078" i="69"/>
  <c r="C5078" i="69"/>
  <c r="E5077" i="69"/>
  <c r="C5077" i="69"/>
  <c r="E5076" i="69"/>
  <c r="C5076" i="69"/>
  <c r="E5075" i="69"/>
  <c r="C5075" i="69"/>
  <c r="E5074" i="69"/>
  <c r="C5074" i="69"/>
  <c r="E5073" i="69"/>
  <c r="C5073" i="69"/>
  <c r="E5072" i="69"/>
  <c r="C5072" i="69"/>
  <c r="E5071" i="69"/>
  <c r="C5071" i="69"/>
  <c r="E5070" i="69"/>
  <c r="C5070" i="69"/>
  <c r="E5069" i="69"/>
  <c r="C5069" i="69"/>
  <c r="E5068" i="69"/>
  <c r="C5068" i="69"/>
  <c r="E5067" i="69"/>
  <c r="C5067" i="69"/>
  <c r="E5066" i="69"/>
  <c r="C5066" i="69"/>
  <c r="E5065" i="69"/>
  <c r="C5065" i="69"/>
  <c r="E5064" i="69"/>
  <c r="C5064" i="69"/>
  <c r="E5063" i="69"/>
  <c r="C5063" i="69"/>
  <c r="E5062" i="69"/>
  <c r="C5062" i="69"/>
  <c r="E5061" i="69"/>
  <c r="C5061" i="69"/>
  <c r="E5060" i="69"/>
  <c r="C5060" i="69"/>
  <c r="E5059" i="69"/>
  <c r="C5059" i="69"/>
  <c r="E5058" i="69"/>
  <c r="C5058" i="69"/>
  <c r="E5057" i="69"/>
  <c r="C5057" i="69"/>
  <c r="E5056" i="69"/>
  <c r="C5056" i="69"/>
  <c r="E5055" i="69"/>
  <c r="C5055" i="69"/>
  <c r="E5054" i="69"/>
  <c r="C5054" i="69"/>
  <c r="E5053" i="69"/>
  <c r="C5053" i="69"/>
  <c r="E5052" i="69"/>
  <c r="C5052" i="69"/>
  <c r="E5051" i="69"/>
  <c r="C5051" i="69"/>
  <c r="E5050" i="69"/>
  <c r="C5050" i="69"/>
  <c r="E5049" i="69"/>
  <c r="C5049" i="69"/>
  <c r="E5048" i="69"/>
  <c r="C5048" i="69"/>
  <c r="E5047" i="69"/>
  <c r="C5047" i="69"/>
  <c r="E5046" i="69"/>
  <c r="C5046" i="69"/>
  <c r="E5045" i="69"/>
  <c r="C5045" i="69"/>
  <c r="E5044" i="69"/>
  <c r="C5044" i="69"/>
  <c r="E5043" i="69"/>
  <c r="C5043" i="69"/>
  <c r="E5042" i="69"/>
  <c r="C5042" i="69"/>
  <c r="E5041" i="69"/>
  <c r="C5041" i="69"/>
  <c r="E5040" i="69"/>
  <c r="C5040" i="69"/>
  <c r="E5039" i="69"/>
  <c r="C5039" i="69"/>
  <c r="E5038" i="69"/>
  <c r="C5038" i="69"/>
  <c r="E5037" i="69"/>
  <c r="C5037" i="69"/>
  <c r="E5036" i="69"/>
  <c r="C5036" i="69"/>
  <c r="E5035" i="69"/>
  <c r="C5035" i="69"/>
  <c r="E5034" i="69"/>
  <c r="C5034" i="69"/>
  <c r="E5033" i="69"/>
  <c r="C5033" i="69"/>
  <c r="E5032" i="69"/>
  <c r="C5032" i="69"/>
  <c r="E5031" i="69"/>
  <c r="C5031" i="69"/>
  <c r="E5030" i="69"/>
  <c r="C5030" i="69"/>
  <c r="E5029" i="69"/>
  <c r="C5029" i="69"/>
  <c r="E5028" i="69"/>
  <c r="C5028" i="69"/>
  <c r="E5027" i="69"/>
  <c r="C5027" i="69"/>
  <c r="E5026" i="69"/>
  <c r="C5026" i="69"/>
  <c r="E5025" i="69"/>
  <c r="C5025" i="69"/>
  <c r="E5024" i="69"/>
  <c r="C5024" i="69"/>
  <c r="E5023" i="69"/>
  <c r="C5023" i="69"/>
  <c r="E5022" i="69"/>
  <c r="C5022" i="69"/>
  <c r="E5021" i="69"/>
  <c r="C5021" i="69"/>
  <c r="E5020" i="69"/>
  <c r="C5020" i="69"/>
  <c r="E5019" i="69"/>
  <c r="C5019" i="69"/>
  <c r="E5018" i="69"/>
  <c r="C5018" i="69"/>
  <c r="E5017" i="69"/>
  <c r="C5017" i="69"/>
  <c r="E5016" i="69"/>
  <c r="C5016" i="69"/>
  <c r="E5015" i="69"/>
  <c r="C5015" i="69"/>
  <c r="E5014" i="69"/>
  <c r="C5014" i="69"/>
  <c r="E5013" i="69"/>
  <c r="C5013" i="69"/>
  <c r="E5012" i="69"/>
  <c r="C5012" i="69"/>
  <c r="E5011" i="69"/>
  <c r="C5011" i="69"/>
  <c r="E5010" i="69"/>
  <c r="C5010" i="69"/>
  <c r="E5009" i="69"/>
  <c r="C5009" i="69"/>
  <c r="E5008" i="69"/>
  <c r="C5008" i="69"/>
  <c r="E5007" i="69"/>
  <c r="C5007" i="69"/>
  <c r="E5006" i="69"/>
  <c r="C5006" i="69"/>
  <c r="E5005" i="69"/>
  <c r="C5005" i="69"/>
  <c r="E5004" i="69"/>
  <c r="C5004" i="69"/>
  <c r="E5003" i="69"/>
  <c r="C5003" i="69"/>
  <c r="E5002" i="69"/>
  <c r="C5002" i="69"/>
  <c r="E5001" i="69"/>
  <c r="C5001" i="69"/>
  <c r="E5000" i="69"/>
  <c r="C5000" i="69"/>
  <c r="E4999" i="69"/>
  <c r="C4999" i="69"/>
  <c r="E4998" i="69"/>
  <c r="C4998" i="69"/>
  <c r="E4997" i="69"/>
  <c r="C4997" i="69"/>
  <c r="E4996" i="69"/>
  <c r="C4996" i="69"/>
  <c r="E4995" i="69"/>
  <c r="C4995" i="69"/>
  <c r="E4994" i="69"/>
  <c r="C4994" i="69"/>
  <c r="E4993" i="69"/>
  <c r="C4993" i="69"/>
  <c r="E4992" i="69"/>
  <c r="C4992" i="69"/>
  <c r="E4991" i="69"/>
  <c r="C4991" i="69"/>
  <c r="E4990" i="69"/>
  <c r="C4990" i="69"/>
  <c r="E4989" i="69"/>
  <c r="C4989" i="69"/>
  <c r="E4988" i="69"/>
  <c r="C4988" i="69"/>
  <c r="E4987" i="69"/>
  <c r="C4987" i="69"/>
  <c r="E4986" i="69"/>
  <c r="C4986" i="69"/>
  <c r="E4985" i="69"/>
  <c r="C4985" i="69"/>
  <c r="E4984" i="69"/>
  <c r="C4984" i="69"/>
  <c r="E4983" i="69"/>
  <c r="C4983" i="69"/>
  <c r="E4982" i="69"/>
  <c r="C4982" i="69"/>
  <c r="E4981" i="69"/>
  <c r="C4981" i="69"/>
  <c r="E4980" i="69"/>
  <c r="C4980" i="69"/>
  <c r="E4979" i="69"/>
  <c r="C4979" i="69"/>
  <c r="E4978" i="69"/>
  <c r="C4978" i="69"/>
  <c r="E4977" i="69"/>
  <c r="C4977" i="69"/>
  <c r="E4976" i="69"/>
  <c r="C4976" i="69"/>
  <c r="E4975" i="69"/>
  <c r="C4975" i="69"/>
  <c r="E4974" i="69"/>
  <c r="C4974" i="69"/>
  <c r="E4973" i="69"/>
  <c r="C4973" i="69"/>
  <c r="E4972" i="69"/>
  <c r="C4972" i="69"/>
  <c r="E4971" i="69"/>
  <c r="C4971" i="69"/>
  <c r="E4970" i="69"/>
  <c r="C4970" i="69"/>
  <c r="E4969" i="69"/>
  <c r="C4969" i="69"/>
  <c r="E4968" i="69"/>
  <c r="C4968" i="69"/>
  <c r="E4967" i="69"/>
  <c r="C4967" i="69"/>
  <c r="E4966" i="69"/>
  <c r="C4966" i="69"/>
  <c r="E4965" i="69"/>
  <c r="C4965" i="69"/>
  <c r="E4964" i="69"/>
  <c r="C4964" i="69"/>
  <c r="E4963" i="69"/>
  <c r="C4963" i="69"/>
  <c r="E4962" i="69"/>
  <c r="C4962" i="69"/>
  <c r="E4961" i="69"/>
  <c r="C4961" i="69"/>
  <c r="E4960" i="69"/>
  <c r="C4960" i="69"/>
  <c r="E4959" i="69"/>
  <c r="C4959" i="69"/>
  <c r="E4958" i="69"/>
  <c r="C4958" i="69"/>
  <c r="E4957" i="69"/>
  <c r="C4957" i="69"/>
  <c r="E4956" i="69"/>
  <c r="C4956" i="69"/>
  <c r="E4955" i="69"/>
  <c r="C4955" i="69"/>
  <c r="E4954" i="69"/>
  <c r="C4954" i="69"/>
  <c r="E4953" i="69"/>
  <c r="C4953" i="69"/>
  <c r="E4952" i="69"/>
  <c r="C4952" i="69"/>
  <c r="E4951" i="69"/>
  <c r="C4951" i="69"/>
  <c r="E4950" i="69"/>
  <c r="C4950" i="69"/>
  <c r="E4949" i="69"/>
  <c r="C4949" i="69"/>
  <c r="E4948" i="69"/>
  <c r="C4948" i="69"/>
  <c r="E4947" i="69"/>
  <c r="C4947" i="69"/>
  <c r="E4946" i="69"/>
  <c r="C4946" i="69"/>
  <c r="E4945" i="69"/>
  <c r="C4945" i="69"/>
  <c r="E4944" i="69"/>
  <c r="C4944" i="69"/>
  <c r="E4943" i="69"/>
  <c r="C4943" i="69"/>
  <c r="E4942" i="69"/>
  <c r="C4942" i="69"/>
  <c r="E4941" i="69"/>
  <c r="C4941" i="69"/>
  <c r="E4940" i="69"/>
  <c r="C4940" i="69"/>
  <c r="E4939" i="69"/>
  <c r="C4939" i="69"/>
  <c r="E4938" i="69"/>
  <c r="C4938" i="69"/>
  <c r="E4937" i="69"/>
  <c r="C4937" i="69"/>
  <c r="E4936" i="69"/>
  <c r="C4936" i="69"/>
  <c r="E4935" i="69"/>
  <c r="C4935" i="69"/>
  <c r="E4934" i="69"/>
  <c r="C4934" i="69"/>
  <c r="E4933" i="69"/>
  <c r="C4933" i="69"/>
  <c r="E4932" i="69"/>
  <c r="C4932" i="69"/>
  <c r="E4931" i="69"/>
  <c r="C4931" i="69"/>
  <c r="E4930" i="69"/>
  <c r="C4930" i="69"/>
  <c r="E4929" i="69"/>
  <c r="C4929" i="69"/>
  <c r="E4928" i="69"/>
  <c r="C4928" i="69"/>
  <c r="E4927" i="69"/>
  <c r="C4927" i="69"/>
  <c r="E4926" i="69"/>
  <c r="C4926" i="69"/>
  <c r="E4925" i="69"/>
  <c r="C4925" i="69"/>
  <c r="E4924" i="69"/>
  <c r="C4924" i="69"/>
  <c r="E4923" i="69"/>
  <c r="C4923" i="69"/>
  <c r="E4922" i="69"/>
  <c r="C4922" i="69"/>
  <c r="E4921" i="69"/>
  <c r="C4921" i="69"/>
  <c r="E4920" i="69"/>
  <c r="C4920" i="69"/>
  <c r="E4919" i="69"/>
  <c r="C4919" i="69"/>
  <c r="E4918" i="69"/>
  <c r="C4918" i="69"/>
  <c r="E4917" i="69"/>
  <c r="C4917" i="69"/>
  <c r="E4916" i="69"/>
  <c r="C4916" i="69"/>
  <c r="E4915" i="69"/>
  <c r="C4915" i="69"/>
  <c r="E4914" i="69"/>
  <c r="C4914" i="69"/>
  <c r="E4913" i="69"/>
  <c r="C4913" i="69"/>
  <c r="E4912" i="69"/>
  <c r="C4912" i="69"/>
  <c r="E4911" i="69"/>
  <c r="C4911" i="69"/>
  <c r="E4910" i="69"/>
  <c r="C4910" i="69"/>
  <c r="E4909" i="69"/>
  <c r="C4909" i="69"/>
  <c r="E4908" i="69"/>
  <c r="C4908" i="69"/>
  <c r="E4907" i="69"/>
  <c r="C4907" i="69"/>
  <c r="E4906" i="69"/>
  <c r="C4906" i="69"/>
  <c r="E4905" i="69"/>
  <c r="C4905" i="69"/>
  <c r="E4904" i="69"/>
  <c r="C4904" i="69"/>
  <c r="E4903" i="69"/>
  <c r="C4903" i="69"/>
  <c r="E4902" i="69"/>
  <c r="C4902" i="69"/>
  <c r="E4901" i="69"/>
  <c r="C4901" i="69"/>
  <c r="E4900" i="69"/>
  <c r="C4900" i="69"/>
  <c r="E4899" i="69"/>
  <c r="C4899" i="69"/>
  <c r="E4898" i="69"/>
  <c r="C4898" i="69"/>
  <c r="E4897" i="69"/>
  <c r="C4897" i="69"/>
  <c r="E4896" i="69"/>
  <c r="C4896" i="69"/>
  <c r="E4895" i="69"/>
  <c r="C4895" i="69"/>
  <c r="E4894" i="69"/>
  <c r="C4894" i="69"/>
  <c r="E4893" i="69"/>
  <c r="C4893" i="69"/>
  <c r="E4892" i="69"/>
  <c r="C4892" i="69"/>
  <c r="E4891" i="69"/>
  <c r="C4891" i="69"/>
  <c r="E4890" i="69"/>
  <c r="C4890" i="69"/>
  <c r="E4889" i="69"/>
  <c r="C4889" i="69"/>
  <c r="E4888" i="69"/>
  <c r="C4888" i="69"/>
  <c r="E4887" i="69"/>
  <c r="C4887" i="69"/>
  <c r="E4886" i="69"/>
  <c r="C4886" i="69"/>
  <c r="E4885" i="69"/>
  <c r="C4885" i="69"/>
  <c r="E4884" i="69"/>
  <c r="C4884" i="69"/>
  <c r="E4883" i="69"/>
  <c r="C4883" i="69"/>
  <c r="E4882" i="69"/>
  <c r="C4882" i="69"/>
  <c r="E4881" i="69"/>
  <c r="C4881" i="69"/>
  <c r="E4880" i="69"/>
  <c r="C4880" i="69"/>
  <c r="E4879" i="69"/>
  <c r="C4879" i="69"/>
  <c r="E4878" i="69"/>
  <c r="C4878" i="69"/>
  <c r="E4877" i="69"/>
  <c r="C4877" i="69"/>
  <c r="E4876" i="69"/>
  <c r="C4876" i="69"/>
  <c r="E4875" i="69"/>
  <c r="C4875" i="69"/>
  <c r="E4874" i="69"/>
  <c r="C4874" i="69"/>
  <c r="E4873" i="69"/>
  <c r="C4873" i="69"/>
  <c r="E4872" i="69"/>
  <c r="C4872" i="69"/>
  <c r="E4871" i="69"/>
  <c r="C4871" i="69"/>
  <c r="E4870" i="69"/>
  <c r="C4870" i="69"/>
  <c r="E4869" i="69"/>
  <c r="C4869" i="69"/>
  <c r="E4868" i="69"/>
  <c r="C4868" i="69"/>
  <c r="E4867" i="69"/>
  <c r="C4867" i="69"/>
  <c r="E4866" i="69"/>
  <c r="C4866" i="69"/>
  <c r="E4865" i="69"/>
  <c r="C4865" i="69"/>
  <c r="E4864" i="69"/>
  <c r="C4864" i="69"/>
  <c r="E4863" i="69"/>
  <c r="C4863" i="69"/>
  <c r="E4862" i="69"/>
  <c r="C4862" i="69"/>
  <c r="E4861" i="69"/>
  <c r="C4861" i="69"/>
  <c r="E4860" i="69"/>
  <c r="C4860" i="69"/>
  <c r="E4859" i="69"/>
  <c r="C4859" i="69"/>
  <c r="E4858" i="69"/>
  <c r="C4858" i="69"/>
  <c r="E4857" i="69"/>
  <c r="C4857" i="69"/>
  <c r="E4856" i="69"/>
  <c r="C4856" i="69"/>
  <c r="E4855" i="69"/>
  <c r="C4855" i="69"/>
  <c r="E4854" i="69"/>
  <c r="C4854" i="69"/>
  <c r="E4853" i="69"/>
  <c r="C4853" i="69"/>
  <c r="E4852" i="69"/>
  <c r="C4852" i="69"/>
  <c r="E4851" i="69"/>
  <c r="C4851" i="69"/>
  <c r="E4850" i="69"/>
  <c r="C4850" i="69"/>
  <c r="E4849" i="69"/>
  <c r="C4849" i="69"/>
  <c r="E4848" i="69"/>
  <c r="C4848" i="69"/>
  <c r="E4847" i="69"/>
  <c r="C4847" i="69"/>
  <c r="E4846" i="69"/>
  <c r="C4846" i="69"/>
  <c r="E4845" i="69"/>
  <c r="C4845" i="69"/>
  <c r="E4844" i="69"/>
  <c r="C4844" i="69"/>
  <c r="E4843" i="69"/>
  <c r="C4843" i="69"/>
  <c r="E4842" i="69"/>
  <c r="C4842" i="69"/>
  <c r="E4841" i="69"/>
  <c r="C4841" i="69"/>
  <c r="E4840" i="69"/>
  <c r="C4840" i="69"/>
  <c r="E4839" i="69"/>
  <c r="C4839" i="69"/>
  <c r="E4838" i="69"/>
  <c r="C4838" i="69"/>
  <c r="E4837" i="69"/>
  <c r="C4837" i="69"/>
  <c r="E4836" i="69"/>
  <c r="C4836" i="69"/>
  <c r="E4835" i="69"/>
  <c r="C4835" i="69"/>
  <c r="E4834" i="69"/>
  <c r="C4834" i="69"/>
  <c r="E4833" i="69"/>
  <c r="C4833" i="69"/>
  <c r="E4832" i="69"/>
  <c r="C4832" i="69"/>
  <c r="E4831" i="69"/>
  <c r="C4831" i="69"/>
  <c r="E4830" i="69"/>
  <c r="C4830" i="69"/>
  <c r="E4829" i="69"/>
  <c r="C4829" i="69"/>
  <c r="E4828" i="69"/>
  <c r="C4828" i="69"/>
  <c r="E4827" i="69"/>
  <c r="C4827" i="69"/>
  <c r="E4826" i="69"/>
  <c r="C4826" i="69"/>
  <c r="E4825" i="69"/>
  <c r="C4825" i="69"/>
  <c r="E4824" i="69"/>
  <c r="C4824" i="69"/>
  <c r="E4823" i="69"/>
  <c r="C4823" i="69"/>
  <c r="E4822" i="69"/>
  <c r="C4822" i="69"/>
  <c r="E4821" i="69"/>
  <c r="C4821" i="69"/>
  <c r="E4820" i="69"/>
  <c r="C4820" i="69"/>
  <c r="E4819" i="69"/>
  <c r="C4819" i="69"/>
  <c r="E4818" i="69"/>
  <c r="C4818" i="69"/>
  <c r="E4817" i="69"/>
  <c r="C4817" i="69"/>
  <c r="E4816" i="69"/>
  <c r="C4816" i="69"/>
  <c r="E4815" i="69"/>
  <c r="C4815" i="69"/>
  <c r="E4814" i="69"/>
  <c r="C4814" i="69"/>
  <c r="E4813" i="69"/>
  <c r="C4813" i="69"/>
  <c r="E4812" i="69"/>
  <c r="C4812" i="69"/>
  <c r="E4811" i="69"/>
  <c r="C4811" i="69"/>
  <c r="E4810" i="69"/>
  <c r="C4810" i="69"/>
  <c r="E4809" i="69"/>
  <c r="C4809" i="69"/>
  <c r="E4808" i="69"/>
  <c r="C4808" i="69"/>
  <c r="E4807" i="69"/>
  <c r="C4807" i="69"/>
  <c r="E4806" i="69"/>
  <c r="C4806" i="69"/>
  <c r="E4805" i="69"/>
  <c r="C4805" i="69"/>
  <c r="E4804" i="69"/>
  <c r="C4804" i="69"/>
  <c r="E4803" i="69"/>
  <c r="C4803" i="69"/>
  <c r="E4802" i="69"/>
  <c r="C4802" i="69"/>
  <c r="E4801" i="69"/>
  <c r="C4801" i="69"/>
  <c r="E4800" i="69"/>
  <c r="C4800" i="69"/>
  <c r="E4799" i="69"/>
  <c r="C4799" i="69"/>
  <c r="E4798" i="69"/>
  <c r="C4798" i="69"/>
  <c r="E4797" i="69"/>
  <c r="C4797" i="69"/>
  <c r="E4796" i="69"/>
  <c r="C4796" i="69"/>
  <c r="E4795" i="69"/>
  <c r="C4795" i="69"/>
  <c r="E4794" i="69"/>
  <c r="C4794" i="69"/>
  <c r="E4793" i="69"/>
  <c r="C4793" i="69"/>
  <c r="E4792" i="69"/>
  <c r="C4792" i="69"/>
  <c r="E4791" i="69"/>
  <c r="C4791" i="69"/>
  <c r="E4790" i="69"/>
  <c r="C4790" i="69"/>
  <c r="E4789" i="69"/>
  <c r="C4789" i="69"/>
  <c r="E4788" i="69"/>
  <c r="C4788" i="69"/>
  <c r="E4787" i="69"/>
  <c r="C4787" i="69"/>
  <c r="E4786" i="69"/>
  <c r="C4786" i="69"/>
  <c r="E4785" i="69"/>
  <c r="C4785" i="69"/>
  <c r="E4784" i="69"/>
  <c r="C4784" i="69"/>
  <c r="E4783" i="69"/>
  <c r="C4783" i="69"/>
  <c r="E4782" i="69"/>
  <c r="C4782" i="69"/>
  <c r="E4781" i="69"/>
  <c r="C4781" i="69"/>
  <c r="E4780" i="69"/>
  <c r="C4780" i="69"/>
  <c r="E4779" i="69"/>
  <c r="C4779" i="69"/>
  <c r="E4778" i="69"/>
  <c r="C4778" i="69"/>
  <c r="E4777" i="69"/>
  <c r="C4777" i="69"/>
  <c r="E4776" i="69"/>
  <c r="C4776" i="69"/>
  <c r="E4775" i="69"/>
  <c r="C4775" i="69"/>
  <c r="E4774" i="69"/>
  <c r="C4774" i="69"/>
  <c r="E4773" i="69"/>
  <c r="C4773" i="69"/>
  <c r="E4772" i="69"/>
  <c r="C4772" i="69"/>
  <c r="E4771" i="69"/>
  <c r="C4771" i="69"/>
  <c r="E4770" i="69"/>
  <c r="C4770" i="69"/>
  <c r="E4769" i="69"/>
  <c r="C4769" i="69"/>
  <c r="E4768" i="69"/>
  <c r="C4768" i="69"/>
  <c r="E4767" i="69"/>
  <c r="C4767" i="69"/>
  <c r="E4766" i="69"/>
  <c r="C4766" i="69"/>
  <c r="E4765" i="69"/>
  <c r="C4765" i="69"/>
  <c r="E4764" i="69"/>
  <c r="C4764" i="69"/>
  <c r="E4763" i="69"/>
  <c r="C4763" i="69"/>
  <c r="E4762" i="69"/>
  <c r="C4762" i="69"/>
  <c r="E4761" i="69"/>
  <c r="C4761" i="69"/>
  <c r="E4760" i="69"/>
  <c r="C4760" i="69"/>
  <c r="C4759" i="69"/>
  <c r="E4758" i="69"/>
  <c r="C4758" i="69"/>
  <c r="E4757" i="69"/>
  <c r="C4757" i="69"/>
  <c r="E4756" i="69"/>
  <c r="C4756" i="69"/>
  <c r="E4755" i="69"/>
  <c r="C4755" i="69"/>
  <c r="E4754" i="69"/>
  <c r="C4754" i="69"/>
  <c r="E4753" i="69"/>
  <c r="C4753" i="69"/>
  <c r="E4752" i="69"/>
  <c r="C4752" i="69"/>
  <c r="E4751" i="69"/>
  <c r="C4751" i="69"/>
  <c r="E4750" i="69"/>
  <c r="C4750" i="69"/>
  <c r="E4749" i="69"/>
  <c r="C4749" i="69"/>
  <c r="E4748" i="69"/>
  <c r="C4748" i="69"/>
  <c r="E4747" i="69"/>
  <c r="C4747" i="69"/>
  <c r="E4746" i="69"/>
  <c r="C4746" i="69"/>
  <c r="E4745" i="69"/>
  <c r="C4745" i="69"/>
  <c r="E4744" i="69"/>
  <c r="C4744" i="69"/>
  <c r="E4743" i="69"/>
  <c r="C4743" i="69"/>
  <c r="E4742" i="69"/>
  <c r="C4742" i="69"/>
  <c r="E4741" i="69"/>
  <c r="C4741" i="69"/>
  <c r="E4740" i="69"/>
  <c r="C4740" i="69"/>
  <c r="E4739" i="69"/>
  <c r="C4739" i="69"/>
  <c r="E4738" i="69"/>
  <c r="C4738" i="69"/>
  <c r="E4737" i="69"/>
  <c r="C4737" i="69"/>
  <c r="E4736" i="69"/>
  <c r="C4736" i="69"/>
  <c r="E4735" i="69"/>
  <c r="C4735" i="69"/>
  <c r="E4734" i="69"/>
  <c r="C4734" i="69"/>
  <c r="E4733" i="69"/>
  <c r="C4733" i="69"/>
  <c r="E4732" i="69"/>
  <c r="C4732" i="69"/>
  <c r="E4731" i="69"/>
  <c r="C4731" i="69"/>
  <c r="E4730" i="69"/>
  <c r="C4730" i="69"/>
  <c r="E4729" i="69"/>
  <c r="C4729" i="69"/>
  <c r="E4728" i="69"/>
  <c r="C4728" i="69"/>
  <c r="E4727" i="69"/>
  <c r="C4727" i="69"/>
  <c r="E4726" i="69"/>
  <c r="C4726" i="69"/>
  <c r="E4725" i="69"/>
  <c r="C4725" i="69"/>
  <c r="E4724" i="69"/>
  <c r="C4724" i="69"/>
  <c r="E4723" i="69"/>
  <c r="C4723" i="69"/>
  <c r="E4722" i="69"/>
  <c r="C4722" i="69"/>
  <c r="E4721" i="69"/>
  <c r="C4721" i="69"/>
  <c r="E4720" i="69"/>
  <c r="C4720" i="69"/>
  <c r="E4719" i="69"/>
  <c r="C4719" i="69"/>
  <c r="E4718" i="69"/>
  <c r="C4718" i="69"/>
  <c r="E4717" i="69"/>
  <c r="C4717" i="69"/>
  <c r="E4716" i="69"/>
  <c r="C4716" i="69"/>
  <c r="E4715" i="69"/>
  <c r="C4715" i="69"/>
  <c r="E4714" i="69"/>
  <c r="C4714" i="69"/>
  <c r="E4713" i="69"/>
  <c r="C4713" i="69"/>
  <c r="E4712" i="69"/>
  <c r="C4712" i="69"/>
  <c r="E4711" i="69"/>
  <c r="C4711" i="69"/>
  <c r="E4710" i="69"/>
  <c r="C4710" i="69"/>
  <c r="E4709" i="69"/>
  <c r="C4709" i="69"/>
  <c r="E4708" i="69"/>
  <c r="C4708" i="69"/>
  <c r="E4707" i="69"/>
  <c r="C4707" i="69"/>
  <c r="E4706" i="69"/>
  <c r="C4706" i="69"/>
  <c r="E4705" i="69"/>
  <c r="C4705" i="69"/>
  <c r="E4704" i="69"/>
  <c r="C4704" i="69"/>
  <c r="E4703" i="69"/>
  <c r="C4703" i="69"/>
  <c r="E4702" i="69"/>
  <c r="C4702" i="69"/>
  <c r="E4701" i="69"/>
  <c r="C4701" i="69"/>
  <c r="E4700" i="69"/>
  <c r="C4700" i="69"/>
  <c r="E4699" i="69"/>
  <c r="C4699" i="69"/>
  <c r="E4698" i="69"/>
  <c r="C4698" i="69"/>
  <c r="E4697" i="69"/>
  <c r="C4697" i="69"/>
  <c r="E4696" i="69"/>
  <c r="C4696" i="69"/>
  <c r="E4695" i="69"/>
  <c r="C4695" i="69"/>
  <c r="E4694" i="69"/>
  <c r="C4694" i="69"/>
  <c r="E4693" i="69"/>
  <c r="C4693" i="69"/>
  <c r="E4692" i="69"/>
  <c r="C4692" i="69"/>
  <c r="E4691" i="69"/>
  <c r="C4691" i="69"/>
  <c r="E4690" i="69"/>
  <c r="C4690" i="69"/>
  <c r="E4689" i="69"/>
  <c r="C4689" i="69"/>
  <c r="E4688" i="69"/>
  <c r="C4688" i="69"/>
  <c r="E4687" i="69"/>
  <c r="C4687" i="69"/>
  <c r="E4686" i="69"/>
  <c r="C4686" i="69"/>
  <c r="E4685" i="69"/>
  <c r="C4685" i="69"/>
  <c r="E4684" i="69"/>
  <c r="C4684" i="69"/>
  <c r="E4683" i="69"/>
  <c r="C4683" i="69"/>
  <c r="E4682" i="69"/>
  <c r="C4682" i="69"/>
  <c r="E4681" i="69"/>
  <c r="C4681" i="69"/>
  <c r="E4680" i="69"/>
  <c r="C4680" i="69"/>
  <c r="E4679" i="69"/>
  <c r="C4679" i="69"/>
  <c r="E4678" i="69"/>
  <c r="C4678" i="69"/>
  <c r="E4677" i="69"/>
  <c r="C4677" i="69"/>
  <c r="E4676" i="69"/>
  <c r="C4676" i="69"/>
  <c r="E4675" i="69"/>
  <c r="C4675" i="69"/>
  <c r="E4674" i="69"/>
  <c r="C4674" i="69"/>
  <c r="E4673" i="69"/>
  <c r="C4673" i="69"/>
  <c r="E4672" i="69"/>
  <c r="C4672" i="69"/>
  <c r="E4671" i="69"/>
  <c r="C4671" i="69"/>
  <c r="E4670" i="69"/>
  <c r="C4670" i="69"/>
  <c r="E4669" i="69"/>
  <c r="C4669" i="69"/>
  <c r="E4668" i="69"/>
  <c r="C4668" i="69"/>
  <c r="E4667" i="69"/>
  <c r="C4667" i="69"/>
  <c r="E4666" i="69"/>
  <c r="C4666" i="69"/>
  <c r="E4665" i="69"/>
  <c r="C4665" i="69"/>
  <c r="E4664" i="69"/>
  <c r="C4664" i="69"/>
  <c r="E4663" i="69"/>
  <c r="C4663" i="69"/>
  <c r="E4662" i="69"/>
  <c r="C4662" i="69"/>
  <c r="E4661" i="69"/>
  <c r="C4661" i="69"/>
  <c r="E4660" i="69"/>
  <c r="C4660" i="69"/>
  <c r="E4659" i="69"/>
  <c r="C4659" i="69"/>
  <c r="E4658" i="69"/>
  <c r="C4658" i="69"/>
  <c r="E4657" i="69"/>
  <c r="C4657" i="69"/>
  <c r="E4656" i="69"/>
  <c r="C4656" i="69"/>
  <c r="E4655" i="69"/>
  <c r="C4655" i="69"/>
  <c r="E4654" i="69"/>
  <c r="C4654" i="69"/>
  <c r="E4653" i="69"/>
  <c r="C4653" i="69"/>
  <c r="E4652" i="69"/>
  <c r="C4652" i="69"/>
  <c r="E4651" i="69"/>
  <c r="C4651" i="69"/>
  <c r="E4650" i="69"/>
  <c r="C4650" i="69"/>
  <c r="E4649" i="69"/>
  <c r="C4649" i="69"/>
  <c r="E4648" i="69"/>
  <c r="C4648" i="69"/>
  <c r="E4647" i="69"/>
  <c r="C4647" i="69"/>
  <c r="E4646" i="69"/>
  <c r="C4646" i="69"/>
  <c r="E4645" i="69"/>
  <c r="C4645" i="69"/>
  <c r="E4644" i="69"/>
  <c r="C4644" i="69"/>
  <c r="E4643" i="69"/>
  <c r="C4643" i="69"/>
  <c r="E4642" i="69"/>
  <c r="C4642" i="69"/>
  <c r="E4641" i="69"/>
  <c r="C4641" i="69"/>
  <c r="E4640" i="69"/>
  <c r="C4640" i="69"/>
  <c r="E4639" i="69"/>
  <c r="C4639" i="69"/>
  <c r="E4638" i="69"/>
  <c r="C4638" i="69"/>
  <c r="E4637" i="69"/>
  <c r="C4637" i="69"/>
  <c r="E4636" i="69"/>
  <c r="C4636" i="69"/>
  <c r="E4635" i="69"/>
  <c r="C4635" i="69"/>
  <c r="E4634" i="69"/>
  <c r="C4634" i="69"/>
  <c r="E4633" i="69"/>
  <c r="C4633" i="69"/>
  <c r="E4632" i="69"/>
  <c r="C4632" i="69"/>
  <c r="E4631" i="69"/>
  <c r="C4631" i="69"/>
  <c r="E4630" i="69"/>
  <c r="C4630" i="69"/>
  <c r="E4629" i="69"/>
  <c r="C4629" i="69"/>
  <c r="E4628" i="69"/>
  <c r="C4628" i="69"/>
  <c r="E4627" i="69"/>
  <c r="C4627" i="69"/>
  <c r="E4626" i="69"/>
  <c r="C4626" i="69"/>
  <c r="E4625" i="69"/>
  <c r="C4625" i="69"/>
  <c r="E4624" i="69"/>
  <c r="C4624" i="69"/>
  <c r="E4623" i="69"/>
  <c r="C4623" i="69"/>
  <c r="E4622" i="69"/>
  <c r="C4622" i="69"/>
  <c r="E4621" i="69"/>
  <c r="C4621" i="69"/>
  <c r="E4620" i="69"/>
  <c r="C4620" i="69"/>
  <c r="E4619" i="69"/>
  <c r="C4619" i="69"/>
  <c r="E4618" i="69"/>
  <c r="C4618" i="69"/>
  <c r="E4617" i="69"/>
  <c r="C4617" i="69"/>
  <c r="E4616" i="69"/>
  <c r="C4616" i="69"/>
  <c r="E4615" i="69"/>
  <c r="C4615" i="69"/>
  <c r="E4614" i="69"/>
  <c r="C4614" i="69"/>
  <c r="E4613" i="69"/>
  <c r="C4613" i="69"/>
  <c r="E4612" i="69"/>
  <c r="C4612" i="69"/>
  <c r="E4611" i="69"/>
  <c r="C4611" i="69"/>
  <c r="E4610" i="69"/>
  <c r="C4610" i="69"/>
  <c r="E4609" i="69"/>
  <c r="C4609" i="69"/>
  <c r="E4608" i="69"/>
  <c r="C4608" i="69"/>
  <c r="E4607" i="69"/>
  <c r="C4607" i="69"/>
  <c r="E4606" i="69"/>
  <c r="C4606" i="69"/>
  <c r="E4605" i="69"/>
  <c r="C4605" i="69"/>
  <c r="E4604" i="69"/>
  <c r="C4604" i="69"/>
  <c r="E4603" i="69"/>
  <c r="C4603" i="69"/>
  <c r="E4602" i="69"/>
  <c r="C4602" i="69"/>
  <c r="E4601" i="69"/>
  <c r="C4601" i="69"/>
  <c r="E4600" i="69"/>
  <c r="C4600" i="69"/>
  <c r="E4599" i="69"/>
  <c r="C4599" i="69"/>
  <c r="E4598" i="69"/>
  <c r="C4598" i="69"/>
  <c r="E4597" i="69"/>
  <c r="C4597" i="69"/>
  <c r="E4596" i="69"/>
  <c r="C4596" i="69"/>
  <c r="E4595" i="69"/>
  <c r="C4595" i="69"/>
  <c r="E4594" i="69"/>
  <c r="C4594" i="69"/>
  <c r="E4593" i="69"/>
  <c r="C4593" i="69"/>
  <c r="E4592" i="69"/>
  <c r="C4592" i="69"/>
  <c r="E4591" i="69"/>
  <c r="C4591" i="69"/>
  <c r="E4590" i="69"/>
  <c r="C4590" i="69"/>
  <c r="E4589" i="69"/>
  <c r="C4589" i="69"/>
  <c r="E4588" i="69"/>
  <c r="C4588" i="69"/>
  <c r="E4587" i="69"/>
  <c r="C4587" i="69"/>
  <c r="E4586" i="69"/>
  <c r="C4586" i="69"/>
  <c r="E4585" i="69"/>
  <c r="C4585" i="69"/>
  <c r="E4584" i="69"/>
  <c r="C4584" i="69"/>
  <c r="E4583" i="69"/>
  <c r="C4583" i="69"/>
  <c r="E4582" i="69"/>
  <c r="C4582" i="69"/>
  <c r="E4581" i="69"/>
  <c r="C4581" i="69"/>
  <c r="E4580" i="69"/>
  <c r="C4580" i="69"/>
  <c r="E4579" i="69"/>
  <c r="C4579" i="69"/>
  <c r="E4578" i="69"/>
  <c r="C4578" i="69"/>
  <c r="E4577" i="69"/>
  <c r="C4577" i="69"/>
  <c r="E4576" i="69"/>
  <c r="C4576" i="69"/>
  <c r="E4575" i="69"/>
  <c r="C4575" i="69"/>
  <c r="E4574" i="69"/>
  <c r="C4574" i="69"/>
  <c r="E4573" i="69"/>
  <c r="C4573" i="69"/>
  <c r="E4572" i="69"/>
  <c r="C4572" i="69"/>
  <c r="E4571" i="69"/>
  <c r="C4571" i="69"/>
  <c r="E4570" i="69"/>
  <c r="C4570" i="69"/>
  <c r="E4569" i="69"/>
  <c r="C4569" i="69"/>
  <c r="E4568" i="69"/>
  <c r="C4568" i="69"/>
  <c r="E4567" i="69"/>
  <c r="C4567" i="69"/>
  <c r="E4566" i="69"/>
  <c r="C4566" i="69"/>
  <c r="E4565" i="69"/>
  <c r="C4565" i="69"/>
  <c r="E4564" i="69"/>
  <c r="C4564" i="69"/>
  <c r="E4563" i="69"/>
  <c r="C4563" i="69"/>
  <c r="E4562" i="69"/>
  <c r="C4562" i="69"/>
  <c r="E4561" i="69"/>
  <c r="C4561" i="69"/>
  <c r="E4560" i="69"/>
  <c r="C4560" i="69"/>
  <c r="E4559" i="69"/>
  <c r="C4559" i="69"/>
  <c r="E4558" i="69"/>
  <c r="C4558" i="69"/>
  <c r="E4557" i="69"/>
  <c r="C4557" i="69"/>
  <c r="E4556" i="69"/>
  <c r="C4556" i="69"/>
  <c r="E4555" i="69"/>
  <c r="C4555" i="69"/>
  <c r="E4554" i="69"/>
  <c r="C4554" i="69"/>
  <c r="E4553" i="69"/>
  <c r="C4553" i="69"/>
  <c r="E4552" i="69"/>
  <c r="C4552" i="69"/>
  <c r="E4551" i="69"/>
  <c r="C4551" i="69"/>
  <c r="E4550" i="69"/>
  <c r="C4550" i="69"/>
  <c r="E4549" i="69"/>
  <c r="C4549" i="69"/>
  <c r="E4548" i="69"/>
  <c r="C4548" i="69"/>
  <c r="E4547" i="69"/>
  <c r="C4547" i="69"/>
  <c r="E4546" i="69"/>
  <c r="C4546" i="69"/>
  <c r="E4545" i="69"/>
  <c r="C4545" i="69"/>
  <c r="E4544" i="69"/>
  <c r="C4544" i="69"/>
  <c r="E4543" i="69"/>
  <c r="C4543" i="69"/>
  <c r="E4542" i="69"/>
  <c r="C4542" i="69"/>
  <c r="E4541" i="69"/>
  <c r="C4541" i="69"/>
  <c r="E4540" i="69"/>
  <c r="C4540" i="69"/>
  <c r="E4539" i="69"/>
  <c r="C4539" i="69"/>
  <c r="E4538" i="69"/>
  <c r="C4538" i="69"/>
  <c r="E4537" i="69"/>
  <c r="C4537" i="69"/>
  <c r="E4536" i="69"/>
  <c r="C4536" i="69"/>
  <c r="E4535" i="69"/>
  <c r="C4535" i="69"/>
  <c r="E4534" i="69"/>
  <c r="C4534" i="69"/>
  <c r="E4533" i="69"/>
  <c r="C4533" i="69"/>
  <c r="E4532" i="69"/>
  <c r="C4532" i="69"/>
  <c r="E4531" i="69"/>
  <c r="C4531" i="69"/>
  <c r="E4530" i="69"/>
  <c r="C4530" i="69"/>
  <c r="E4529" i="69"/>
  <c r="C4529" i="69"/>
  <c r="E4528" i="69"/>
  <c r="C4528" i="69"/>
  <c r="E4527" i="69"/>
  <c r="C4527" i="69"/>
  <c r="E4526" i="69"/>
  <c r="C4526" i="69"/>
  <c r="E4525" i="69"/>
  <c r="C4525" i="69"/>
  <c r="E4524" i="69"/>
  <c r="C4524" i="69"/>
  <c r="E4523" i="69"/>
  <c r="C4523" i="69"/>
  <c r="E4522" i="69"/>
  <c r="C4522" i="69"/>
  <c r="E4521" i="69"/>
  <c r="C4521" i="69"/>
  <c r="E4520" i="69"/>
  <c r="C4520" i="69"/>
  <c r="E4519" i="69"/>
  <c r="C4519" i="69"/>
  <c r="E4518" i="69"/>
  <c r="C4518" i="69"/>
  <c r="E4517" i="69"/>
  <c r="C4517" i="69"/>
  <c r="E4516" i="69"/>
  <c r="C4516" i="69"/>
  <c r="E4515" i="69"/>
  <c r="C4515" i="69"/>
  <c r="E4514" i="69"/>
  <c r="C4514" i="69"/>
  <c r="E4513" i="69"/>
  <c r="C4513" i="69"/>
  <c r="E4512" i="69"/>
  <c r="C4512" i="69"/>
  <c r="E4511" i="69"/>
  <c r="C4511" i="69"/>
  <c r="E4510" i="69"/>
  <c r="C4510" i="69"/>
  <c r="E4509" i="69"/>
  <c r="C4509" i="69"/>
  <c r="E4508" i="69"/>
  <c r="C4508" i="69"/>
  <c r="E4507" i="69"/>
  <c r="C4507" i="69"/>
  <c r="E4506" i="69"/>
  <c r="C4506" i="69"/>
  <c r="E4505" i="69"/>
  <c r="C4505" i="69"/>
  <c r="E4504" i="69"/>
  <c r="C4504" i="69"/>
  <c r="E4503" i="69"/>
  <c r="C4503" i="69"/>
  <c r="E4502" i="69"/>
  <c r="C4502" i="69"/>
  <c r="E4501" i="69"/>
  <c r="C4501" i="69"/>
  <c r="E4500" i="69"/>
  <c r="C4500" i="69"/>
  <c r="E4499" i="69"/>
  <c r="C4499" i="69"/>
  <c r="E4498" i="69"/>
  <c r="C4498" i="69"/>
  <c r="E4497" i="69"/>
  <c r="C4497" i="69"/>
  <c r="E4496" i="69"/>
  <c r="C4496" i="69"/>
  <c r="E4495" i="69"/>
  <c r="C4495" i="69"/>
  <c r="E4494" i="69"/>
  <c r="C4494" i="69"/>
  <c r="E4493" i="69"/>
  <c r="C4493" i="69"/>
  <c r="E4492" i="69"/>
  <c r="C4492" i="69"/>
  <c r="E4491" i="69"/>
  <c r="C4491" i="69"/>
  <c r="E4490" i="69"/>
  <c r="C4490" i="69"/>
  <c r="E4489" i="69"/>
  <c r="C4489" i="69"/>
  <c r="E4488" i="69"/>
  <c r="C4488" i="69"/>
  <c r="E4487" i="69"/>
  <c r="C4487" i="69"/>
  <c r="E4486" i="69"/>
  <c r="C4486" i="69"/>
  <c r="E4485" i="69"/>
  <c r="C4485" i="69"/>
  <c r="E4484" i="69"/>
  <c r="C4484" i="69"/>
  <c r="E4483" i="69"/>
  <c r="C4483" i="69"/>
  <c r="E4482" i="69"/>
  <c r="C4482" i="69"/>
  <c r="E4481" i="69"/>
  <c r="C4481" i="69"/>
  <c r="E4480" i="69"/>
  <c r="C4480" i="69"/>
  <c r="E4479" i="69"/>
  <c r="C4479" i="69"/>
  <c r="E4478" i="69"/>
  <c r="C4478" i="69"/>
  <c r="E4477" i="69"/>
  <c r="C4477" i="69"/>
  <c r="E4476" i="69"/>
  <c r="C4476" i="69"/>
  <c r="E4475" i="69"/>
  <c r="C4475" i="69"/>
  <c r="E4474" i="69"/>
  <c r="C4474" i="69"/>
  <c r="E4473" i="69"/>
  <c r="C4473" i="69"/>
  <c r="E4472" i="69"/>
  <c r="C4472" i="69"/>
  <c r="E4471" i="69"/>
  <c r="C4471" i="69"/>
  <c r="E4470" i="69"/>
  <c r="C4470" i="69"/>
  <c r="E4469" i="69"/>
  <c r="C4469" i="69"/>
  <c r="E4468" i="69"/>
  <c r="C4468" i="69"/>
  <c r="E4467" i="69"/>
  <c r="C4467" i="69"/>
  <c r="E4466" i="69"/>
  <c r="C4466" i="69"/>
  <c r="E4465" i="69"/>
  <c r="C4465" i="69"/>
  <c r="E4464" i="69"/>
  <c r="C4464" i="69"/>
  <c r="E4463" i="69"/>
  <c r="C4463" i="69"/>
  <c r="E4462" i="69"/>
  <c r="C4462" i="69"/>
  <c r="E4461" i="69"/>
  <c r="C4461" i="69"/>
  <c r="E4460" i="69"/>
  <c r="C4460" i="69"/>
  <c r="E4459" i="69"/>
  <c r="C4459" i="69"/>
  <c r="E4458" i="69"/>
  <c r="C4458" i="69"/>
  <c r="E4457" i="69"/>
  <c r="C4457" i="69"/>
  <c r="E4456" i="69"/>
  <c r="C4456" i="69"/>
  <c r="E4455" i="69"/>
  <c r="C4455" i="69"/>
  <c r="E4454" i="69"/>
  <c r="C4454" i="69"/>
  <c r="E4453" i="69"/>
  <c r="C4453" i="69"/>
  <c r="E4452" i="69"/>
  <c r="C4452" i="69"/>
  <c r="E4451" i="69"/>
  <c r="C4451" i="69"/>
  <c r="E4450" i="69"/>
  <c r="C4450" i="69"/>
  <c r="E4449" i="69"/>
  <c r="C4449" i="69"/>
  <c r="E4448" i="69"/>
  <c r="C4448" i="69"/>
  <c r="E4447" i="69"/>
  <c r="C4447" i="69"/>
  <c r="E4446" i="69"/>
  <c r="C4446" i="69"/>
  <c r="E4445" i="69"/>
  <c r="C4445" i="69"/>
  <c r="E4444" i="69"/>
  <c r="C4444" i="69"/>
  <c r="E4443" i="69"/>
  <c r="C4443" i="69"/>
  <c r="E4442" i="69"/>
  <c r="C4442" i="69"/>
  <c r="E4441" i="69"/>
  <c r="C4441" i="69"/>
  <c r="E4440" i="69"/>
  <c r="C4440" i="69"/>
  <c r="E4439" i="69"/>
  <c r="C4439" i="69"/>
  <c r="E4438" i="69"/>
  <c r="C4438" i="69"/>
  <c r="E4437" i="69"/>
  <c r="C4437" i="69"/>
  <c r="E4436" i="69"/>
  <c r="C4436" i="69"/>
  <c r="E4435" i="69"/>
  <c r="C4435" i="69"/>
  <c r="E4434" i="69"/>
  <c r="C4434" i="69"/>
  <c r="E4433" i="69"/>
  <c r="C4433" i="69"/>
  <c r="E4432" i="69"/>
  <c r="C4432" i="69"/>
  <c r="E4431" i="69"/>
  <c r="C4431" i="69"/>
  <c r="E4430" i="69"/>
  <c r="C4430" i="69"/>
  <c r="E4429" i="69"/>
  <c r="C4429" i="69"/>
  <c r="E4428" i="69"/>
  <c r="C4428" i="69"/>
  <c r="E4427" i="69"/>
  <c r="C4427" i="69"/>
  <c r="E4426" i="69"/>
  <c r="C4426" i="69"/>
  <c r="E4425" i="69"/>
  <c r="C4425" i="69"/>
  <c r="E4424" i="69"/>
  <c r="C4424" i="69"/>
  <c r="E4423" i="69"/>
  <c r="C4423" i="69"/>
  <c r="E4422" i="69"/>
  <c r="C4422" i="69"/>
  <c r="E4421" i="69"/>
  <c r="C4421" i="69"/>
  <c r="E4420" i="69"/>
  <c r="C4420" i="69"/>
  <c r="E4419" i="69"/>
  <c r="C4419" i="69"/>
  <c r="E4418" i="69"/>
  <c r="C4418" i="69"/>
  <c r="E4417" i="69"/>
  <c r="C4417" i="69"/>
  <c r="E4416" i="69"/>
  <c r="C4416" i="69"/>
  <c r="E4415" i="69"/>
  <c r="C4415" i="69"/>
  <c r="E4414" i="69"/>
  <c r="C4414" i="69"/>
  <c r="E4413" i="69"/>
  <c r="C4413" i="69"/>
  <c r="E4412" i="69"/>
  <c r="C4412" i="69"/>
  <c r="E4411" i="69"/>
  <c r="C4411" i="69"/>
  <c r="E4410" i="69"/>
  <c r="C4410" i="69"/>
  <c r="E4409" i="69"/>
  <c r="C4409" i="69"/>
  <c r="E4408" i="69"/>
  <c r="C4408" i="69"/>
  <c r="E4407" i="69"/>
  <c r="C4407" i="69"/>
  <c r="E4406" i="69"/>
  <c r="C4406" i="69"/>
  <c r="E4405" i="69"/>
  <c r="C4405" i="69"/>
  <c r="E4404" i="69"/>
  <c r="C4404" i="69"/>
  <c r="E4403" i="69"/>
  <c r="C4403" i="69"/>
  <c r="E4402" i="69"/>
  <c r="C4402" i="69"/>
  <c r="E4401" i="69"/>
  <c r="C4401" i="69"/>
  <c r="E4400" i="69"/>
  <c r="C4400" i="69"/>
  <c r="E4399" i="69"/>
  <c r="C4399" i="69"/>
  <c r="E4398" i="69"/>
  <c r="C4398" i="69"/>
  <c r="E4397" i="69"/>
  <c r="C4397" i="69"/>
  <c r="E4396" i="69"/>
  <c r="C4396" i="69"/>
  <c r="E4395" i="69"/>
  <c r="C4395" i="69"/>
  <c r="E4394" i="69"/>
  <c r="C4394" i="69"/>
  <c r="E4393" i="69"/>
  <c r="C4393" i="69"/>
  <c r="E4392" i="69"/>
  <c r="C4392" i="69"/>
  <c r="E4391" i="69"/>
  <c r="C4391" i="69"/>
  <c r="E4390" i="69"/>
  <c r="C4390" i="69"/>
  <c r="E4389" i="69"/>
  <c r="C4389" i="69"/>
  <c r="E4388" i="69"/>
  <c r="C4388" i="69"/>
  <c r="E4387" i="69"/>
  <c r="C4387" i="69"/>
  <c r="E4386" i="69"/>
  <c r="C4386" i="69"/>
  <c r="E4385" i="69"/>
  <c r="C4385" i="69"/>
  <c r="E4384" i="69"/>
  <c r="C4384" i="69"/>
  <c r="E4383" i="69"/>
  <c r="C4383" i="69"/>
  <c r="E4382" i="69"/>
  <c r="C4382" i="69"/>
  <c r="E4381" i="69"/>
  <c r="C4381" i="69"/>
  <c r="E4380" i="69"/>
  <c r="C4380" i="69"/>
  <c r="E4379" i="69"/>
  <c r="C4379" i="69"/>
  <c r="E4378" i="69"/>
  <c r="C4378" i="69"/>
  <c r="E4377" i="69"/>
  <c r="C4377" i="69"/>
  <c r="E4376" i="69"/>
  <c r="C4376" i="69"/>
  <c r="E4375" i="69"/>
  <c r="C4375" i="69"/>
  <c r="E4374" i="69"/>
  <c r="C4374" i="69"/>
  <c r="E4373" i="69"/>
  <c r="C4373" i="69"/>
  <c r="E4372" i="69"/>
  <c r="C4372" i="69"/>
  <c r="E4371" i="69"/>
  <c r="C4371" i="69"/>
  <c r="E4370" i="69"/>
  <c r="C4370" i="69"/>
  <c r="E4369" i="69"/>
  <c r="C4369" i="69"/>
  <c r="E4368" i="69"/>
  <c r="C4368" i="69"/>
  <c r="E4367" i="69"/>
  <c r="C4367" i="69"/>
  <c r="E4366" i="69"/>
  <c r="C4366" i="69"/>
  <c r="E4365" i="69"/>
  <c r="C4365" i="69"/>
  <c r="E4364" i="69"/>
  <c r="C4364" i="69"/>
  <c r="E4363" i="69"/>
  <c r="C4363" i="69"/>
  <c r="E4362" i="69"/>
  <c r="C4362" i="69"/>
  <c r="E4361" i="69"/>
  <c r="C4361" i="69"/>
  <c r="E4360" i="69"/>
  <c r="C4360" i="69"/>
  <c r="E4359" i="69"/>
  <c r="C4359" i="69"/>
  <c r="E4358" i="69"/>
  <c r="C4358" i="69"/>
  <c r="E4357" i="69"/>
  <c r="C4357" i="69"/>
  <c r="E4356" i="69"/>
  <c r="C4356" i="69"/>
  <c r="E4355" i="69"/>
  <c r="C4355" i="69"/>
  <c r="E4354" i="69"/>
  <c r="C4354" i="69"/>
  <c r="E4353" i="69"/>
  <c r="C4353" i="69"/>
  <c r="E4352" i="69"/>
  <c r="C4352" i="69"/>
  <c r="E4351" i="69"/>
  <c r="C4351" i="69"/>
  <c r="E4350" i="69"/>
  <c r="C4350" i="69"/>
  <c r="E4349" i="69"/>
  <c r="C4349" i="69"/>
  <c r="E4348" i="69"/>
  <c r="C4348" i="69"/>
  <c r="E4347" i="69"/>
  <c r="C4347" i="69"/>
  <c r="E4346" i="69"/>
  <c r="C4346" i="69"/>
  <c r="E4345" i="69"/>
  <c r="C4345" i="69"/>
  <c r="E4344" i="69"/>
  <c r="C4344" i="69"/>
  <c r="E4343" i="69"/>
  <c r="C4343" i="69"/>
  <c r="E4342" i="69"/>
  <c r="C4342" i="69"/>
  <c r="E4341" i="69"/>
  <c r="C4341" i="69"/>
  <c r="E4340" i="69"/>
  <c r="C4340" i="69"/>
  <c r="E4339" i="69"/>
  <c r="C4339" i="69"/>
  <c r="E4338" i="69"/>
  <c r="C4338" i="69"/>
  <c r="E4337" i="69"/>
  <c r="C4337" i="69"/>
  <c r="E4336" i="69"/>
  <c r="C4336" i="69"/>
  <c r="E4335" i="69"/>
  <c r="C4335" i="69"/>
  <c r="E4334" i="69"/>
  <c r="C4334" i="69"/>
  <c r="E4333" i="69"/>
  <c r="C4333" i="69"/>
  <c r="E4332" i="69"/>
  <c r="C4332" i="69"/>
  <c r="E4331" i="69"/>
  <c r="C4331" i="69"/>
  <c r="E4330" i="69"/>
  <c r="C4330" i="69"/>
  <c r="E4329" i="69"/>
  <c r="C4329" i="69"/>
  <c r="E4328" i="69"/>
  <c r="C4328" i="69"/>
  <c r="E4327" i="69"/>
  <c r="C4327" i="69"/>
  <c r="E4326" i="69"/>
  <c r="C4326" i="69"/>
  <c r="E4325" i="69"/>
  <c r="C4325" i="69"/>
  <c r="E4324" i="69"/>
  <c r="C4324" i="69"/>
  <c r="E4323" i="69"/>
  <c r="C4323" i="69"/>
  <c r="E4322" i="69"/>
  <c r="C4322" i="69"/>
  <c r="E4321" i="69"/>
  <c r="C4321" i="69"/>
  <c r="E4320" i="69"/>
  <c r="C4320" i="69"/>
  <c r="E4319" i="69"/>
  <c r="C4319" i="69"/>
  <c r="E4318" i="69"/>
  <c r="C4318" i="69"/>
  <c r="E4317" i="69"/>
  <c r="C4317" i="69"/>
  <c r="E4316" i="69"/>
  <c r="C4316" i="69"/>
  <c r="E4315" i="69"/>
  <c r="C4315" i="69"/>
  <c r="E4314" i="69"/>
  <c r="C4314" i="69"/>
  <c r="E4313" i="69"/>
  <c r="C4313" i="69"/>
  <c r="E4312" i="69"/>
  <c r="C4312" i="69"/>
  <c r="E4311" i="69"/>
  <c r="C4311" i="69"/>
  <c r="E4310" i="69"/>
  <c r="C4310" i="69"/>
  <c r="E4309" i="69"/>
  <c r="C4309" i="69"/>
  <c r="E4308" i="69"/>
  <c r="C4308" i="69"/>
  <c r="E4307" i="69"/>
  <c r="C4307" i="69"/>
  <c r="E4306" i="69"/>
  <c r="C4306" i="69"/>
  <c r="E4305" i="69"/>
  <c r="C4305" i="69"/>
  <c r="E4304" i="69"/>
  <c r="C4304" i="69"/>
  <c r="E4303" i="69"/>
  <c r="C4303" i="69"/>
  <c r="E4302" i="69"/>
  <c r="C4302" i="69"/>
  <c r="E4301" i="69"/>
  <c r="C4301" i="69"/>
  <c r="E4300" i="69"/>
  <c r="C4300" i="69"/>
  <c r="E4299" i="69"/>
  <c r="C4299" i="69"/>
  <c r="E4298" i="69"/>
  <c r="C4298" i="69"/>
  <c r="E4297" i="69"/>
  <c r="C4297" i="69"/>
  <c r="E4296" i="69"/>
  <c r="C4296" i="69"/>
  <c r="E4295" i="69"/>
  <c r="C4295" i="69"/>
  <c r="E4294" i="69"/>
  <c r="C4294" i="69"/>
  <c r="E4293" i="69"/>
  <c r="C4293" i="69"/>
  <c r="E4292" i="69"/>
  <c r="C4292" i="69"/>
  <c r="E4291" i="69"/>
  <c r="C4291" i="69"/>
  <c r="E4290" i="69"/>
  <c r="C4290" i="69"/>
  <c r="E4289" i="69"/>
  <c r="C4289" i="69"/>
  <c r="E4288" i="69"/>
  <c r="C4288" i="69"/>
  <c r="E4287" i="69"/>
  <c r="C4287" i="69"/>
  <c r="E4286" i="69"/>
  <c r="C4286" i="69"/>
  <c r="E4285" i="69"/>
  <c r="C4285" i="69"/>
  <c r="E4284" i="69"/>
  <c r="C4284" i="69"/>
  <c r="E4283" i="69"/>
  <c r="C4283" i="69"/>
  <c r="E4282" i="69"/>
  <c r="C4282" i="69"/>
  <c r="E4281" i="69"/>
  <c r="C4281" i="69"/>
  <c r="E4280" i="69"/>
  <c r="C4280" i="69"/>
  <c r="E4279" i="69"/>
  <c r="C4279" i="69"/>
  <c r="E4278" i="69"/>
  <c r="C4278" i="69"/>
  <c r="E4277" i="69"/>
  <c r="C4277" i="69"/>
  <c r="E4276" i="69"/>
  <c r="C4276" i="69"/>
  <c r="E4275" i="69"/>
  <c r="C4275" i="69"/>
  <c r="E4274" i="69"/>
  <c r="C4274" i="69"/>
  <c r="E4273" i="69"/>
  <c r="C4273" i="69"/>
  <c r="E4272" i="69"/>
  <c r="C4272" i="69"/>
  <c r="E4271" i="69"/>
  <c r="C4271" i="69"/>
  <c r="E4270" i="69"/>
  <c r="C4270" i="69"/>
  <c r="E4269" i="69"/>
  <c r="C4269" i="69"/>
  <c r="E4268" i="69"/>
  <c r="C4268" i="69"/>
  <c r="E4267" i="69"/>
  <c r="C4267" i="69"/>
  <c r="E4266" i="69"/>
  <c r="C4266" i="69"/>
  <c r="E4265" i="69"/>
  <c r="C4265" i="69"/>
  <c r="E4264" i="69"/>
  <c r="C4264" i="69"/>
  <c r="E4263" i="69"/>
  <c r="C4263" i="69"/>
  <c r="E4262" i="69"/>
  <c r="C4262" i="69"/>
  <c r="E4261" i="69"/>
  <c r="C4261" i="69"/>
  <c r="E4260" i="69"/>
  <c r="C4260" i="69"/>
  <c r="E4259" i="69"/>
  <c r="C4259" i="69"/>
  <c r="E4258" i="69"/>
  <c r="C4258" i="69"/>
  <c r="E4257" i="69"/>
  <c r="C4257" i="69"/>
  <c r="E4256" i="69"/>
  <c r="C4256" i="69"/>
  <c r="E4255" i="69"/>
  <c r="C4255" i="69"/>
  <c r="E4254" i="69"/>
  <c r="C4254" i="69"/>
  <c r="E4253" i="69"/>
  <c r="C4253" i="69"/>
  <c r="E4252" i="69"/>
  <c r="C4252" i="69"/>
  <c r="E4251" i="69"/>
  <c r="C4251" i="69"/>
  <c r="E4250" i="69"/>
  <c r="C4250" i="69"/>
  <c r="E4249" i="69"/>
  <c r="C4249" i="69"/>
  <c r="E4248" i="69"/>
  <c r="C4248" i="69"/>
  <c r="E4247" i="69"/>
  <c r="C4247" i="69"/>
  <c r="E4246" i="69"/>
  <c r="C4246" i="69"/>
  <c r="E4245" i="69"/>
  <c r="C4245" i="69"/>
  <c r="E4244" i="69"/>
  <c r="C4244" i="69"/>
  <c r="E4243" i="69"/>
  <c r="C4243" i="69"/>
  <c r="E4242" i="69"/>
  <c r="C4242" i="69"/>
  <c r="E4241" i="69"/>
  <c r="C4241" i="69"/>
  <c r="E4240" i="69"/>
  <c r="C4240" i="69"/>
  <c r="E4239" i="69"/>
  <c r="C4239" i="69"/>
  <c r="E4238" i="69"/>
  <c r="C4238" i="69"/>
  <c r="E4237" i="69"/>
  <c r="C4237" i="69"/>
  <c r="E4236" i="69"/>
  <c r="C4236" i="69"/>
  <c r="E4235" i="69"/>
  <c r="C4235" i="69"/>
  <c r="E4234" i="69"/>
  <c r="C4234" i="69"/>
  <c r="E4233" i="69"/>
  <c r="C4233" i="69"/>
  <c r="E4232" i="69"/>
  <c r="C4232" i="69"/>
  <c r="E4231" i="69"/>
  <c r="C4231" i="69"/>
  <c r="E4230" i="69"/>
  <c r="C4230" i="69"/>
  <c r="E4229" i="69"/>
  <c r="C4229" i="69"/>
  <c r="E4228" i="69"/>
  <c r="C4228" i="69"/>
  <c r="E4227" i="69"/>
  <c r="C4227" i="69"/>
  <c r="E4226" i="69"/>
  <c r="C4226" i="69"/>
  <c r="E4225" i="69"/>
  <c r="C4225" i="69"/>
  <c r="E4224" i="69"/>
  <c r="C4224" i="69"/>
  <c r="E4223" i="69"/>
  <c r="C4223" i="69"/>
  <c r="E4222" i="69"/>
  <c r="C4222" i="69"/>
  <c r="E4221" i="69"/>
  <c r="C4221" i="69"/>
  <c r="E4220" i="69"/>
  <c r="C4220" i="69"/>
  <c r="E4219" i="69"/>
  <c r="C4219" i="69"/>
  <c r="E4218" i="69"/>
  <c r="C4218" i="69"/>
  <c r="E4217" i="69"/>
  <c r="C4217" i="69"/>
  <c r="E4216" i="69"/>
  <c r="C4216" i="69"/>
  <c r="E4215" i="69"/>
  <c r="C4215" i="69"/>
  <c r="E4214" i="69"/>
  <c r="C4214" i="69"/>
  <c r="E4213" i="69"/>
  <c r="C4213" i="69"/>
  <c r="E4212" i="69"/>
  <c r="C4212" i="69"/>
  <c r="E4211" i="69"/>
  <c r="C4211" i="69"/>
  <c r="E4210" i="69"/>
  <c r="C4210" i="69"/>
  <c r="E4209" i="69"/>
  <c r="C4209" i="69"/>
  <c r="E4208" i="69"/>
  <c r="C4208" i="69"/>
  <c r="E4207" i="69"/>
  <c r="C4207" i="69"/>
  <c r="E4206" i="69"/>
  <c r="C4206" i="69"/>
  <c r="E4205" i="69"/>
  <c r="C4205" i="69"/>
  <c r="E4204" i="69"/>
  <c r="C4204" i="69"/>
  <c r="E4203" i="69"/>
  <c r="C4203" i="69"/>
  <c r="E4202" i="69"/>
  <c r="C4202" i="69"/>
  <c r="E4201" i="69"/>
  <c r="C4201" i="69"/>
  <c r="E4200" i="69"/>
  <c r="C4200" i="69"/>
  <c r="E4199" i="69"/>
  <c r="C4199" i="69"/>
  <c r="E4198" i="69"/>
  <c r="C4198" i="69"/>
  <c r="E4197" i="69"/>
  <c r="C4197" i="69"/>
  <c r="E4196" i="69"/>
  <c r="C4196" i="69"/>
  <c r="E4195" i="69"/>
  <c r="C4195" i="69"/>
  <c r="E4194" i="69"/>
  <c r="C4194" i="69"/>
  <c r="E4193" i="69"/>
  <c r="C4193" i="69"/>
  <c r="E4192" i="69"/>
  <c r="C4192" i="69"/>
  <c r="E4191" i="69"/>
  <c r="C4191" i="69"/>
  <c r="E4190" i="69"/>
  <c r="C4190" i="69"/>
  <c r="E4189" i="69"/>
  <c r="C4189" i="69"/>
  <c r="E4188" i="69"/>
  <c r="C4188" i="69"/>
  <c r="E4187" i="69"/>
  <c r="C4187" i="69"/>
  <c r="E4186" i="69"/>
  <c r="C4186" i="69"/>
  <c r="E4185" i="69"/>
  <c r="C4185" i="69"/>
  <c r="E4184" i="69"/>
  <c r="C4184" i="69"/>
  <c r="E4183" i="69"/>
  <c r="C4183" i="69"/>
  <c r="E4182" i="69"/>
  <c r="C4182" i="69"/>
  <c r="E4181" i="69"/>
  <c r="C4181" i="69"/>
  <c r="E4180" i="69"/>
  <c r="C4180" i="69"/>
  <c r="E4179" i="69"/>
  <c r="C4179" i="69"/>
  <c r="E4178" i="69"/>
  <c r="C4178" i="69"/>
  <c r="E4177" i="69"/>
  <c r="C4177" i="69"/>
  <c r="E4176" i="69"/>
  <c r="C4176" i="69"/>
  <c r="E4175" i="69"/>
  <c r="C4175" i="69"/>
  <c r="E4174" i="69"/>
  <c r="C4174" i="69"/>
  <c r="E4173" i="69"/>
  <c r="C4173" i="69"/>
  <c r="E4172" i="69"/>
  <c r="C4172" i="69"/>
  <c r="E4171" i="69"/>
  <c r="C4171" i="69"/>
  <c r="E4170" i="69"/>
  <c r="C4170" i="69"/>
  <c r="E4169" i="69"/>
  <c r="C4169" i="69"/>
  <c r="E4168" i="69"/>
  <c r="C4168" i="69"/>
  <c r="E4167" i="69"/>
  <c r="C4167" i="69"/>
  <c r="E4166" i="69"/>
  <c r="C4166" i="69"/>
  <c r="E4165" i="69"/>
  <c r="C4165" i="69"/>
  <c r="E4164" i="69"/>
  <c r="C4164" i="69"/>
  <c r="E4163" i="69"/>
  <c r="C4163" i="69"/>
  <c r="E4162" i="69"/>
  <c r="C4162" i="69"/>
  <c r="E4161" i="69"/>
  <c r="C4161" i="69"/>
  <c r="E4160" i="69"/>
  <c r="C4160" i="69"/>
  <c r="E4159" i="69"/>
  <c r="C4159" i="69"/>
  <c r="E4158" i="69"/>
  <c r="C4158" i="69"/>
  <c r="E4157" i="69"/>
  <c r="C4157" i="69"/>
  <c r="E4156" i="69"/>
  <c r="C4156" i="69"/>
  <c r="E4155" i="69"/>
  <c r="C4155" i="69"/>
  <c r="E4154" i="69"/>
  <c r="C4154" i="69"/>
  <c r="E4153" i="69"/>
  <c r="C4153" i="69"/>
  <c r="E4152" i="69"/>
  <c r="C4152" i="69"/>
  <c r="E4151" i="69"/>
  <c r="C4151" i="69"/>
  <c r="E4150" i="69"/>
  <c r="C4150" i="69"/>
  <c r="E4149" i="69"/>
  <c r="C4149" i="69"/>
  <c r="E4148" i="69"/>
  <c r="C4148" i="69"/>
  <c r="E4147" i="69"/>
  <c r="C4147" i="69"/>
  <c r="E4146" i="69"/>
  <c r="C4146" i="69"/>
  <c r="E4145" i="69"/>
  <c r="C4145" i="69"/>
  <c r="E4144" i="69"/>
  <c r="C4144" i="69"/>
  <c r="E4143" i="69"/>
  <c r="C4143" i="69"/>
  <c r="E4142" i="69"/>
  <c r="C4142" i="69"/>
  <c r="E4141" i="69"/>
  <c r="C4141" i="69"/>
  <c r="E4140" i="69"/>
  <c r="C4140" i="69"/>
  <c r="E4139" i="69"/>
  <c r="C4139" i="69"/>
  <c r="E4138" i="69"/>
  <c r="C4138" i="69"/>
  <c r="E4137" i="69"/>
  <c r="C4137" i="69"/>
  <c r="E4136" i="69"/>
  <c r="C4136" i="69"/>
  <c r="E4135" i="69"/>
  <c r="C4135" i="69"/>
  <c r="E4134" i="69"/>
  <c r="C4134" i="69"/>
  <c r="E4133" i="69"/>
  <c r="C4133" i="69"/>
  <c r="E4132" i="69"/>
  <c r="C4132" i="69"/>
  <c r="E4131" i="69"/>
  <c r="C4131" i="69"/>
  <c r="E4130" i="69"/>
  <c r="C4130" i="69"/>
  <c r="E4129" i="69"/>
  <c r="C4129" i="69"/>
  <c r="E4128" i="69"/>
  <c r="C4128" i="69"/>
  <c r="E4127" i="69"/>
  <c r="C4127" i="69"/>
  <c r="E4126" i="69"/>
  <c r="C4126" i="69"/>
  <c r="E4125" i="69"/>
  <c r="C4125" i="69"/>
  <c r="E4124" i="69"/>
  <c r="C4124" i="69"/>
  <c r="E4123" i="69"/>
  <c r="C4123" i="69"/>
  <c r="E4122" i="69"/>
  <c r="C4122" i="69"/>
  <c r="E4121" i="69"/>
  <c r="C4121" i="69"/>
  <c r="E4120" i="69"/>
  <c r="C4120" i="69"/>
  <c r="E4119" i="69"/>
  <c r="C4119" i="69"/>
  <c r="E4118" i="69"/>
  <c r="C4118" i="69"/>
  <c r="E4117" i="69"/>
  <c r="C4117" i="69"/>
  <c r="E4116" i="69"/>
  <c r="C4116" i="69"/>
  <c r="E4115" i="69"/>
  <c r="C4115" i="69"/>
  <c r="E4114" i="69"/>
  <c r="C4114" i="69"/>
  <c r="E4113" i="69"/>
  <c r="C4113" i="69"/>
  <c r="E4112" i="69"/>
  <c r="C4112" i="69"/>
  <c r="E4111" i="69"/>
  <c r="C4111" i="69"/>
  <c r="E4110" i="69"/>
  <c r="C4110" i="69"/>
  <c r="E4109" i="69"/>
  <c r="C4109" i="69"/>
  <c r="E4108" i="69"/>
  <c r="C4108" i="69"/>
  <c r="E4107" i="69"/>
  <c r="C4107" i="69"/>
  <c r="E4106" i="69"/>
  <c r="C4106" i="69"/>
  <c r="E4105" i="69"/>
  <c r="C4105" i="69"/>
  <c r="E4104" i="69"/>
  <c r="C4104" i="69"/>
  <c r="E4103" i="69"/>
  <c r="C4103" i="69"/>
  <c r="E4102" i="69"/>
  <c r="C4102" i="69"/>
  <c r="E4101" i="69"/>
  <c r="C4101" i="69"/>
  <c r="E4100" i="69"/>
  <c r="C4100" i="69"/>
  <c r="E4099" i="69"/>
  <c r="C4099" i="69"/>
  <c r="E4098" i="69"/>
  <c r="C4098" i="69"/>
  <c r="E4097" i="69"/>
  <c r="C4097" i="69"/>
  <c r="E4096" i="69"/>
  <c r="C4096" i="69"/>
  <c r="E4095" i="69"/>
  <c r="C4095" i="69"/>
  <c r="E4094" i="69"/>
  <c r="C4094" i="69"/>
  <c r="E4093" i="69"/>
  <c r="C4093" i="69"/>
  <c r="E4092" i="69"/>
  <c r="C4092" i="69"/>
  <c r="E4091" i="69"/>
  <c r="C4091" i="69"/>
  <c r="E4090" i="69"/>
  <c r="C4090" i="69"/>
  <c r="E4089" i="69"/>
  <c r="C4089" i="69"/>
  <c r="E4088" i="69"/>
  <c r="C4088" i="69"/>
  <c r="E4087" i="69"/>
  <c r="C4087" i="69"/>
  <c r="E4086" i="69"/>
  <c r="C4086" i="69"/>
  <c r="E4085" i="69"/>
  <c r="C4085" i="69"/>
  <c r="E4084" i="69"/>
  <c r="C4084" i="69"/>
  <c r="E4083" i="69"/>
  <c r="C4083" i="69"/>
  <c r="E4082" i="69"/>
  <c r="C4082" i="69"/>
  <c r="E4081" i="69"/>
  <c r="C4081" i="69"/>
  <c r="E4080" i="69"/>
  <c r="C4080" i="69"/>
  <c r="E4079" i="69"/>
  <c r="C4079" i="69"/>
  <c r="E4078" i="69"/>
  <c r="C4078" i="69"/>
  <c r="E4077" i="69"/>
  <c r="C4077" i="69"/>
  <c r="E4076" i="69"/>
  <c r="C4076" i="69"/>
  <c r="E4075" i="69"/>
  <c r="C4075" i="69"/>
  <c r="E4074" i="69"/>
  <c r="C4074" i="69"/>
  <c r="E4073" i="69"/>
  <c r="C4073" i="69"/>
  <c r="E4072" i="69"/>
  <c r="C4072" i="69"/>
  <c r="E4071" i="69"/>
  <c r="C4071" i="69"/>
  <c r="E4070" i="69"/>
  <c r="C4070" i="69"/>
  <c r="E4069" i="69"/>
  <c r="C4069" i="69"/>
  <c r="E4068" i="69"/>
  <c r="C4068" i="69"/>
  <c r="E4067" i="69"/>
  <c r="C4067" i="69"/>
  <c r="E4066" i="69"/>
  <c r="C4066" i="69"/>
  <c r="E4065" i="69"/>
  <c r="C4065" i="69"/>
  <c r="E4064" i="69"/>
  <c r="C4064" i="69"/>
  <c r="E4063" i="69"/>
  <c r="C4063" i="69"/>
  <c r="E4062" i="69"/>
  <c r="C4062" i="69"/>
  <c r="E4061" i="69"/>
  <c r="C4061" i="69"/>
  <c r="E4060" i="69"/>
  <c r="C4060" i="69"/>
  <c r="E4059" i="69"/>
  <c r="C4059" i="69"/>
  <c r="E4058" i="69"/>
  <c r="C4058" i="69"/>
  <c r="E4057" i="69"/>
  <c r="C4057" i="69"/>
  <c r="E4056" i="69"/>
  <c r="C4056" i="69"/>
  <c r="E4055" i="69"/>
  <c r="C4055" i="69"/>
  <c r="E4054" i="69"/>
  <c r="C4054" i="69"/>
  <c r="E4053" i="69"/>
  <c r="C4053" i="69"/>
  <c r="E4052" i="69"/>
  <c r="C4052" i="69"/>
  <c r="E4051" i="69"/>
  <c r="C4051" i="69"/>
  <c r="E4050" i="69"/>
  <c r="C4050" i="69"/>
  <c r="E4049" i="69"/>
  <c r="C4049" i="69"/>
  <c r="E4048" i="69"/>
  <c r="C4048" i="69"/>
  <c r="E4047" i="69"/>
  <c r="C4047" i="69"/>
  <c r="E4046" i="69"/>
  <c r="C4046" i="69"/>
  <c r="E4045" i="69"/>
  <c r="C4045" i="69"/>
  <c r="E4044" i="69"/>
  <c r="C4044" i="69"/>
  <c r="E4043" i="69"/>
  <c r="C4043" i="69"/>
  <c r="E4042" i="69"/>
  <c r="C4042" i="69"/>
  <c r="E4041" i="69"/>
  <c r="C4041" i="69"/>
  <c r="E4040" i="69"/>
  <c r="C4040" i="69"/>
  <c r="E4039" i="69"/>
  <c r="C4039" i="69"/>
  <c r="E4038" i="69"/>
  <c r="C4038" i="69"/>
  <c r="E4037" i="69"/>
  <c r="C4037" i="69"/>
  <c r="E4036" i="69"/>
  <c r="C4036" i="69"/>
  <c r="E4035" i="69"/>
  <c r="C4035" i="69"/>
  <c r="E4034" i="69"/>
  <c r="C4034" i="69"/>
  <c r="E4033" i="69"/>
  <c r="C4033" i="69"/>
  <c r="E4032" i="69"/>
  <c r="C4032" i="69"/>
  <c r="E4031" i="69"/>
  <c r="C4031" i="69"/>
  <c r="E4030" i="69"/>
  <c r="C4030" i="69"/>
  <c r="E4029" i="69"/>
  <c r="C4029" i="69"/>
  <c r="E4028" i="69"/>
  <c r="C4028" i="69"/>
  <c r="E4027" i="69"/>
  <c r="C4027" i="69"/>
  <c r="E4026" i="69"/>
  <c r="C4026" i="69"/>
  <c r="E4025" i="69"/>
  <c r="C4025" i="69"/>
  <c r="E4024" i="69"/>
  <c r="C4024" i="69"/>
  <c r="E4023" i="69"/>
  <c r="C4023" i="69"/>
  <c r="E4022" i="69"/>
  <c r="C4022" i="69"/>
  <c r="E4021" i="69"/>
  <c r="C4021" i="69"/>
  <c r="E4020" i="69"/>
  <c r="C4020" i="69"/>
  <c r="E4019" i="69"/>
  <c r="C4019" i="69"/>
  <c r="E4018" i="69"/>
  <c r="C4018" i="69"/>
  <c r="E4017" i="69"/>
  <c r="C4017" i="69"/>
  <c r="E4016" i="69"/>
  <c r="C4016" i="69"/>
  <c r="E4015" i="69"/>
  <c r="C4015" i="69"/>
  <c r="E4014" i="69"/>
  <c r="C4014" i="69"/>
  <c r="E4013" i="69"/>
  <c r="C4013" i="69"/>
  <c r="E4012" i="69"/>
  <c r="C4012" i="69"/>
  <c r="E4011" i="69"/>
  <c r="C4011" i="69"/>
  <c r="E4010" i="69"/>
  <c r="C4010" i="69"/>
  <c r="E4009" i="69"/>
  <c r="C4009" i="69"/>
  <c r="E4008" i="69"/>
  <c r="C4008" i="69"/>
  <c r="E4007" i="69"/>
  <c r="C4007" i="69"/>
  <c r="E4006" i="69"/>
  <c r="C4006" i="69"/>
  <c r="E4005" i="69"/>
  <c r="C4005" i="69"/>
  <c r="E4004" i="69"/>
  <c r="C4004" i="69"/>
  <c r="E4003" i="69"/>
  <c r="C4003" i="69"/>
  <c r="E4002" i="69"/>
  <c r="C4002" i="69"/>
  <c r="E4001" i="69"/>
  <c r="C4001" i="69"/>
  <c r="E4000" i="69"/>
  <c r="C4000" i="69"/>
  <c r="E3999" i="69"/>
  <c r="C3999" i="69"/>
  <c r="E3998" i="69"/>
  <c r="C3998" i="69"/>
  <c r="E3997" i="69"/>
  <c r="C3997" i="69"/>
  <c r="E3996" i="69"/>
  <c r="C3996" i="69"/>
  <c r="E3995" i="69"/>
  <c r="C3995" i="69"/>
  <c r="E3994" i="69"/>
  <c r="C3994" i="69"/>
  <c r="E3993" i="69"/>
  <c r="C3993" i="69"/>
  <c r="E3992" i="69"/>
  <c r="C3992" i="69"/>
  <c r="E3991" i="69"/>
  <c r="C3991" i="69"/>
  <c r="E3990" i="69"/>
  <c r="C3990" i="69"/>
  <c r="E3989" i="69"/>
  <c r="C3989" i="69"/>
  <c r="E3988" i="69"/>
  <c r="C3988" i="69"/>
  <c r="E3987" i="69"/>
  <c r="C3987" i="69"/>
  <c r="E3986" i="69"/>
  <c r="C3986" i="69"/>
  <c r="E3985" i="69"/>
  <c r="C3985" i="69"/>
  <c r="E3984" i="69"/>
  <c r="C3984" i="69"/>
  <c r="E3983" i="69"/>
  <c r="C3983" i="69"/>
  <c r="E3982" i="69"/>
  <c r="C3982" i="69"/>
  <c r="E3981" i="69"/>
  <c r="C3981" i="69"/>
  <c r="E3980" i="69"/>
  <c r="C3980" i="69"/>
  <c r="E3979" i="69"/>
  <c r="C3979" i="69"/>
  <c r="E3978" i="69"/>
  <c r="C3978" i="69"/>
  <c r="E3977" i="69"/>
  <c r="C3977" i="69"/>
  <c r="E3976" i="69"/>
  <c r="C3976" i="69"/>
  <c r="E3975" i="69"/>
  <c r="C3975" i="69"/>
  <c r="E3974" i="69"/>
  <c r="C3974" i="69"/>
  <c r="E3973" i="69"/>
  <c r="C3973" i="69"/>
  <c r="E3972" i="69"/>
  <c r="C3972" i="69"/>
  <c r="E3971" i="69"/>
  <c r="C3971" i="69"/>
  <c r="E3970" i="69"/>
  <c r="C3970" i="69"/>
  <c r="E3969" i="69"/>
  <c r="C3969" i="69"/>
  <c r="E3968" i="69"/>
  <c r="C3968" i="69"/>
  <c r="E3967" i="69"/>
  <c r="C3967" i="69"/>
  <c r="E3966" i="69"/>
  <c r="C3966" i="69"/>
  <c r="E3965" i="69"/>
  <c r="C3965" i="69"/>
  <c r="E3964" i="69"/>
  <c r="C3964" i="69"/>
  <c r="E3963" i="69"/>
  <c r="C3963" i="69"/>
  <c r="E3962" i="69"/>
  <c r="C3962" i="69"/>
  <c r="E3961" i="69"/>
  <c r="C3961" i="69"/>
  <c r="E3960" i="69"/>
  <c r="C3960" i="69"/>
  <c r="E3959" i="69"/>
  <c r="C3959" i="69"/>
  <c r="E3958" i="69"/>
  <c r="C3958" i="69"/>
  <c r="E3957" i="69"/>
  <c r="C3957" i="69"/>
  <c r="E3956" i="69"/>
  <c r="C3956" i="69"/>
  <c r="E3955" i="69"/>
  <c r="C3955" i="69"/>
  <c r="E3954" i="69"/>
  <c r="C3954" i="69"/>
  <c r="E3953" i="69"/>
  <c r="C3953" i="69"/>
  <c r="E3952" i="69"/>
  <c r="C3952" i="69"/>
  <c r="E3951" i="69"/>
  <c r="C3951" i="69"/>
  <c r="E3950" i="69"/>
  <c r="C3950" i="69"/>
  <c r="E3949" i="69"/>
  <c r="C3949" i="69"/>
  <c r="E3948" i="69"/>
  <c r="C3948" i="69"/>
  <c r="E3947" i="69"/>
  <c r="C3947" i="69"/>
  <c r="E3946" i="69"/>
  <c r="C3946" i="69"/>
  <c r="E3945" i="69"/>
  <c r="C3945" i="69"/>
  <c r="E3944" i="69"/>
  <c r="C3944" i="69"/>
  <c r="E3943" i="69"/>
  <c r="C3943" i="69"/>
  <c r="E3942" i="69"/>
  <c r="C3942" i="69"/>
  <c r="E3941" i="69"/>
  <c r="C3941" i="69"/>
  <c r="E3940" i="69"/>
  <c r="C3940" i="69"/>
  <c r="E3939" i="69"/>
  <c r="C3939" i="69"/>
  <c r="E3938" i="69"/>
  <c r="C3938" i="69"/>
  <c r="E3937" i="69"/>
  <c r="C3937" i="69"/>
  <c r="E3936" i="69"/>
  <c r="C3936" i="69"/>
  <c r="E3935" i="69"/>
  <c r="C3935" i="69"/>
  <c r="E3934" i="69"/>
  <c r="C3934" i="69"/>
  <c r="E3933" i="69"/>
  <c r="C3933" i="69"/>
  <c r="E3932" i="69"/>
  <c r="C3932" i="69"/>
  <c r="E3931" i="69"/>
  <c r="C3931" i="69"/>
  <c r="E3930" i="69"/>
  <c r="C3930" i="69"/>
  <c r="E3929" i="69"/>
  <c r="C3929" i="69"/>
  <c r="E3928" i="69"/>
  <c r="C3928" i="69"/>
  <c r="E3927" i="69"/>
  <c r="C3927" i="69"/>
  <c r="E3926" i="69"/>
  <c r="C3926" i="69"/>
  <c r="E3925" i="69"/>
  <c r="C3925" i="69"/>
  <c r="E3924" i="69"/>
  <c r="C3924" i="69"/>
  <c r="E3923" i="69"/>
  <c r="C3923" i="69"/>
  <c r="E3922" i="69"/>
  <c r="C3922" i="69"/>
  <c r="E3921" i="69"/>
  <c r="C3921" i="69"/>
  <c r="E3920" i="69"/>
  <c r="C3920" i="69"/>
  <c r="E3919" i="69"/>
  <c r="C3919" i="69"/>
  <c r="E3918" i="69"/>
  <c r="C3918" i="69"/>
  <c r="E3917" i="69"/>
  <c r="C3917" i="69"/>
  <c r="E3916" i="69"/>
  <c r="C3916" i="69"/>
  <c r="E3915" i="69"/>
  <c r="C3915" i="69"/>
  <c r="E3914" i="69"/>
  <c r="C3914" i="69"/>
  <c r="E3913" i="69"/>
  <c r="C3913" i="69"/>
  <c r="E3912" i="69"/>
  <c r="C3912" i="69"/>
  <c r="E3911" i="69"/>
  <c r="C3911" i="69"/>
  <c r="E3910" i="69"/>
  <c r="C3910" i="69"/>
  <c r="E3909" i="69"/>
  <c r="C3909" i="69"/>
  <c r="E3908" i="69"/>
  <c r="C3908" i="69"/>
  <c r="E3907" i="69"/>
  <c r="C3907" i="69"/>
  <c r="E3906" i="69"/>
  <c r="C3906" i="69"/>
  <c r="E3905" i="69"/>
  <c r="C3905" i="69"/>
  <c r="E3904" i="69"/>
  <c r="C3904" i="69"/>
  <c r="E3903" i="69"/>
  <c r="C3903" i="69"/>
  <c r="E3902" i="69"/>
  <c r="C3902" i="69"/>
  <c r="E3901" i="69"/>
  <c r="C3901" i="69"/>
  <c r="E3900" i="69"/>
  <c r="C3900" i="69"/>
  <c r="E3899" i="69"/>
  <c r="C3899" i="69"/>
  <c r="E3898" i="69"/>
  <c r="C3898" i="69"/>
  <c r="E3897" i="69"/>
  <c r="C3897" i="69"/>
  <c r="E3896" i="69"/>
  <c r="C3896" i="69"/>
  <c r="E3895" i="69"/>
  <c r="C3895" i="69"/>
  <c r="E3894" i="69"/>
  <c r="C3894" i="69"/>
  <c r="E3893" i="69"/>
  <c r="C3893" i="69"/>
  <c r="E3892" i="69"/>
  <c r="C3892" i="69"/>
  <c r="E3891" i="69"/>
  <c r="C3891" i="69"/>
  <c r="E3890" i="69"/>
  <c r="C3890" i="69"/>
  <c r="E3889" i="69"/>
  <c r="C3889" i="69"/>
  <c r="E3888" i="69"/>
  <c r="C3888" i="69"/>
  <c r="E3887" i="69"/>
  <c r="C3887" i="69"/>
  <c r="E3886" i="69"/>
  <c r="C3886" i="69"/>
  <c r="E3885" i="69"/>
  <c r="C3885" i="69"/>
  <c r="E3884" i="69"/>
  <c r="C3884" i="69"/>
  <c r="E3883" i="69"/>
  <c r="C3883" i="69"/>
  <c r="E3882" i="69"/>
  <c r="C3882" i="69"/>
  <c r="E3881" i="69"/>
  <c r="C3881" i="69"/>
  <c r="E3880" i="69"/>
  <c r="C3880" i="69"/>
  <c r="E3879" i="69"/>
  <c r="C3879" i="69"/>
  <c r="E3878" i="69"/>
  <c r="C3878" i="69"/>
  <c r="E3877" i="69"/>
  <c r="C3877" i="69"/>
  <c r="E3876" i="69"/>
  <c r="C3876" i="69"/>
  <c r="E3875" i="69"/>
  <c r="C3875" i="69"/>
  <c r="E3874" i="69"/>
  <c r="C3874" i="69"/>
  <c r="E3873" i="69"/>
  <c r="C3873" i="69"/>
  <c r="E3872" i="69"/>
  <c r="C3872" i="69"/>
  <c r="E3871" i="69"/>
  <c r="C3871" i="69"/>
  <c r="E3870" i="69"/>
  <c r="C3870" i="69"/>
  <c r="E3869" i="69"/>
  <c r="C3869" i="69"/>
  <c r="E3868" i="69"/>
  <c r="C3868" i="69"/>
  <c r="E3867" i="69"/>
  <c r="C3867" i="69"/>
  <c r="E3866" i="69"/>
  <c r="C3866" i="69"/>
  <c r="E3865" i="69"/>
  <c r="C3865" i="69"/>
  <c r="E3864" i="69"/>
  <c r="C3864" i="69"/>
  <c r="E3863" i="69"/>
  <c r="C3863" i="69"/>
  <c r="E3862" i="69"/>
  <c r="C3862" i="69"/>
  <c r="E3861" i="69"/>
  <c r="C3861" i="69"/>
  <c r="E3860" i="69"/>
  <c r="C3860" i="69"/>
  <c r="E3859" i="69"/>
  <c r="C3859" i="69"/>
  <c r="E3858" i="69"/>
  <c r="C3858" i="69"/>
  <c r="E3857" i="69"/>
  <c r="C3857" i="69"/>
  <c r="E3856" i="69"/>
  <c r="C3856" i="69"/>
  <c r="E3855" i="69"/>
  <c r="C3855" i="69"/>
  <c r="E3854" i="69"/>
  <c r="C3854" i="69"/>
  <c r="E3853" i="69"/>
  <c r="C3853" i="69"/>
  <c r="E3852" i="69"/>
  <c r="C3852" i="69"/>
  <c r="E3851" i="69"/>
  <c r="C3851" i="69"/>
  <c r="E3850" i="69"/>
  <c r="C3850" i="69"/>
  <c r="E3849" i="69"/>
  <c r="C3849" i="69"/>
  <c r="E3848" i="69"/>
  <c r="C3848" i="69"/>
  <c r="E3847" i="69"/>
  <c r="C3847" i="69"/>
  <c r="E3846" i="69"/>
  <c r="C3846" i="69"/>
  <c r="E3845" i="69"/>
  <c r="C3845" i="69"/>
  <c r="E3844" i="69"/>
  <c r="C3844" i="69"/>
  <c r="E3843" i="69"/>
  <c r="C3843" i="69"/>
  <c r="E3842" i="69"/>
  <c r="C3842" i="69"/>
  <c r="E3841" i="69"/>
  <c r="C3841" i="69"/>
  <c r="E3840" i="69"/>
  <c r="C3840" i="69"/>
  <c r="E3839" i="69"/>
  <c r="C3839" i="69"/>
  <c r="E3838" i="69"/>
  <c r="C3838" i="69"/>
  <c r="E3837" i="69"/>
  <c r="C3837" i="69"/>
  <c r="E3836" i="69"/>
  <c r="C3836" i="69"/>
  <c r="E3835" i="69"/>
  <c r="C3835" i="69"/>
  <c r="E3834" i="69"/>
  <c r="C3834" i="69"/>
  <c r="E3833" i="69"/>
  <c r="C3833" i="69"/>
  <c r="E3832" i="69"/>
  <c r="C3832" i="69"/>
  <c r="E3831" i="69"/>
  <c r="C3831" i="69"/>
  <c r="E3830" i="69"/>
  <c r="C3830" i="69"/>
  <c r="E3829" i="69"/>
  <c r="C3829" i="69"/>
  <c r="E3828" i="69"/>
  <c r="C3828" i="69"/>
  <c r="E3827" i="69"/>
  <c r="C3827" i="69"/>
  <c r="E3826" i="69"/>
  <c r="C3826" i="69"/>
  <c r="E3825" i="69"/>
  <c r="C3825" i="69"/>
  <c r="E3824" i="69"/>
  <c r="C3824" i="69"/>
  <c r="E3823" i="69"/>
  <c r="C3823" i="69"/>
  <c r="E3822" i="69"/>
  <c r="C3822" i="69"/>
  <c r="E3821" i="69"/>
  <c r="C3821" i="69"/>
  <c r="E3820" i="69"/>
  <c r="C3820" i="69"/>
  <c r="E3819" i="69"/>
  <c r="C3819" i="69"/>
  <c r="E3818" i="69"/>
  <c r="C3818" i="69"/>
  <c r="E3817" i="69"/>
  <c r="C3817" i="69"/>
  <c r="E3816" i="69"/>
  <c r="C3816" i="69"/>
  <c r="E3815" i="69"/>
  <c r="C3815" i="69"/>
  <c r="E3814" i="69"/>
  <c r="C3814" i="69"/>
  <c r="E3813" i="69"/>
  <c r="C3813" i="69"/>
  <c r="E3812" i="69"/>
  <c r="C3812" i="69"/>
  <c r="E3811" i="69"/>
  <c r="C3811" i="69"/>
  <c r="E3810" i="69"/>
  <c r="C3810" i="69"/>
  <c r="E3809" i="69"/>
  <c r="C3809" i="69"/>
  <c r="E3808" i="69"/>
  <c r="C3808" i="69"/>
  <c r="E3807" i="69"/>
  <c r="C3807" i="69"/>
  <c r="E3806" i="69"/>
  <c r="C3806" i="69"/>
  <c r="E3805" i="69"/>
  <c r="C3805" i="69"/>
  <c r="E3804" i="69"/>
  <c r="C3804" i="69"/>
  <c r="E3803" i="69"/>
  <c r="C3803" i="69"/>
  <c r="E3802" i="69"/>
  <c r="C3802" i="69"/>
  <c r="E3801" i="69"/>
  <c r="C3801" i="69"/>
  <c r="E3800" i="69"/>
  <c r="C3800" i="69"/>
  <c r="E3799" i="69"/>
  <c r="C3799" i="69"/>
  <c r="E3798" i="69"/>
  <c r="C3798" i="69"/>
  <c r="E3797" i="69"/>
  <c r="C3797" i="69"/>
  <c r="E3796" i="69"/>
  <c r="C3796" i="69"/>
  <c r="E3795" i="69"/>
  <c r="C3795" i="69"/>
  <c r="E3794" i="69"/>
  <c r="C3794" i="69"/>
  <c r="E3793" i="69"/>
  <c r="C3793" i="69"/>
  <c r="E3792" i="69"/>
  <c r="C3792" i="69"/>
  <c r="E3791" i="69"/>
  <c r="C3791" i="69"/>
  <c r="E3790" i="69"/>
  <c r="C3790" i="69"/>
  <c r="E3789" i="69"/>
  <c r="C3789" i="69"/>
  <c r="E3788" i="69"/>
  <c r="C3788" i="69"/>
  <c r="E3787" i="69"/>
  <c r="C3787" i="69"/>
  <c r="E3786" i="69"/>
  <c r="C3786" i="69"/>
  <c r="E3785" i="69"/>
  <c r="C3785" i="69"/>
  <c r="E3784" i="69"/>
  <c r="C3784" i="69"/>
  <c r="E3783" i="69"/>
  <c r="C3783" i="69"/>
  <c r="E3782" i="69"/>
  <c r="C3782" i="69"/>
  <c r="E3781" i="69"/>
  <c r="C3781" i="69"/>
  <c r="E3780" i="69"/>
  <c r="C3780" i="69"/>
  <c r="E3779" i="69"/>
  <c r="C3779" i="69"/>
  <c r="E3778" i="69"/>
  <c r="C3778" i="69"/>
  <c r="E3777" i="69"/>
  <c r="C3777" i="69"/>
  <c r="E3776" i="69"/>
  <c r="C3776" i="69"/>
  <c r="E3775" i="69"/>
  <c r="C3775" i="69"/>
  <c r="E3774" i="69"/>
  <c r="C3774" i="69"/>
  <c r="E3773" i="69"/>
  <c r="C3773" i="69"/>
  <c r="E3772" i="69"/>
  <c r="C3772" i="69"/>
  <c r="E3771" i="69"/>
  <c r="C3771" i="69"/>
  <c r="E3770" i="69"/>
  <c r="C3770" i="69"/>
  <c r="E3769" i="69"/>
  <c r="C3769" i="69"/>
  <c r="E3768" i="69"/>
  <c r="C3768" i="69"/>
  <c r="E3767" i="69"/>
  <c r="C3767" i="69"/>
  <c r="E3766" i="69"/>
  <c r="C3766" i="69"/>
  <c r="E3765" i="69"/>
  <c r="C3765" i="69"/>
  <c r="E3764" i="69"/>
  <c r="C3764" i="69"/>
  <c r="E3763" i="69"/>
  <c r="C3763" i="69"/>
  <c r="E3762" i="69"/>
  <c r="C3762" i="69"/>
  <c r="E3761" i="69"/>
  <c r="C3761" i="69"/>
  <c r="E3760" i="69"/>
  <c r="C3760" i="69"/>
  <c r="E3759" i="69"/>
  <c r="C3759" i="69"/>
  <c r="E3758" i="69"/>
  <c r="C3758" i="69"/>
  <c r="E3757" i="69"/>
  <c r="C3757" i="69"/>
  <c r="E3756" i="69"/>
  <c r="C3756" i="69"/>
  <c r="E3755" i="69"/>
  <c r="C3755" i="69"/>
  <c r="E3754" i="69"/>
  <c r="C3754" i="69"/>
  <c r="E3753" i="69"/>
  <c r="C3753" i="69"/>
  <c r="E3752" i="69"/>
  <c r="C3752" i="69"/>
  <c r="E3751" i="69"/>
  <c r="C3751" i="69"/>
  <c r="E3750" i="69"/>
  <c r="C3750" i="69"/>
  <c r="E3749" i="69"/>
  <c r="C3749" i="69"/>
  <c r="E3748" i="69"/>
  <c r="C3748" i="69"/>
  <c r="E3747" i="69"/>
  <c r="C3747" i="69"/>
  <c r="E3746" i="69"/>
  <c r="C3746" i="69"/>
  <c r="E3745" i="69"/>
  <c r="C3745" i="69"/>
  <c r="E3744" i="69"/>
  <c r="C3744" i="69"/>
  <c r="E3743" i="69"/>
  <c r="C3743" i="69"/>
  <c r="E3742" i="69"/>
  <c r="C3742" i="69"/>
  <c r="E3741" i="69"/>
  <c r="C3741" i="69"/>
  <c r="E3740" i="69"/>
  <c r="C3740" i="69"/>
  <c r="E3739" i="69"/>
  <c r="C3739" i="69"/>
  <c r="E3738" i="69"/>
  <c r="C3738" i="69"/>
  <c r="E3737" i="69"/>
  <c r="C3737" i="69"/>
  <c r="E3736" i="69"/>
  <c r="C3736" i="69"/>
  <c r="E3735" i="69"/>
  <c r="C3735" i="69"/>
  <c r="E3734" i="69"/>
  <c r="C3734" i="69"/>
  <c r="E3733" i="69"/>
  <c r="C3733" i="69"/>
  <c r="E3732" i="69"/>
  <c r="C3732" i="69"/>
  <c r="E3731" i="69"/>
  <c r="C3731" i="69"/>
  <c r="E3730" i="69"/>
  <c r="C3730" i="69"/>
  <c r="E3729" i="69"/>
  <c r="C3729" i="69"/>
  <c r="E3728" i="69"/>
  <c r="C3728" i="69"/>
  <c r="E3727" i="69"/>
  <c r="C3727" i="69"/>
  <c r="E3726" i="69"/>
  <c r="C3726" i="69"/>
  <c r="E3725" i="69"/>
  <c r="C3725" i="69"/>
  <c r="E3724" i="69"/>
  <c r="C3724" i="69"/>
  <c r="E3723" i="69"/>
  <c r="C3723" i="69"/>
  <c r="E3722" i="69"/>
  <c r="C3722" i="69"/>
  <c r="E3721" i="69"/>
  <c r="C3721" i="69"/>
  <c r="E3720" i="69"/>
  <c r="C3720" i="69"/>
  <c r="E3719" i="69"/>
  <c r="C3719" i="69"/>
  <c r="E3718" i="69"/>
  <c r="C3718" i="69"/>
  <c r="E3717" i="69"/>
  <c r="C3717" i="69"/>
  <c r="E3716" i="69"/>
  <c r="C3716" i="69"/>
  <c r="E3715" i="69"/>
  <c r="C3715" i="69"/>
  <c r="E3714" i="69"/>
  <c r="C3714" i="69"/>
  <c r="E3713" i="69"/>
  <c r="C3713" i="69"/>
  <c r="E3712" i="69"/>
  <c r="C3712" i="69"/>
  <c r="E3711" i="69"/>
  <c r="C3711" i="69"/>
  <c r="E3710" i="69"/>
  <c r="C3710" i="69"/>
  <c r="E3709" i="69"/>
  <c r="C3709" i="69"/>
  <c r="E3708" i="69"/>
  <c r="C3708" i="69"/>
  <c r="E3707" i="69"/>
  <c r="C3707" i="69"/>
  <c r="E3706" i="69"/>
  <c r="C3706" i="69"/>
  <c r="E3705" i="69"/>
  <c r="C3705" i="69"/>
  <c r="E3704" i="69"/>
  <c r="C3704" i="69"/>
  <c r="E3703" i="69"/>
  <c r="C3703" i="69"/>
  <c r="E3702" i="69"/>
  <c r="C3702" i="69"/>
  <c r="E3701" i="69"/>
  <c r="C3701" i="69"/>
  <c r="E3700" i="69"/>
  <c r="C3700" i="69"/>
  <c r="E3699" i="69"/>
  <c r="C3699" i="69"/>
  <c r="E3698" i="69"/>
  <c r="C3698" i="69"/>
  <c r="E3697" i="69"/>
  <c r="C3697" i="69"/>
  <c r="E3696" i="69"/>
  <c r="C3696" i="69"/>
  <c r="E3695" i="69"/>
  <c r="C3695" i="69"/>
  <c r="E3694" i="69"/>
  <c r="C3694" i="69"/>
  <c r="E3693" i="69"/>
  <c r="C3693" i="69"/>
  <c r="E3692" i="69"/>
  <c r="C3692" i="69"/>
  <c r="E3691" i="69"/>
  <c r="C3691" i="69"/>
  <c r="E3690" i="69"/>
  <c r="C3690" i="69"/>
  <c r="E3689" i="69"/>
  <c r="C3689" i="69"/>
  <c r="E3688" i="69"/>
  <c r="C3688" i="69"/>
  <c r="E3687" i="69"/>
  <c r="C3687" i="69"/>
  <c r="E3686" i="69"/>
  <c r="C3686" i="69"/>
  <c r="E3685" i="69"/>
  <c r="C3685" i="69"/>
  <c r="E3684" i="69"/>
  <c r="C3684" i="69"/>
  <c r="E3683" i="69"/>
  <c r="C3683" i="69"/>
  <c r="E3682" i="69"/>
  <c r="C3682" i="69"/>
  <c r="E3681" i="69"/>
  <c r="C3681" i="69"/>
  <c r="E3680" i="69"/>
  <c r="C3680" i="69"/>
  <c r="E3679" i="69"/>
  <c r="C3679" i="69"/>
  <c r="E3678" i="69"/>
  <c r="C3678" i="69"/>
  <c r="E3677" i="69"/>
  <c r="C3677" i="69"/>
  <c r="E3676" i="69"/>
  <c r="C3676" i="69"/>
  <c r="E3675" i="69"/>
  <c r="C3675" i="69"/>
  <c r="E3674" i="69"/>
  <c r="C3674" i="69"/>
  <c r="E3673" i="69"/>
  <c r="C3673" i="69"/>
  <c r="E3672" i="69"/>
  <c r="C3672" i="69"/>
  <c r="E3671" i="69"/>
  <c r="C3671" i="69"/>
  <c r="E3670" i="69"/>
  <c r="C3670" i="69"/>
  <c r="E3669" i="69"/>
  <c r="C3669" i="69"/>
  <c r="E3668" i="69"/>
  <c r="C3668" i="69"/>
  <c r="E3667" i="69"/>
  <c r="C3667" i="69"/>
  <c r="E3666" i="69"/>
  <c r="C3666" i="69"/>
  <c r="E3665" i="69"/>
  <c r="C3665" i="69"/>
  <c r="E3664" i="69"/>
  <c r="C3664" i="69"/>
  <c r="E3663" i="69"/>
  <c r="C3663" i="69"/>
  <c r="E3662" i="69"/>
  <c r="C3662" i="69"/>
  <c r="E3661" i="69"/>
  <c r="C3661" i="69"/>
  <c r="E3660" i="69"/>
  <c r="C3660" i="69"/>
  <c r="E3659" i="69"/>
  <c r="C3659" i="69"/>
  <c r="E3658" i="69"/>
  <c r="C3658" i="69"/>
  <c r="E3657" i="69"/>
  <c r="C3657" i="69"/>
  <c r="E3656" i="69"/>
  <c r="C3656" i="69"/>
  <c r="E3655" i="69"/>
  <c r="C3655" i="69"/>
  <c r="E3654" i="69"/>
  <c r="C3654" i="69"/>
  <c r="E3653" i="69"/>
  <c r="C3653" i="69"/>
  <c r="E3652" i="69"/>
  <c r="C3652" i="69"/>
  <c r="E3651" i="69"/>
  <c r="C3651" i="69"/>
  <c r="E3650" i="69"/>
  <c r="C3650" i="69"/>
  <c r="E3649" i="69"/>
  <c r="C3649" i="69"/>
  <c r="E3648" i="69"/>
  <c r="C3648" i="69"/>
  <c r="E3647" i="69"/>
  <c r="C3647" i="69"/>
  <c r="E3646" i="69"/>
  <c r="C3646" i="69"/>
  <c r="E3645" i="69"/>
  <c r="C3645" i="69"/>
  <c r="E3644" i="69"/>
  <c r="C3644" i="69"/>
  <c r="E3643" i="69"/>
  <c r="C3643" i="69"/>
  <c r="E3642" i="69"/>
  <c r="C3642" i="69"/>
  <c r="E3641" i="69"/>
  <c r="C3641" i="69"/>
  <c r="E3640" i="69"/>
  <c r="C3640" i="69"/>
  <c r="E3639" i="69"/>
  <c r="C3639" i="69"/>
  <c r="E3638" i="69"/>
  <c r="C3638" i="69"/>
  <c r="E3637" i="69"/>
  <c r="C3637" i="69"/>
  <c r="E3636" i="69"/>
  <c r="C3636" i="69"/>
  <c r="E3635" i="69"/>
  <c r="C3635" i="69"/>
  <c r="E3634" i="69"/>
  <c r="C3634" i="69"/>
  <c r="E3633" i="69"/>
  <c r="C3633" i="69"/>
  <c r="E3632" i="69"/>
  <c r="C3632" i="69"/>
  <c r="E3631" i="69"/>
  <c r="C3631" i="69"/>
  <c r="E3630" i="69"/>
  <c r="C3630" i="69"/>
  <c r="E3629" i="69"/>
  <c r="C3629" i="69"/>
  <c r="E3628" i="69"/>
  <c r="C3628" i="69"/>
  <c r="E3627" i="69"/>
  <c r="C3627" i="69"/>
  <c r="E3626" i="69"/>
  <c r="C3626" i="69"/>
  <c r="E3625" i="69"/>
  <c r="C3625" i="69"/>
  <c r="E3624" i="69"/>
  <c r="C3624" i="69"/>
  <c r="E3623" i="69"/>
  <c r="C3623" i="69"/>
  <c r="E3622" i="69"/>
  <c r="C3622" i="69"/>
  <c r="E3621" i="69"/>
  <c r="C3621" i="69"/>
  <c r="E3620" i="69"/>
  <c r="C3620" i="69"/>
  <c r="E3619" i="69"/>
  <c r="C3619" i="69"/>
  <c r="E3618" i="69"/>
  <c r="C3618" i="69"/>
  <c r="E3617" i="69"/>
  <c r="C3617" i="69"/>
  <c r="E3616" i="69"/>
  <c r="C3616" i="69"/>
  <c r="E3615" i="69"/>
  <c r="C3615" i="69"/>
  <c r="E3614" i="69"/>
  <c r="C3614" i="69"/>
  <c r="E3613" i="69"/>
  <c r="C3613" i="69"/>
  <c r="E3612" i="69"/>
  <c r="C3612" i="69"/>
  <c r="E3611" i="69"/>
  <c r="C3611" i="69"/>
  <c r="E3610" i="69"/>
  <c r="C3610" i="69"/>
  <c r="E3609" i="69"/>
  <c r="C3609" i="69"/>
  <c r="E3608" i="69"/>
  <c r="C3608" i="69"/>
  <c r="E3607" i="69"/>
  <c r="C3607" i="69"/>
  <c r="E3606" i="69"/>
  <c r="C3606" i="69"/>
  <c r="E3605" i="69"/>
  <c r="C3605" i="69"/>
  <c r="E3604" i="69"/>
  <c r="C3604" i="69"/>
  <c r="E3603" i="69"/>
  <c r="C3603" i="69"/>
  <c r="E3602" i="69"/>
  <c r="C3602" i="69"/>
  <c r="E3601" i="69"/>
  <c r="C3601" i="69"/>
  <c r="E3600" i="69"/>
  <c r="C3600" i="69"/>
  <c r="E3599" i="69"/>
  <c r="C3599" i="69"/>
  <c r="E3598" i="69"/>
  <c r="C3598" i="69"/>
  <c r="E3597" i="69"/>
  <c r="C3597" i="69"/>
  <c r="E3596" i="69"/>
  <c r="C3596" i="69"/>
  <c r="E3595" i="69"/>
  <c r="C3595" i="69"/>
  <c r="E3594" i="69"/>
  <c r="C3594" i="69"/>
  <c r="E3593" i="69"/>
  <c r="C3593" i="69"/>
  <c r="E3592" i="69"/>
  <c r="C3592" i="69"/>
  <c r="E3591" i="69"/>
  <c r="C3591" i="69"/>
  <c r="E3590" i="69"/>
  <c r="C3590" i="69"/>
  <c r="E3589" i="69"/>
  <c r="C3589" i="69"/>
  <c r="E3588" i="69"/>
  <c r="C3588" i="69"/>
  <c r="E3587" i="69"/>
  <c r="C3587" i="69"/>
  <c r="E3586" i="69"/>
  <c r="C3586" i="69"/>
  <c r="E3585" i="69"/>
  <c r="C3585" i="69"/>
  <c r="E3584" i="69"/>
  <c r="C3584" i="69"/>
  <c r="E3583" i="69"/>
  <c r="C3583" i="69"/>
  <c r="E3582" i="69"/>
  <c r="C3582" i="69"/>
  <c r="E3581" i="69"/>
  <c r="C3581" i="69"/>
  <c r="E3580" i="69"/>
  <c r="C3580" i="69"/>
  <c r="E3579" i="69"/>
  <c r="C3579" i="69"/>
  <c r="E3578" i="69"/>
  <c r="C3578" i="69"/>
  <c r="E3577" i="69"/>
  <c r="C3577" i="69"/>
  <c r="E3576" i="69"/>
  <c r="C3576" i="69"/>
  <c r="E3575" i="69"/>
  <c r="C3575" i="69"/>
  <c r="E3574" i="69"/>
  <c r="C3574" i="69"/>
  <c r="E3573" i="69"/>
  <c r="C3573" i="69"/>
  <c r="E3572" i="69"/>
  <c r="C3572" i="69"/>
  <c r="E3571" i="69"/>
  <c r="C3571" i="69"/>
  <c r="E3570" i="69"/>
  <c r="C3570" i="69"/>
  <c r="E3569" i="69"/>
  <c r="C3569" i="69"/>
  <c r="E3568" i="69"/>
  <c r="C3568" i="69"/>
  <c r="E3567" i="69"/>
  <c r="C3567" i="69"/>
  <c r="E3566" i="69"/>
  <c r="C3566" i="69"/>
  <c r="E3565" i="69"/>
  <c r="C3565" i="69"/>
  <c r="E3564" i="69"/>
  <c r="C3564" i="69"/>
  <c r="E3563" i="69"/>
  <c r="C3563" i="69"/>
  <c r="E3562" i="69"/>
  <c r="C3562" i="69"/>
  <c r="E3561" i="69"/>
  <c r="C3561" i="69"/>
  <c r="E3560" i="69"/>
  <c r="C3560" i="69"/>
  <c r="E3559" i="69"/>
  <c r="C3559" i="69"/>
  <c r="E3558" i="69"/>
  <c r="C3558" i="69"/>
  <c r="E3557" i="69"/>
  <c r="C3557" i="69"/>
  <c r="E3556" i="69"/>
  <c r="C3556" i="69"/>
  <c r="E3555" i="69"/>
  <c r="C3555" i="69"/>
  <c r="E3554" i="69"/>
  <c r="C3554" i="69"/>
  <c r="E3553" i="69"/>
  <c r="C3553" i="69"/>
  <c r="E3552" i="69"/>
  <c r="C3552" i="69"/>
  <c r="E3551" i="69"/>
  <c r="C3551" i="69"/>
  <c r="E3550" i="69"/>
  <c r="C3550" i="69"/>
  <c r="E3549" i="69"/>
  <c r="C3549" i="69"/>
  <c r="E3548" i="69"/>
  <c r="C3548" i="69"/>
  <c r="E3547" i="69"/>
  <c r="C3547" i="69"/>
  <c r="E3546" i="69"/>
  <c r="C3546" i="69"/>
  <c r="E3545" i="69"/>
  <c r="C3545" i="69"/>
  <c r="E3544" i="69"/>
  <c r="C3544" i="69"/>
  <c r="E3543" i="69"/>
  <c r="C3543" i="69"/>
  <c r="E3542" i="69"/>
  <c r="C3542" i="69"/>
  <c r="E3541" i="69"/>
  <c r="C3541" i="69"/>
  <c r="E3540" i="69"/>
  <c r="C3540" i="69"/>
  <c r="E3539" i="69"/>
  <c r="C3539" i="69"/>
  <c r="E3538" i="69"/>
  <c r="C3538" i="69"/>
  <c r="E3537" i="69"/>
  <c r="C3537" i="69"/>
  <c r="E3536" i="69"/>
  <c r="C3536" i="69"/>
  <c r="E3535" i="69"/>
  <c r="C3535" i="69"/>
  <c r="E3534" i="69"/>
  <c r="C3534" i="69"/>
  <c r="E3533" i="69"/>
  <c r="C3533" i="69"/>
  <c r="E3532" i="69"/>
  <c r="C3532" i="69"/>
  <c r="E3531" i="69"/>
  <c r="C3531" i="69"/>
  <c r="E3530" i="69"/>
  <c r="C3530" i="69"/>
  <c r="E3529" i="69"/>
  <c r="C3529" i="69"/>
  <c r="E3528" i="69"/>
  <c r="C3528" i="69"/>
  <c r="E3527" i="69"/>
  <c r="C3527" i="69"/>
  <c r="E3526" i="69"/>
  <c r="C3526" i="69"/>
  <c r="E3525" i="69"/>
  <c r="C3525" i="69"/>
  <c r="E3524" i="69"/>
  <c r="C3524" i="69"/>
  <c r="E3523" i="69"/>
  <c r="C3523" i="69"/>
  <c r="E3522" i="69"/>
  <c r="C3522" i="69"/>
  <c r="E3521" i="69"/>
  <c r="C3521" i="69"/>
  <c r="E3520" i="69"/>
  <c r="C3520" i="69"/>
  <c r="E3519" i="69"/>
  <c r="C3519" i="69"/>
  <c r="E3518" i="69"/>
  <c r="C3518" i="69"/>
  <c r="E3517" i="69"/>
  <c r="C3517" i="69"/>
  <c r="E3516" i="69"/>
  <c r="C3516" i="69"/>
  <c r="E3515" i="69"/>
  <c r="C3515" i="69"/>
  <c r="E3514" i="69"/>
  <c r="C3514" i="69"/>
  <c r="E3513" i="69"/>
  <c r="C3513" i="69"/>
  <c r="E3512" i="69"/>
  <c r="C3512" i="69"/>
  <c r="E3511" i="69"/>
  <c r="C3511" i="69"/>
  <c r="E3510" i="69"/>
  <c r="C3510" i="69"/>
  <c r="E3509" i="69"/>
  <c r="C3509" i="69"/>
  <c r="E3508" i="69"/>
  <c r="C3508" i="69"/>
  <c r="E3507" i="69"/>
  <c r="C3507" i="69"/>
  <c r="E3506" i="69"/>
  <c r="C3506" i="69"/>
  <c r="E3505" i="69"/>
  <c r="C3505" i="69"/>
  <c r="E3504" i="69"/>
  <c r="C3504" i="69"/>
  <c r="E3503" i="69"/>
  <c r="C3503" i="69"/>
  <c r="E3502" i="69"/>
  <c r="C3502" i="69"/>
  <c r="E3501" i="69"/>
  <c r="C3501" i="69"/>
  <c r="E3500" i="69"/>
  <c r="C3500" i="69"/>
  <c r="E3499" i="69"/>
  <c r="C3499" i="69"/>
  <c r="E3498" i="69"/>
  <c r="C3498" i="69"/>
  <c r="E3497" i="69"/>
  <c r="C3497" i="69"/>
  <c r="E3496" i="69"/>
  <c r="C3496" i="69"/>
  <c r="E3495" i="69"/>
  <c r="C3495" i="69"/>
  <c r="E3494" i="69"/>
  <c r="C3494" i="69"/>
  <c r="E3493" i="69"/>
  <c r="C3493" i="69"/>
  <c r="E3492" i="69"/>
  <c r="C3492" i="69"/>
  <c r="E3491" i="69"/>
  <c r="C3491" i="69"/>
  <c r="E3490" i="69"/>
  <c r="C3490" i="69"/>
  <c r="E3489" i="69"/>
  <c r="C3489" i="69"/>
  <c r="E3488" i="69"/>
  <c r="C3488" i="69"/>
  <c r="E3487" i="69"/>
  <c r="C3487" i="69"/>
  <c r="E3486" i="69"/>
  <c r="C3486" i="69"/>
  <c r="E3485" i="69"/>
  <c r="C3485" i="69"/>
  <c r="E3484" i="69"/>
  <c r="C3484" i="69"/>
  <c r="E3483" i="69"/>
  <c r="C3483" i="69"/>
  <c r="E3482" i="69"/>
  <c r="C3482" i="69"/>
  <c r="E3481" i="69"/>
  <c r="C3481" i="69"/>
  <c r="E3480" i="69"/>
  <c r="C3480" i="69"/>
  <c r="E3479" i="69"/>
  <c r="C3479" i="69"/>
  <c r="E3478" i="69"/>
  <c r="C3478" i="69"/>
  <c r="E3477" i="69"/>
  <c r="C3477" i="69"/>
  <c r="E3476" i="69"/>
  <c r="C3476" i="69"/>
  <c r="E3475" i="69"/>
  <c r="C3475" i="69"/>
  <c r="E3474" i="69"/>
  <c r="C3474" i="69"/>
  <c r="E3473" i="69"/>
  <c r="C3473" i="69"/>
  <c r="E3472" i="69"/>
  <c r="C3472" i="69"/>
  <c r="E3471" i="69"/>
  <c r="C3471" i="69"/>
  <c r="E3470" i="69"/>
  <c r="C3470" i="69"/>
  <c r="E3469" i="69"/>
  <c r="C3469" i="69"/>
  <c r="E3468" i="69"/>
  <c r="C3468" i="69"/>
  <c r="E3467" i="69"/>
  <c r="C3467" i="69"/>
  <c r="E3466" i="69"/>
  <c r="C3466" i="69"/>
  <c r="E3465" i="69"/>
  <c r="C3465" i="69"/>
  <c r="E3464" i="69"/>
  <c r="C3464" i="69"/>
  <c r="E3463" i="69"/>
  <c r="C3463" i="69"/>
  <c r="E3462" i="69"/>
  <c r="C3462" i="69"/>
  <c r="E3461" i="69"/>
  <c r="C3461" i="69"/>
  <c r="E3460" i="69"/>
  <c r="C3460" i="69"/>
  <c r="E3459" i="69"/>
  <c r="C3459" i="69"/>
  <c r="E3458" i="69"/>
  <c r="C3458" i="69"/>
  <c r="E3457" i="69"/>
  <c r="C3457" i="69"/>
  <c r="E3456" i="69"/>
  <c r="C3456" i="69"/>
  <c r="E3455" i="69"/>
  <c r="C3455" i="69"/>
  <c r="E3454" i="69"/>
  <c r="C3454" i="69"/>
  <c r="E3453" i="69"/>
  <c r="C3453" i="69"/>
  <c r="E3452" i="69"/>
  <c r="C3452" i="69"/>
  <c r="E3451" i="69"/>
  <c r="C3451" i="69"/>
  <c r="E3450" i="69"/>
  <c r="C3450" i="69"/>
  <c r="E3449" i="69"/>
  <c r="C3449" i="69"/>
  <c r="E3448" i="69"/>
  <c r="C3448" i="69"/>
  <c r="E3447" i="69"/>
  <c r="C3447" i="69"/>
  <c r="E3446" i="69"/>
  <c r="C3446" i="69"/>
  <c r="E3445" i="69"/>
  <c r="C3445" i="69"/>
  <c r="E3444" i="69"/>
  <c r="C3444" i="69"/>
  <c r="E3443" i="69"/>
  <c r="C3443" i="69"/>
  <c r="E3442" i="69"/>
  <c r="C3442" i="69"/>
  <c r="E3441" i="69"/>
  <c r="C3441" i="69"/>
  <c r="E3440" i="69"/>
  <c r="C3440" i="69"/>
  <c r="E3439" i="69"/>
  <c r="C3439" i="69"/>
  <c r="E3438" i="69"/>
  <c r="C3438" i="69"/>
  <c r="E3437" i="69"/>
  <c r="C3437" i="69"/>
  <c r="E3436" i="69"/>
  <c r="C3436" i="69"/>
  <c r="E3435" i="69"/>
  <c r="C3435" i="69"/>
  <c r="E3434" i="69"/>
  <c r="C3434" i="69"/>
  <c r="E3433" i="69"/>
  <c r="C3433" i="69"/>
  <c r="E3432" i="69"/>
  <c r="C3432" i="69"/>
  <c r="E3431" i="69"/>
  <c r="C3431" i="69"/>
  <c r="E3430" i="69"/>
  <c r="C3430" i="69"/>
  <c r="E3429" i="69"/>
  <c r="C3429" i="69"/>
  <c r="E3428" i="69"/>
  <c r="C3428" i="69"/>
  <c r="E3427" i="69"/>
  <c r="C3427" i="69"/>
  <c r="E3426" i="69"/>
  <c r="C3426" i="69"/>
  <c r="E3425" i="69"/>
  <c r="C3425" i="69"/>
  <c r="E3424" i="69"/>
  <c r="C3424" i="69"/>
  <c r="E3423" i="69"/>
  <c r="C3423" i="69"/>
  <c r="E3422" i="69"/>
  <c r="C3422" i="69"/>
  <c r="E3421" i="69"/>
  <c r="C3421" i="69"/>
  <c r="E3420" i="69"/>
  <c r="C3420" i="69"/>
  <c r="E3419" i="69"/>
  <c r="C3419" i="69"/>
  <c r="E3418" i="69"/>
  <c r="C3418" i="69"/>
  <c r="E3417" i="69"/>
  <c r="C3417" i="69"/>
  <c r="E3416" i="69"/>
  <c r="C3416" i="69"/>
  <c r="E3415" i="69"/>
  <c r="C3415" i="69"/>
  <c r="E3414" i="69"/>
  <c r="C3414" i="69"/>
  <c r="E3413" i="69"/>
  <c r="C3413" i="69"/>
  <c r="E3412" i="69"/>
  <c r="C3412" i="69"/>
  <c r="E3411" i="69"/>
  <c r="C3411" i="69"/>
  <c r="E3410" i="69"/>
  <c r="C3410" i="69"/>
  <c r="E3409" i="69"/>
  <c r="C3409" i="69"/>
  <c r="E3408" i="69"/>
  <c r="C3408" i="69"/>
  <c r="E3407" i="69"/>
  <c r="C3407" i="69"/>
  <c r="E3406" i="69"/>
  <c r="C3406" i="69"/>
  <c r="E3405" i="69"/>
  <c r="C3405" i="69"/>
  <c r="E3404" i="69"/>
  <c r="C3404" i="69"/>
  <c r="E3403" i="69"/>
  <c r="C3403" i="69"/>
  <c r="E3402" i="69"/>
  <c r="C3402" i="69"/>
  <c r="E3401" i="69"/>
  <c r="C3401" i="69"/>
  <c r="E3400" i="69"/>
  <c r="C3400" i="69"/>
  <c r="E3399" i="69"/>
  <c r="C3399" i="69"/>
  <c r="E3398" i="69"/>
  <c r="C3398" i="69"/>
  <c r="E3397" i="69"/>
  <c r="C3397" i="69"/>
  <c r="E3396" i="69"/>
  <c r="C3396" i="69"/>
  <c r="E3395" i="69"/>
  <c r="C3395" i="69"/>
  <c r="E3394" i="69"/>
  <c r="C3394" i="69"/>
  <c r="E3393" i="69"/>
  <c r="C3393" i="69"/>
  <c r="E3392" i="69"/>
  <c r="C3392" i="69"/>
  <c r="E3391" i="69"/>
  <c r="C3391" i="69"/>
  <c r="E3390" i="69"/>
  <c r="C3390" i="69"/>
  <c r="E3389" i="69"/>
  <c r="C3389" i="69"/>
  <c r="E3388" i="69"/>
  <c r="C3388" i="69"/>
  <c r="E3387" i="69"/>
  <c r="C3387" i="69"/>
  <c r="E3386" i="69"/>
  <c r="C3386" i="69"/>
  <c r="E3385" i="69"/>
  <c r="C3385" i="69"/>
  <c r="E3384" i="69"/>
  <c r="C3384" i="69"/>
  <c r="E3383" i="69"/>
  <c r="C3383" i="69"/>
  <c r="E3382" i="69"/>
  <c r="C3382" i="69"/>
  <c r="E3381" i="69"/>
  <c r="C3381" i="69"/>
  <c r="E3380" i="69"/>
  <c r="C3380" i="69"/>
  <c r="E3379" i="69"/>
  <c r="C3379" i="69"/>
  <c r="E3378" i="69"/>
  <c r="C3378" i="69"/>
  <c r="E3377" i="69"/>
  <c r="C3377" i="69"/>
  <c r="E3376" i="69"/>
  <c r="C3376" i="69"/>
  <c r="E3375" i="69"/>
  <c r="C3375" i="69"/>
  <c r="E3374" i="69"/>
  <c r="C3374" i="69"/>
  <c r="E3373" i="69"/>
  <c r="C3373" i="69"/>
  <c r="E3372" i="69"/>
  <c r="C3372" i="69"/>
  <c r="E3371" i="69"/>
  <c r="C3371" i="69"/>
  <c r="E3370" i="69"/>
  <c r="C3370" i="69"/>
  <c r="E3369" i="69"/>
  <c r="C3369" i="69"/>
  <c r="E3368" i="69"/>
  <c r="C3368" i="69"/>
  <c r="E3367" i="69"/>
  <c r="C3367" i="69"/>
  <c r="E3366" i="69"/>
  <c r="C3366" i="69"/>
  <c r="E3365" i="69"/>
  <c r="C3365" i="69"/>
  <c r="E3364" i="69"/>
  <c r="C3364" i="69"/>
  <c r="E3363" i="69"/>
  <c r="C3363" i="69"/>
  <c r="E3362" i="69"/>
  <c r="C3362" i="69"/>
  <c r="E3361" i="69"/>
  <c r="C3361" i="69"/>
  <c r="E3360" i="69"/>
  <c r="C3360" i="69"/>
  <c r="E3359" i="69"/>
  <c r="C3359" i="69"/>
  <c r="E3358" i="69"/>
  <c r="C3358" i="69"/>
  <c r="E3357" i="69"/>
  <c r="C3357" i="69"/>
  <c r="E3356" i="69"/>
  <c r="C3356" i="69"/>
  <c r="E3355" i="69"/>
  <c r="C3355" i="69"/>
  <c r="E3354" i="69"/>
  <c r="C3354" i="69"/>
  <c r="E3353" i="69"/>
  <c r="C3353" i="69"/>
  <c r="E3352" i="69"/>
  <c r="C3352" i="69"/>
  <c r="E3351" i="69"/>
  <c r="C3351" i="69"/>
  <c r="E3350" i="69"/>
  <c r="C3350" i="69"/>
  <c r="E3349" i="69"/>
  <c r="C3349" i="69"/>
  <c r="E3348" i="69"/>
  <c r="C3348" i="69"/>
  <c r="E3347" i="69"/>
  <c r="C3347" i="69"/>
  <c r="E3346" i="69"/>
  <c r="C3346" i="69"/>
  <c r="E3345" i="69"/>
  <c r="C3345" i="69"/>
  <c r="E3344" i="69"/>
  <c r="C3344" i="69"/>
  <c r="E3343" i="69"/>
  <c r="C3343" i="69"/>
  <c r="E3342" i="69"/>
  <c r="C3342" i="69"/>
  <c r="E3341" i="69"/>
  <c r="C3341" i="69"/>
  <c r="E3340" i="69"/>
  <c r="C3340" i="69"/>
  <c r="E3339" i="69"/>
  <c r="C3339" i="69"/>
  <c r="E3338" i="69"/>
  <c r="C3338" i="69"/>
  <c r="E3337" i="69"/>
  <c r="C3337" i="69"/>
  <c r="E3336" i="69"/>
  <c r="C3336" i="69"/>
  <c r="E3335" i="69"/>
  <c r="C3335" i="69"/>
  <c r="E3334" i="69"/>
  <c r="C3334" i="69"/>
  <c r="E3333" i="69"/>
  <c r="C3333" i="69"/>
  <c r="E3332" i="69"/>
  <c r="C3332" i="69"/>
  <c r="E3331" i="69"/>
  <c r="C3331" i="69"/>
  <c r="E3330" i="69"/>
  <c r="C3330" i="69"/>
  <c r="E3329" i="69"/>
  <c r="C3329" i="69"/>
  <c r="E3328" i="69"/>
  <c r="C3328" i="69"/>
  <c r="E3327" i="69"/>
  <c r="C3327" i="69"/>
  <c r="E3326" i="69"/>
  <c r="C3326" i="69"/>
  <c r="E3325" i="69"/>
  <c r="C3325" i="69"/>
  <c r="E3324" i="69"/>
  <c r="C3324" i="69"/>
  <c r="E3323" i="69"/>
  <c r="C3323" i="69"/>
  <c r="E3322" i="69"/>
  <c r="C3322" i="69"/>
  <c r="E3321" i="69"/>
  <c r="C3321" i="69"/>
  <c r="E3320" i="69"/>
  <c r="C3320" i="69"/>
  <c r="E3319" i="69"/>
  <c r="C3319" i="69"/>
  <c r="E3318" i="69"/>
  <c r="C3318" i="69"/>
  <c r="E3317" i="69"/>
  <c r="C3317" i="69"/>
  <c r="E3316" i="69"/>
  <c r="C3316" i="69"/>
  <c r="E3315" i="69"/>
  <c r="C3315" i="69"/>
  <c r="E3314" i="69"/>
  <c r="C3314" i="69"/>
  <c r="E3313" i="69"/>
  <c r="C3313" i="69"/>
  <c r="E3312" i="69"/>
  <c r="C3312" i="69"/>
  <c r="E3311" i="69"/>
  <c r="C3311" i="69"/>
  <c r="E3310" i="69"/>
  <c r="C3310" i="69"/>
  <c r="E3309" i="69"/>
  <c r="C3309" i="69"/>
  <c r="E3308" i="69"/>
  <c r="C3308" i="69"/>
  <c r="E3307" i="69"/>
  <c r="C3307" i="69"/>
  <c r="E3306" i="69"/>
  <c r="C3306" i="69"/>
  <c r="E3305" i="69"/>
  <c r="C3305" i="69"/>
  <c r="E3304" i="69"/>
  <c r="C3304" i="69"/>
  <c r="E3303" i="69"/>
  <c r="C3303" i="69"/>
  <c r="E3302" i="69"/>
  <c r="C3302" i="69"/>
  <c r="E3301" i="69"/>
  <c r="C3301" i="69"/>
  <c r="E3300" i="69"/>
  <c r="C3300" i="69"/>
  <c r="E3299" i="69"/>
  <c r="C3299" i="69"/>
  <c r="E3298" i="69"/>
  <c r="C3298" i="69"/>
  <c r="E3297" i="69"/>
  <c r="C3297" i="69"/>
  <c r="E3296" i="69"/>
  <c r="C3296" i="69"/>
  <c r="E3295" i="69"/>
  <c r="C3295" i="69"/>
  <c r="E3294" i="69"/>
  <c r="C3294" i="69"/>
  <c r="E3293" i="69"/>
  <c r="C3293" i="69"/>
  <c r="E3292" i="69"/>
  <c r="C3292" i="69"/>
  <c r="E3291" i="69"/>
  <c r="C3291" i="69"/>
  <c r="E3290" i="69"/>
  <c r="C3290" i="69"/>
  <c r="E3289" i="69"/>
  <c r="C3289" i="69"/>
  <c r="E3288" i="69"/>
  <c r="C3288" i="69"/>
  <c r="E3287" i="69"/>
  <c r="C3287" i="69"/>
  <c r="E3286" i="69"/>
  <c r="C3286" i="69"/>
  <c r="E3285" i="69"/>
  <c r="C3285" i="69"/>
  <c r="E3284" i="69"/>
  <c r="C3284" i="69"/>
  <c r="E3283" i="69"/>
  <c r="C3283" i="69"/>
  <c r="E3282" i="69"/>
  <c r="C3282" i="69"/>
  <c r="E3281" i="69"/>
  <c r="C3281" i="69"/>
  <c r="E3280" i="69"/>
  <c r="C3280" i="69"/>
  <c r="E3279" i="69"/>
  <c r="C3279" i="69"/>
  <c r="E3278" i="69"/>
  <c r="C3278" i="69"/>
  <c r="E3277" i="69"/>
  <c r="C3277" i="69"/>
  <c r="E3276" i="69"/>
  <c r="C3276" i="69"/>
  <c r="E3275" i="69"/>
  <c r="C3275" i="69"/>
  <c r="E3274" i="69"/>
  <c r="C3274" i="69"/>
  <c r="E3273" i="69"/>
  <c r="C3273" i="69"/>
  <c r="E3272" i="69"/>
  <c r="C3272" i="69"/>
  <c r="E3271" i="69"/>
  <c r="C3271" i="69"/>
  <c r="E3270" i="69"/>
  <c r="C3270" i="69"/>
  <c r="E3269" i="69"/>
  <c r="C3269" i="69"/>
  <c r="E3268" i="69"/>
  <c r="C3268" i="69"/>
  <c r="E3267" i="69"/>
  <c r="C3267" i="69"/>
  <c r="E3266" i="69"/>
  <c r="C3266" i="69"/>
  <c r="E3265" i="69"/>
  <c r="C3265" i="69"/>
  <c r="E3264" i="69"/>
  <c r="C3264" i="69"/>
  <c r="E3263" i="69"/>
  <c r="C3263" i="69"/>
  <c r="E3262" i="69"/>
  <c r="C3262" i="69"/>
  <c r="E3261" i="69"/>
  <c r="C3261" i="69"/>
  <c r="E3260" i="69"/>
  <c r="C3260" i="69"/>
  <c r="E3259" i="69"/>
  <c r="C3259" i="69"/>
  <c r="E3258" i="69"/>
  <c r="C3258" i="69"/>
  <c r="E3257" i="69"/>
  <c r="C3257" i="69"/>
  <c r="E3256" i="69"/>
  <c r="C3256" i="69"/>
  <c r="E3255" i="69"/>
  <c r="C3255" i="69"/>
  <c r="E3254" i="69"/>
  <c r="C3254" i="69"/>
  <c r="E3253" i="69"/>
  <c r="C3253" i="69"/>
  <c r="E3252" i="69"/>
  <c r="C3252" i="69"/>
  <c r="E3251" i="69"/>
  <c r="C3251" i="69"/>
  <c r="E3250" i="69"/>
  <c r="C3250" i="69"/>
  <c r="E3249" i="69"/>
  <c r="C3249" i="69"/>
  <c r="E3248" i="69"/>
  <c r="C3248" i="69"/>
  <c r="E3247" i="69"/>
  <c r="C3247" i="69"/>
  <c r="E3246" i="69"/>
  <c r="C3246" i="69"/>
  <c r="E3245" i="69"/>
  <c r="C3245" i="69"/>
  <c r="E3244" i="69"/>
  <c r="C3244" i="69"/>
  <c r="E3243" i="69"/>
  <c r="C3243" i="69"/>
  <c r="E3242" i="69"/>
  <c r="C3242" i="69"/>
  <c r="E3241" i="69"/>
  <c r="C3241" i="69"/>
  <c r="E3240" i="69"/>
  <c r="C3240" i="69"/>
  <c r="E3239" i="69"/>
  <c r="C3239" i="69"/>
  <c r="E3238" i="69"/>
  <c r="C3238" i="69"/>
  <c r="E3237" i="69"/>
  <c r="C3237" i="69"/>
  <c r="E3236" i="69"/>
  <c r="C3236" i="69"/>
  <c r="E3235" i="69"/>
  <c r="C3235" i="69"/>
  <c r="E3234" i="69"/>
  <c r="C3234" i="69"/>
  <c r="E3233" i="69"/>
  <c r="C3233" i="69"/>
  <c r="E3232" i="69"/>
  <c r="C3232" i="69"/>
  <c r="E3231" i="69"/>
  <c r="C3231" i="69"/>
  <c r="E3230" i="69"/>
  <c r="C3230" i="69"/>
  <c r="E3229" i="69"/>
  <c r="C3229" i="69"/>
  <c r="E3228" i="69"/>
  <c r="C3228" i="69"/>
  <c r="E3227" i="69"/>
  <c r="C3227" i="69"/>
  <c r="E3226" i="69"/>
  <c r="C3226" i="69"/>
  <c r="E3225" i="69"/>
  <c r="C3225" i="69"/>
  <c r="E3224" i="69"/>
  <c r="C3224" i="69"/>
  <c r="E3223" i="69"/>
  <c r="C3223" i="69"/>
  <c r="E3222" i="69"/>
  <c r="C3222" i="69"/>
  <c r="E3221" i="69"/>
  <c r="C3221" i="69"/>
  <c r="E3220" i="69"/>
  <c r="C3220" i="69"/>
  <c r="E3219" i="69"/>
  <c r="C3219" i="69"/>
  <c r="E3218" i="69"/>
  <c r="C3218" i="69"/>
  <c r="E3217" i="69"/>
  <c r="C3217" i="69"/>
  <c r="E3216" i="69"/>
  <c r="C3216" i="69"/>
  <c r="E3215" i="69"/>
  <c r="C3215" i="69"/>
  <c r="E3214" i="69"/>
  <c r="C3214" i="69"/>
  <c r="E3213" i="69"/>
  <c r="C3213" i="69"/>
  <c r="E3212" i="69"/>
  <c r="C3212" i="69"/>
  <c r="E3211" i="69"/>
  <c r="C3211" i="69"/>
  <c r="E3210" i="69"/>
  <c r="C3210" i="69"/>
  <c r="E3209" i="69"/>
  <c r="C3209" i="69"/>
  <c r="E3208" i="69"/>
  <c r="C3208" i="69"/>
  <c r="E3207" i="69"/>
  <c r="C3207" i="69"/>
  <c r="E3206" i="69"/>
  <c r="C3206" i="69"/>
  <c r="E3205" i="69"/>
  <c r="C3205" i="69"/>
  <c r="E3204" i="69"/>
  <c r="C3204" i="69"/>
  <c r="E3203" i="69"/>
  <c r="C3203" i="69"/>
  <c r="E3202" i="69"/>
  <c r="C3202" i="69"/>
  <c r="E3201" i="69"/>
  <c r="C3201" i="69"/>
  <c r="E3200" i="69"/>
  <c r="C3200" i="69"/>
  <c r="E3199" i="69"/>
  <c r="C3199" i="69"/>
  <c r="E3198" i="69"/>
  <c r="C3198" i="69"/>
  <c r="E3197" i="69"/>
  <c r="C3197" i="69"/>
  <c r="E3196" i="69"/>
  <c r="C3196" i="69"/>
  <c r="E3195" i="69"/>
  <c r="C3195" i="69"/>
  <c r="E3194" i="69"/>
  <c r="C3194" i="69"/>
  <c r="E3193" i="69"/>
  <c r="C3193" i="69"/>
  <c r="E3192" i="69"/>
  <c r="C3192" i="69"/>
  <c r="E3191" i="69"/>
  <c r="C3191" i="69"/>
  <c r="E3190" i="69"/>
  <c r="C3190" i="69"/>
  <c r="E3189" i="69"/>
  <c r="C3189" i="69"/>
  <c r="E3188" i="69"/>
  <c r="C3188" i="69"/>
  <c r="E3187" i="69"/>
  <c r="C3187" i="69"/>
  <c r="E3186" i="69"/>
  <c r="C3186" i="69"/>
  <c r="E3185" i="69"/>
  <c r="C3185" i="69"/>
  <c r="E3184" i="69"/>
  <c r="C3184" i="69"/>
  <c r="E3183" i="69"/>
  <c r="C3183" i="69"/>
  <c r="E3182" i="69"/>
  <c r="C3182" i="69"/>
  <c r="E3181" i="69"/>
  <c r="C3181" i="69"/>
  <c r="E3180" i="69"/>
  <c r="C3180" i="69"/>
  <c r="E3179" i="69"/>
  <c r="C3179" i="69"/>
  <c r="E3178" i="69"/>
  <c r="C3178" i="69"/>
  <c r="E3177" i="69"/>
  <c r="C3177" i="69"/>
  <c r="E3176" i="69"/>
  <c r="C3176" i="69"/>
  <c r="E3175" i="69"/>
  <c r="C3175" i="69"/>
  <c r="E3174" i="69"/>
  <c r="C3174" i="69"/>
  <c r="E3173" i="69"/>
  <c r="C3173" i="69"/>
  <c r="E3172" i="69"/>
  <c r="C3172" i="69"/>
  <c r="E3171" i="69"/>
  <c r="C3171" i="69"/>
  <c r="E3170" i="69"/>
  <c r="C3170" i="69"/>
  <c r="E3169" i="69"/>
  <c r="C3169" i="69"/>
  <c r="E3168" i="69"/>
  <c r="C3168" i="69"/>
  <c r="E3167" i="69"/>
  <c r="C3167" i="69"/>
  <c r="E3166" i="69"/>
  <c r="C3166" i="69"/>
  <c r="E3165" i="69"/>
  <c r="C3165" i="69"/>
  <c r="E3164" i="69"/>
  <c r="C3164" i="69"/>
  <c r="E3163" i="69"/>
  <c r="C3163" i="69"/>
  <c r="E3162" i="69"/>
  <c r="C3162" i="69"/>
  <c r="E3161" i="69"/>
  <c r="C3161" i="69"/>
  <c r="C3160" i="69"/>
  <c r="E3159" i="69"/>
  <c r="C3159" i="69"/>
  <c r="E3158" i="69"/>
  <c r="C3158" i="69"/>
  <c r="E3157" i="69"/>
  <c r="C3157" i="69"/>
  <c r="E3156" i="69"/>
  <c r="C3156" i="69"/>
  <c r="E3155" i="69"/>
  <c r="C3155" i="69"/>
  <c r="E3154" i="69"/>
  <c r="C3154" i="69"/>
  <c r="E3153" i="69"/>
  <c r="C3153" i="69"/>
  <c r="E3152" i="69"/>
  <c r="C3152" i="69"/>
  <c r="E3151" i="69"/>
  <c r="C3151" i="69"/>
  <c r="E3150" i="69"/>
  <c r="C3150" i="69"/>
  <c r="E3149" i="69"/>
  <c r="C3149" i="69"/>
  <c r="E3148" i="69"/>
  <c r="C3148" i="69"/>
  <c r="E3147" i="69"/>
  <c r="C3147" i="69"/>
  <c r="E3146" i="69"/>
  <c r="C3146" i="69"/>
  <c r="E3145" i="69"/>
  <c r="C3145" i="69"/>
  <c r="E3144" i="69"/>
  <c r="C3144" i="69"/>
  <c r="E3143" i="69"/>
  <c r="C3143" i="69"/>
  <c r="E3142" i="69"/>
  <c r="C3142" i="69"/>
  <c r="E3141" i="69"/>
  <c r="C3141" i="69"/>
  <c r="E3140" i="69"/>
  <c r="C3140" i="69"/>
  <c r="E3139" i="69"/>
  <c r="C3139" i="69"/>
  <c r="E3138" i="69"/>
  <c r="C3138" i="69"/>
  <c r="C3137" i="69"/>
  <c r="E3136" i="69"/>
  <c r="C3136" i="69"/>
  <c r="E3135" i="69"/>
  <c r="C3135" i="69"/>
  <c r="E3134" i="69"/>
  <c r="C3134" i="69"/>
  <c r="E3133" i="69"/>
  <c r="C3133" i="69"/>
  <c r="E3132" i="69"/>
  <c r="C3132" i="69"/>
  <c r="E3131" i="69"/>
  <c r="C3131" i="69"/>
  <c r="E3130" i="69"/>
  <c r="C3130" i="69"/>
  <c r="E3129" i="69"/>
  <c r="C3129" i="69"/>
  <c r="E3128" i="69"/>
  <c r="C3128" i="69"/>
  <c r="E3127" i="69"/>
  <c r="C3127" i="69"/>
  <c r="E3126" i="69"/>
  <c r="C3126" i="69"/>
  <c r="E3125" i="69"/>
  <c r="C3125" i="69"/>
  <c r="E3124" i="69"/>
  <c r="C3124" i="69"/>
  <c r="E3123" i="69"/>
  <c r="C3123" i="69"/>
  <c r="E3122" i="69"/>
  <c r="C3122" i="69"/>
  <c r="E3121" i="69"/>
  <c r="C3121" i="69"/>
  <c r="E3120" i="69"/>
  <c r="C3120" i="69"/>
  <c r="E3119" i="69"/>
  <c r="C3119" i="69"/>
  <c r="E3118" i="69"/>
  <c r="C3118" i="69"/>
  <c r="E3117" i="69"/>
  <c r="C3117" i="69"/>
  <c r="E3116" i="69"/>
  <c r="C3116" i="69"/>
  <c r="E3115" i="69"/>
  <c r="C3115" i="69"/>
  <c r="E3114" i="69"/>
  <c r="C3114" i="69"/>
  <c r="E3113" i="69"/>
  <c r="C3113" i="69"/>
  <c r="E3112" i="69"/>
  <c r="C3112" i="69"/>
  <c r="E3111" i="69"/>
  <c r="C3111" i="69"/>
  <c r="E3110" i="69"/>
  <c r="C3110" i="69"/>
  <c r="E3109" i="69"/>
  <c r="C3109" i="69"/>
  <c r="E3108" i="69"/>
  <c r="C3108" i="69"/>
  <c r="E3107" i="69"/>
  <c r="C3107" i="69"/>
  <c r="E3106" i="69"/>
  <c r="C3106" i="69"/>
  <c r="E3105" i="69"/>
  <c r="C3105" i="69"/>
  <c r="E3104" i="69"/>
  <c r="C3104" i="69"/>
  <c r="E3103" i="69"/>
  <c r="C3103" i="69"/>
  <c r="E3102" i="69"/>
  <c r="C3102" i="69"/>
  <c r="E3101" i="69"/>
  <c r="C3101" i="69"/>
  <c r="E3100" i="69"/>
  <c r="C3100" i="69"/>
  <c r="E3099" i="69"/>
  <c r="C3099" i="69"/>
  <c r="E3098" i="69"/>
  <c r="C3098" i="69"/>
  <c r="E3097" i="69"/>
  <c r="C3097" i="69"/>
  <c r="E3096" i="69"/>
  <c r="C3096" i="69"/>
  <c r="E3095" i="69"/>
  <c r="C3095" i="69"/>
  <c r="E3094" i="69"/>
  <c r="C3094" i="69"/>
  <c r="E3093" i="69"/>
  <c r="C3093" i="69"/>
  <c r="E3092" i="69"/>
  <c r="C3092" i="69"/>
  <c r="C3091" i="69"/>
  <c r="E3090" i="69"/>
  <c r="C3090" i="69"/>
  <c r="E3089" i="69"/>
  <c r="C3089" i="69"/>
  <c r="E3088" i="69"/>
  <c r="C3088" i="69"/>
  <c r="E3087" i="69"/>
  <c r="C3087" i="69"/>
  <c r="E3086" i="69"/>
  <c r="C3086" i="69"/>
  <c r="E3085" i="69"/>
  <c r="C3085" i="69"/>
  <c r="E3084" i="69"/>
  <c r="C3084" i="69"/>
  <c r="E3083" i="69"/>
  <c r="C3083" i="69"/>
  <c r="E3082" i="69"/>
  <c r="C3082" i="69"/>
  <c r="E3081" i="69"/>
  <c r="C3081" i="69"/>
  <c r="E3080" i="69"/>
  <c r="C3080" i="69"/>
  <c r="E3079" i="69"/>
  <c r="C3079" i="69"/>
  <c r="E3078" i="69"/>
  <c r="C3078" i="69"/>
  <c r="E3077" i="69"/>
  <c r="C3077" i="69"/>
  <c r="E3076" i="69"/>
  <c r="C3076" i="69"/>
  <c r="E3075" i="69"/>
  <c r="C3075" i="69"/>
  <c r="E3074" i="69"/>
  <c r="C3074" i="69"/>
  <c r="E3073" i="69"/>
  <c r="C3073" i="69"/>
  <c r="E3072" i="69"/>
  <c r="C3072" i="69"/>
  <c r="E3071" i="69"/>
  <c r="C3071" i="69"/>
  <c r="E3070" i="69"/>
  <c r="C3070" i="69"/>
  <c r="E3069" i="69"/>
  <c r="C3069" i="69"/>
  <c r="E3068" i="69"/>
  <c r="C3068" i="69"/>
  <c r="E3067" i="69"/>
  <c r="C3067" i="69"/>
  <c r="E3066" i="69"/>
  <c r="C3066" i="69"/>
  <c r="E3065" i="69"/>
  <c r="C3065" i="69"/>
  <c r="E3064" i="69"/>
  <c r="C3064" i="69"/>
  <c r="E3063" i="69"/>
  <c r="C3063" i="69"/>
  <c r="E3062" i="69"/>
  <c r="C3062" i="69"/>
  <c r="E3061" i="69"/>
  <c r="C3061" i="69"/>
  <c r="E3060" i="69"/>
  <c r="C3060" i="69"/>
  <c r="E3059" i="69"/>
  <c r="C3059" i="69"/>
  <c r="E3058" i="69"/>
  <c r="C3058" i="69"/>
  <c r="E3057" i="69"/>
  <c r="C3057" i="69"/>
  <c r="E3056" i="69"/>
  <c r="C3056" i="69"/>
  <c r="E3055" i="69"/>
  <c r="C3055" i="69"/>
  <c r="E3054" i="69"/>
  <c r="C3054" i="69"/>
  <c r="E3053" i="69"/>
  <c r="C3053" i="69"/>
  <c r="E3052" i="69"/>
  <c r="C3052" i="69"/>
  <c r="E3051" i="69"/>
  <c r="C3051" i="69"/>
  <c r="E3050" i="69"/>
  <c r="C3050" i="69"/>
  <c r="E3049" i="69"/>
  <c r="C3049" i="69"/>
  <c r="E3048" i="69"/>
  <c r="C3048" i="69"/>
  <c r="E3047" i="69"/>
  <c r="C3047" i="69"/>
  <c r="E3046" i="69"/>
  <c r="C3046" i="69"/>
  <c r="E3045" i="69"/>
  <c r="C3045" i="69"/>
  <c r="E3044" i="69"/>
  <c r="C3044" i="69"/>
  <c r="E3043" i="69"/>
  <c r="C3043" i="69"/>
  <c r="E3042" i="69"/>
  <c r="C3042" i="69"/>
  <c r="E3041" i="69"/>
  <c r="C3041" i="69"/>
  <c r="E3040" i="69"/>
  <c r="C3040" i="69"/>
  <c r="E3039" i="69"/>
  <c r="C3039" i="69"/>
  <c r="E3038" i="69"/>
  <c r="C3038" i="69"/>
  <c r="E3037" i="69"/>
  <c r="C3037" i="69"/>
  <c r="E3036" i="69"/>
  <c r="C3036" i="69"/>
  <c r="E3035" i="69"/>
  <c r="C3035" i="69"/>
  <c r="E3034" i="69"/>
  <c r="C3034" i="69"/>
  <c r="E3033" i="69"/>
  <c r="C3033" i="69"/>
  <c r="E3032" i="69"/>
  <c r="C3032" i="69"/>
  <c r="E3031" i="69"/>
  <c r="C3031" i="69"/>
  <c r="E3030" i="69"/>
  <c r="C3030" i="69"/>
  <c r="E3029" i="69"/>
  <c r="C3029" i="69"/>
  <c r="E3028" i="69"/>
  <c r="C3028" i="69"/>
  <c r="E3027" i="69"/>
  <c r="C3027" i="69"/>
  <c r="E3026" i="69"/>
  <c r="C3026" i="69"/>
  <c r="E3025" i="69"/>
  <c r="C3025" i="69"/>
  <c r="E3024" i="69"/>
  <c r="C3024" i="69"/>
  <c r="E3023" i="69"/>
  <c r="C3023" i="69"/>
  <c r="E3022" i="69"/>
  <c r="C3022" i="69"/>
  <c r="E3021" i="69"/>
  <c r="C3021" i="69"/>
  <c r="E3020" i="69"/>
  <c r="C3020" i="69"/>
  <c r="E3019" i="69"/>
  <c r="C3019" i="69"/>
  <c r="E3018" i="69"/>
  <c r="C3018" i="69"/>
  <c r="E3017" i="69"/>
  <c r="C3017" i="69"/>
  <c r="E3016" i="69"/>
  <c r="C3016" i="69"/>
  <c r="E3015" i="69"/>
  <c r="C3015" i="69"/>
  <c r="E3014" i="69"/>
  <c r="C3014" i="69"/>
  <c r="E3013" i="69"/>
  <c r="C3013" i="69"/>
  <c r="E3012" i="69"/>
  <c r="C3012" i="69"/>
  <c r="E3011" i="69"/>
  <c r="C3011" i="69"/>
  <c r="E3010" i="69"/>
  <c r="C3010" i="69"/>
  <c r="E3009" i="69"/>
  <c r="C3009" i="69"/>
  <c r="E3008" i="69"/>
  <c r="C3008" i="69"/>
  <c r="E3007" i="69"/>
  <c r="C3007" i="69"/>
  <c r="E3006" i="69"/>
  <c r="C3006" i="69"/>
  <c r="E3005" i="69"/>
  <c r="C3005" i="69"/>
  <c r="E3004" i="69"/>
  <c r="C3004" i="69"/>
  <c r="E3003" i="69"/>
  <c r="C3003" i="69"/>
  <c r="E3002" i="69"/>
  <c r="C3002" i="69"/>
  <c r="E3001" i="69"/>
  <c r="C3001" i="69"/>
  <c r="E3000" i="69"/>
  <c r="C3000" i="69"/>
  <c r="E2999" i="69"/>
  <c r="C2999" i="69"/>
  <c r="E2998" i="69"/>
  <c r="C2998" i="69"/>
  <c r="E2997" i="69"/>
  <c r="C2997" i="69"/>
  <c r="E2996" i="69"/>
  <c r="C2996" i="69"/>
  <c r="E2995" i="69"/>
  <c r="C2995" i="69"/>
  <c r="E2994" i="69"/>
  <c r="C2994" i="69"/>
  <c r="E2993" i="69"/>
  <c r="C2993" i="69"/>
  <c r="E2992" i="69"/>
  <c r="C2992" i="69"/>
  <c r="E2991" i="69"/>
  <c r="C2991" i="69"/>
  <c r="E2990" i="69"/>
  <c r="C2990" i="69"/>
  <c r="E2989" i="69"/>
  <c r="C2989" i="69"/>
  <c r="E2988" i="69"/>
  <c r="C2988" i="69"/>
  <c r="E2987" i="69"/>
  <c r="C2987" i="69"/>
  <c r="E2986" i="69"/>
  <c r="C2986" i="69"/>
  <c r="E2985" i="69"/>
  <c r="C2985" i="69"/>
  <c r="E2984" i="69"/>
  <c r="C2984" i="69"/>
  <c r="E2983" i="69"/>
  <c r="C2983" i="69"/>
  <c r="E2982" i="69"/>
  <c r="C2982" i="69"/>
  <c r="E2981" i="69"/>
  <c r="C2981" i="69"/>
  <c r="E2980" i="69"/>
  <c r="C2980" i="69"/>
  <c r="E2979" i="69"/>
  <c r="C2979" i="69"/>
  <c r="E2978" i="69"/>
  <c r="C2978" i="69"/>
  <c r="E2977" i="69"/>
  <c r="C2977" i="69"/>
  <c r="E2976" i="69"/>
  <c r="C2976" i="69"/>
  <c r="E2975" i="69"/>
  <c r="C2975" i="69"/>
  <c r="E2974" i="69"/>
  <c r="C2974" i="69"/>
  <c r="E2973" i="69"/>
  <c r="C2973" i="69"/>
  <c r="E2972" i="69"/>
  <c r="C2972" i="69"/>
  <c r="E2971" i="69"/>
  <c r="C2971" i="69"/>
  <c r="E2970" i="69"/>
  <c r="C2970" i="69"/>
  <c r="E2969" i="69"/>
  <c r="C2969" i="69"/>
  <c r="E2968" i="69"/>
  <c r="C2968" i="69"/>
  <c r="E2967" i="69"/>
  <c r="C2967" i="69"/>
  <c r="E2966" i="69"/>
  <c r="C2966" i="69"/>
  <c r="E2965" i="69"/>
  <c r="C2965" i="69"/>
  <c r="E2964" i="69"/>
  <c r="C2964" i="69"/>
  <c r="E2963" i="69"/>
  <c r="C2963" i="69"/>
  <c r="E2962" i="69"/>
  <c r="C2962" i="69"/>
  <c r="E2961" i="69"/>
  <c r="C2961" i="69"/>
  <c r="E2960" i="69"/>
  <c r="C2960" i="69"/>
  <c r="E2959" i="69"/>
  <c r="C2959" i="69"/>
  <c r="E2958" i="69"/>
  <c r="C2958" i="69"/>
  <c r="E2957" i="69"/>
  <c r="C2957" i="69"/>
  <c r="E2956" i="69"/>
  <c r="C2956" i="69"/>
  <c r="E2955" i="69"/>
  <c r="C2955" i="69"/>
  <c r="E2954" i="69"/>
  <c r="C2954" i="69"/>
  <c r="E2953" i="69"/>
  <c r="C2953" i="69"/>
  <c r="E2952" i="69"/>
  <c r="C2952" i="69"/>
  <c r="E2951" i="69"/>
  <c r="C2951" i="69"/>
  <c r="E2950" i="69"/>
  <c r="C2950" i="69"/>
  <c r="E2949" i="69"/>
  <c r="C2949" i="69"/>
  <c r="E2948" i="69"/>
  <c r="C2948" i="69"/>
  <c r="E2947" i="69"/>
  <c r="C2947" i="69"/>
  <c r="E2946" i="69"/>
  <c r="C2946" i="69"/>
  <c r="E2945" i="69"/>
  <c r="C2945" i="69"/>
  <c r="E2944" i="69"/>
  <c r="C2944" i="69"/>
  <c r="E2943" i="69"/>
  <c r="C2943" i="69"/>
  <c r="E2942" i="69"/>
  <c r="C2942" i="69"/>
  <c r="E2941" i="69"/>
  <c r="C2941" i="69"/>
  <c r="E2940" i="69"/>
  <c r="C2940" i="69"/>
  <c r="E2939" i="69"/>
  <c r="C2939" i="69"/>
  <c r="E2938" i="69"/>
  <c r="C2938" i="69"/>
  <c r="E2937" i="69"/>
  <c r="C2937" i="69"/>
  <c r="E2936" i="69"/>
  <c r="C2936" i="69"/>
  <c r="E2935" i="69"/>
  <c r="C2935" i="69"/>
  <c r="E2934" i="69"/>
  <c r="C2934" i="69"/>
  <c r="E2933" i="69"/>
  <c r="C2933" i="69"/>
  <c r="E2932" i="69"/>
  <c r="C2932" i="69"/>
  <c r="E2931" i="69"/>
  <c r="C2931" i="69"/>
  <c r="E2930" i="69"/>
  <c r="C2930" i="69"/>
  <c r="E2929" i="69"/>
  <c r="C2929" i="69"/>
  <c r="E2928" i="69"/>
  <c r="C2928" i="69"/>
  <c r="E2927" i="69"/>
  <c r="C2927" i="69"/>
  <c r="E2926" i="69"/>
  <c r="C2926" i="69"/>
  <c r="E2925" i="69"/>
  <c r="C2925" i="69"/>
  <c r="E2924" i="69"/>
  <c r="C2924" i="69"/>
  <c r="E2923" i="69"/>
  <c r="C2923" i="69"/>
  <c r="E2922" i="69"/>
  <c r="C2922" i="69"/>
  <c r="E2921" i="69"/>
  <c r="C2921" i="69"/>
  <c r="E2920" i="69"/>
  <c r="C2920" i="69"/>
  <c r="E2919" i="69"/>
  <c r="C2919" i="69"/>
  <c r="E2918" i="69"/>
  <c r="C2918" i="69"/>
  <c r="E2917" i="69"/>
  <c r="C2917" i="69"/>
  <c r="E2916" i="69"/>
  <c r="C2916" i="69"/>
  <c r="E2915" i="69"/>
  <c r="C2915" i="69"/>
  <c r="E2914" i="69"/>
  <c r="C2914" i="69"/>
  <c r="E2913" i="69"/>
  <c r="C2913" i="69"/>
  <c r="E2912" i="69"/>
  <c r="C2912" i="69"/>
  <c r="E2911" i="69"/>
  <c r="C2911" i="69"/>
  <c r="E2910" i="69"/>
  <c r="C2910" i="69"/>
  <c r="E2909" i="69"/>
  <c r="C2909" i="69"/>
  <c r="E2908" i="69"/>
  <c r="C2908" i="69"/>
  <c r="E2907" i="69"/>
  <c r="C2907" i="69"/>
  <c r="E2906" i="69"/>
  <c r="C2906" i="69"/>
  <c r="E2905" i="69"/>
  <c r="C2905" i="69"/>
  <c r="E2904" i="69"/>
  <c r="C2904" i="69"/>
  <c r="E2903" i="69"/>
  <c r="C2903" i="69"/>
  <c r="E2902" i="69"/>
  <c r="C2902" i="69"/>
  <c r="E2901" i="69"/>
  <c r="C2901" i="69"/>
  <c r="E2900" i="69"/>
  <c r="C2900" i="69"/>
  <c r="E2899" i="69"/>
  <c r="C2899" i="69"/>
  <c r="E2898" i="69"/>
  <c r="C2898" i="69"/>
  <c r="E2897" i="69"/>
  <c r="C2897" i="69"/>
  <c r="E2896" i="69"/>
  <c r="C2896" i="69"/>
  <c r="E2895" i="69"/>
  <c r="C2895" i="69"/>
  <c r="E2894" i="69"/>
  <c r="C2894" i="69"/>
  <c r="E2893" i="69"/>
  <c r="C2893" i="69"/>
  <c r="E2892" i="69"/>
  <c r="C2892" i="69"/>
  <c r="E2891" i="69"/>
  <c r="C2891" i="69"/>
  <c r="E2890" i="69"/>
  <c r="C2890" i="69"/>
  <c r="E2889" i="69"/>
  <c r="C2889" i="69"/>
  <c r="E2888" i="69"/>
  <c r="C2888" i="69"/>
  <c r="E2887" i="69"/>
  <c r="C2887" i="69"/>
  <c r="E2886" i="69"/>
  <c r="C2886" i="69"/>
  <c r="E2885" i="69"/>
  <c r="C2885" i="69"/>
  <c r="E2884" i="69"/>
  <c r="C2884" i="69"/>
  <c r="E2883" i="69"/>
  <c r="C2883" i="69"/>
  <c r="E2882" i="69"/>
  <c r="C2882" i="69"/>
  <c r="E2881" i="69"/>
  <c r="C2881" i="69"/>
  <c r="E2880" i="69"/>
  <c r="C2880" i="69"/>
  <c r="E2879" i="69"/>
  <c r="C2879" i="69"/>
  <c r="E2878" i="69"/>
  <c r="C2878" i="69"/>
  <c r="E2877" i="69"/>
  <c r="C2877" i="69"/>
  <c r="E2876" i="69"/>
  <c r="C2876" i="69"/>
  <c r="E2875" i="69"/>
  <c r="C2875" i="69"/>
  <c r="E2874" i="69"/>
  <c r="C2874" i="69"/>
  <c r="E2873" i="69"/>
  <c r="C2873" i="69"/>
  <c r="E2872" i="69"/>
  <c r="C2872" i="69"/>
  <c r="E2871" i="69"/>
  <c r="C2871" i="69"/>
  <c r="E2870" i="69"/>
  <c r="C2870" i="69"/>
  <c r="E2869" i="69"/>
  <c r="C2869" i="69"/>
  <c r="E2868" i="69"/>
  <c r="C2868" i="69"/>
  <c r="E2867" i="69"/>
  <c r="C2867" i="69"/>
  <c r="E2866" i="69"/>
  <c r="C2866" i="69"/>
  <c r="E2865" i="69"/>
  <c r="C2865" i="69"/>
  <c r="E2864" i="69"/>
  <c r="C2864" i="69"/>
  <c r="E2863" i="69"/>
  <c r="C2863" i="69"/>
  <c r="E2862" i="69"/>
  <c r="C2862" i="69"/>
  <c r="E2861" i="69"/>
  <c r="C2861" i="69"/>
  <c r="E2860" i="69"/>
  <c r="C2860" i="69"/>
  <c r="E2859" i="69"/>
  <c r="C2859" i="69"/>
  <c r="E2858" i="69"/>
  <c r="C2858" i="69"/>
  <c r="E2857" i="69"/>
  <c r="C2857" i="69"/>
  <c r="E2856" i="69"/>
  <c r="C2856" i="69"/>
  <c r="E2855" i="69"/>
  <c r="C2855" i="69"/>
  <c r="E2854" i="69"/>
  <c r="C2854" i="69"/>
  <c r="E2853" i="69"/>
  <c r="C2853" i="69"/>
  <c r="E2852" i="69"/>
  <c r="C2852" i="69"/>
  <c r="E2851" i="69"/>
  <c r="C2851" i="69"/>
  <c r="E2850" i="69"/>
  <c r="C2850" i="69"/>
  <c r="E2849" i="69"/>
  <c r="C2849" i="69"/>
  <c r="E2848" i="69"/>
  <c r="C2848" i="69"/>
  <c r="E2847" i="69"/>
  <c r="C2847" i="69"/>
  <c r="E2846" i="69"/>
  <c r="C2846" i="69"/>
  <c r="E2845" i="69"/>
  <c r="C2845" i="69"/>
  <c r="E2844" i="69"/>
  <c r="C2844" i="69"/>
  <c r="E2843" i="69"/>
  <c r="C2843" i="69"/>
  <c r="E2842" i="69"/>
  <c r="C2842" i="69"/>
  <c r="E2841" i="69"/>
  <c r="C2841" i="69"/>
  <c r="E2840" i="69"/>
  <c r="C2840" i="69"/>
  <c r="E2839" i="69"/>
  <c r="C2839" i="69"/>
  <c r="E2838" i="69"/>
  <c r="C2838" i="69"/>
  <c r="E2837" i="69"/>
  <c r="C2837" i="69"/>
  <c r="E2836" i="69"/>
  <c r="C2836" i="69"/>
  <c r="E2835" i="69"/>
  <c r="C2835" i="69"/>
  <c r="E2834" i="69"/>
  <c r="C2834" i="69"/>
  <c r="E2833" i="69"/>
  <c r="C2833" i="69"/>
  <c r="E2832" i="69"/>
  <c r="C2832" i="69"/>
  <c r="E2831" i="69"/>
  <c r="C2831" i="69"/>
  <c r="E2830" i="69"/>
  <c r="C2830" i="69"/>
  <c r="E2829" i="69"/>
  <c r="C2829" i="69"/>
  <c r="E2828" i="69"/>
  <c r="C2828" i="69"/>
  <c r="E2827" i="69"/>
  <c r="C2827" i="69"/>
  <c r="E2826" i="69"/>
  <c r="C2826" i="69"/>
  <c r="E2825" i="69"/>
  <c r="C2825" i="69"/>
  <c r="E2824" i="69"/>
  <c r="C2824" i="69"/>
  <c r="E2823" i="69"/>
  <c r="C2823" i="69"/>
  <c r="E2822" i="69"/>
  <c r="C2822" i="69"/>
  <c r="E2821" i="69"/>
  <c r="C2821" i="69"/>
  <c r="E2820" i="69"/>
  <c r="C2820" i="69"/>
  <c r="E2819" i="69"/>
  <c r="C2819" i="69"/>
  <c r="E2818" i="69"/>
  <c r="C2818" i="69"/>
  <c r="E2817" i="69"/>
  <c r="C2817" i="69"/>
  <c r="E2816" i="69"/>
  <c r="C2816" i="69"/>
  <c r="E2815" i="69"/>
  <c r="C2815" i="69"/>
  <c r="E2814" i="69"/>
  <c r="C2814" i="69"/>
  <c r="E2813" i="69"/>
  <c r="C2813" i="69"/>
  <c r="E2812" i="69"/>
  <c r="C2812" i="69"/>
  <c r="E2811" i="69"/>
  <c r="C2811" i="69"/>
  <c r="E2810" i="69"/>
  <c r="C2810" i="69"/>
  <c r="E2809" i="69"/>
  <c r="C2809" i="69"/>
  <c r="E2808" i="69"/>
  <c r="C2808" i="69"/>
  <c r="E2807" i="69"/>
  <c r="C2807" i="69"/>
  <c r="E2806" i="69"/>
  <c r="C2806" i="69"/>
  <c r="E2805" i="69"/>
  <c r="C2805" i="69"/>
  <c r="E2804" i="69"/>
  <c r="C2804" i="69"/>
  <c r="E2803" i="69"/>
  <c r="C2803" i="69"/>
  <c r="E2802" i="69"/>
  <c r="C2802" i="69"/>
  <c r="E2801" i="69"/>
  <c r="C2801" i="69"/>
  <c r="E2800" i="69"/>
  <c r="C2800" i="69"/>
  <c r="E2799" i="69"/>
  <c r="C2799" i="69"/>
  <c r="E2798" i="69"/>
  <c r="C2798" i="69"/>
  <c r="E2797" i="69"/>
  <c r="C2797" i="69"/>
  <c r="E2796" i="69"/>
  <c r="C2796" i="69"/>
  <c r="E2795" i="69"/>
  <c r="C2795" i="69"/>
  <c r="E2794" i="69"/>
  <c r="C2794" i="69"/>
  <c r="E2793" i="69"/>
  <c r="C2793" i="69"/>
  <c r="E2792" i="69"/>
  <c r="C2792" i="69"/>
  <c r="E2791" i="69"/>
  <c r="C2791" i="69"/>
  <c r="E2790" i="69"/>
  <c r="C2790" i="69"/>
  <c r="E2789" i="69"/>
  <c r="C2789" i="69"/>
  <c r="E2788" i="69"/>
  <c r="C2788" i="69"/>
  <c r="E2787" i="69"/>
  <c r="C2787" i="69"/>
  <c r="E2786" i="69"/>
  <c r="C2786" i="69"/>
  <c r="E2785" i="69"/>
  <c r="C2785" i="69"/>
  <c r="E2784" i="69"/>
  <c r="C2784" i="69"/>
  <c r="E2783" i="69"/>
  <c r="C2783" i="69"/>
  <c r="E2782" i="69"/>
  <c r="C2782" i="69"/>
  <c r="E2781" i="69"/>
  <c r="C2781" i="69"/>
  <c r="E2780" i="69"/>
  <c r="C2780" i="69"/>
  <c r="E2779" i="69"/>
  <c r="C2779" i="69"/>
  <c r="E2778" i="69"/>
  <c r="C2778" i="69"/>
  <c r="E2777" i="69"/>
  <c r="C2777" i="69"/>
  <c r="E2776" i="69"/>
  <c r="C2776" i="69"/>
  <c r="E2775" i="69"/>
  <c r="C2775" i="69"/>
  <c r="E2774" i="69"/>
  <c r="C2774" i="69"/>
  <c r="E2773" i="69"/>
  <c r="C2773" i="69"/>
  <c r="E2772" i="69"/>
  <c r="C2772" i="69"/>
  <c r="E2771" i="69"/>
  <c r="C2771" i="69"/>
  <c r="E2770" i="69"/>
  <c r="C2770" i="69"/>
  <c r="E2769" i="69"/>
  <c r="C2769" i="69"/>
  <c r="E2768" i="69"/>
  <c r="C2768" i="69"/>
  <c r="E2767" i="69"/>
  <c r="C2767" i="69"/>
  <c r="E2766" i="69"/>
  <c r="C2766" i="69"/>
  <c r="E2765" i="69"/>
  <c r="C2765" i="69"/>
  <c r="E2764" i="69"/>
  <c r="C2764" i="69"/>
  <c r="E2763" i="69"/>
  <c r="C2763" i="69"/>
  <c r="E2762" i="69"/>
  <c r="C2762" i="69"/>
  <c r="E2761" i="69"/>
  <c r="C2761" i="69"/>
  <c r="E2760" i="69"/>
  <c r="C2760" i="69"/>
  <c r="E2759" i="69"/>
  <c r="C2759" i="69"/>
  <c r="E2758" i="69"/>
  <c r="C2758" i="69"/>
  <c r="E2757" i="69"/>
  <c r="C2757" i="69"/>
  <c r="E2756" i="69"/>
  <c r="C2756" i="69"/>
  <c r="E2755" i="69"/>
  <c r="C2755" i="69"/>
  <c r="E2754" i="69"/>
  <c r="C2754" i="69"/>
  <c r="E2753" i="69"/>
  <c r="C2753" i="69"/>
  <c r="E2752" i="69"/>
  <c r="C2752" i="69"/>
  <c r="E2751" i="69"/>
  <c r="C2751" i="69"/>
  <c r="E2750" i="69"/>
  <c r="C2750" i="69"/>
  <c r="E2749" i="69"/>
  <c r="C2749" i="69"/>
  <c r="E2748" i="69"/>
  <c r="C2748" i="69"/>
  <c r="E2747" i="69"/>
  <c r="C2747" i="69"/>
  <c r="E2746" i="69"/>
  <c r="C2746" i="69"/>
  <c r="E2745" i="69"/>
  <c r="C2745" i="69"/>
  <c r="E2744" i="69"/>
  <c r="C2744" i="69"/>
  <c r="E2743" i="69"/>
  <c r="C2743" i="69"/>
  <c r="E2742" i="69"/>
  <c r="C2742" i="69"/>
  <c r="E2741" i="69"/>
  <c r="C2741" i="69"/>
  <c r="E2740" i="69"/>
  <c r="C2740" i="69"/>
  <c r="E2739" i="69"/>
  <c r="C2739" i="69"/>
  <c r="E2738" i="69"/>
  <c r="C2738" i="69"/>
  <c r="E2737" i="69"/>
  <c r="C2737" i="69"/>
  <c r="E2736" i="69"/>
  <c r="C2736" i="69"/>
  <c r="E2735" i="69"/>
  <c r="C2735" i="69"/>
  <c r="E2734" i="69"/>
  <c r="C2734" i="69"/>
  <c r="E2733" i="69"/>
  <c r="C2733" i="69"/>
  <c r="E2732" i="69"/>
  <c r="C2732" i="69"/>
  <c r="E2731" i="69"/>
  <c r="C2731" i="69"/>
  <c r="E2730" i="69"/>
  <c r="C2730" i="69"/>
  <c r="E2729" i="69"/>
  <c r="C2729" i="69"/>
  <c r="E2728" i="69"/>
  <c r="C2728" i="69"/>
  <c r="E2727" i="69"/>
  <c r="C2727" i="69"/>
  <c r="E2726" i="69"/>
  <c r="C2726" i="69"/>
  <c r="E2725" i="69"/>
  <c r="C2725" i="69"/>
  <c r="E2724" i="69"/>
  <c r="C2724" i="69"/>
  <c r="E2723" i="69"/>
  <c r="C2723" i="69"/>
  <c r="E2722" i="69"/>
  <c r="C2722" i="69"/>
  <c r="E2721" i="69"/>
  <c r="C2721" i="69"/>
  <c r="E2720" i="69"/>
  <c r="C2720" i="69"/>
  <c r="E2719" i="69"/>
  <c r="C2719" i="69"/>
  <c r="E2718" i="69"/>
  <c r="C2718" i="69"/>
  <c r="E2717" i="69"/>
  <c r="C2717" i="69"/>
  <c r="E2716" i="69"/>
  <c r="C2716" i="69"/>
  <c r="E2715" i="69"/>
  <c r="C2715" i="69"/>
  <c r="E2714" i="69"/>
  <c r="C2714" i="69"/>
  <c r="E2713" i="69"/>
  <c r="C2713" i="69"/>
  <c r="E2712" i="69"/>
  <c r="C2712" i="69"/>
  <c r="E2711" i="69"/>
  <c r="C2711" i="69"/>
  <c r="E2710" i="69"/>
  <c r="C2710" i="69"/>
  <c r="E2709" i="69"/>
  <c r="C2709" i="69"/>
  <c r="E2708" i="69"/>
  <c r="C2708" i="69"/>
  <c r="E2707" i="69"/>
  <c r="C2707" i="69"/>
  <c r="E2706" i="69"/>
  <c r="C2706" i="69"/>
  <c r="E2705" i="69"/>
  <c r="C2705" i="69"/>
  <c r="E2704" i="69"/>
  <c r="C2704" i="69"/>
  <c r="E2703" i="69"/>
  <c r="C2703" i="69"/>
  <c r="E2702" i="69"/>
  <c r="C2702" i="69"/>
  <c r="E2701" i="69"/>
  <c r="C2701" i="69"/>
  <c r="E2700" i="69"/>
  <c r="C2700" i="69"/>
  <c r="E2699" i="69"/>
  <c r="C2699" i="69"/>
  <c r="E2698" i="69"/>
  <c r="C2698" i="69"/>
  <c r="E2697" i="69"/>
  <c r="C2697" i="69"/>
  <c r="E2696" i="69"/>
  <c r="C2696" i="69"/>
  <c r="E2695" i="69"/>
  <c r="C2695" i="69"/>
  <c r="E2694" i="69"/>
  <c r="C2694" i="69"/>
  <c r="E2693" i="69"/>
  <c r="C2693" i="69"/>
  <c r="E2692" i="69"/>
  <c r="C2692" i="69"/>
  <c r="E2691" i="69"/>
  <c r="C2691" i="69"/>
  <c r="E2690" i="69"/>
  <c r="C2690" i="69"/>
  <c r="E2689" i="69"/>
  <c r="C2689" i="69"/>
  <c r="E2688" i="69"/>
  <c r="C2688" i="69"/>
  <c r="E2687" i="69"/>
  <c r="C2687" i="69"/>
  <c r="E2686" i="69"/>
  <c r="C2686" i="69"/>
  <c r="E2685" i="69"/>
  <c r="C2685" i="69"/>
  <c r="E2684" i="69"/>
  <c r="C2684" i="69"/>
  <c r="E2683" i="69"/>
  <c r="C2683" i="69"/>
  <c r="E2682" i="69"/>
  <c r="C2682" i="69"/>
  <c r="E2681" i="69"/>
  <c r="C2681" i="69"/>
  <c r="E2680" i="69"/>
  <c r="C2680" i="69"/>
  <c r="E2679" i="69"/>
  <c r="C2679" i="69"/>
  <c r="E2678" i="69"/>
  <c r="C2678" i="69"/>
  <c r="E2677" i="69"/>
  <c r="C2677" i="69"/>
  <c r="E2676" i="69"/>
  <c r="C2676" i="69"/>
  <c r="E2675" i="69"/>
  <c r="C2675" i="69"/>
  <c r="E2674" i="69"/>
  <c r="C2674" i="69"/>
  <c r="E2673" i="69"/>
  <c r="C2673" i="69"/>
  <c r="E2672" i="69"/>
  <c r="C2672" i="69"/>
  <c r="E2671" i="69"/>
  <c r="C2671" i="69"/>
  <c r="E2670" i="69"/>
  <c r="C2670" i="69"/>
  <c r="E2669" i="69"/>
  <c r="C2669" i="69"/>
  <c r="E2668" i="69"/>
  <c r="C2668" i="69"/>
  <c r="E2667" i="69"/>
  <c r="C2667" i="69"/>
  <c r="E2666" i="69"/>
  <c r="C2666" i="69"/>
  <c r="E2665" i="69"/>
  <c r="C2665" i="69"/>
  <c r="E2664" i="69"/>
  <c r="C2664" i="69"/>
  <c r="E2663" i="69"/>
  <c r="C2663" i="69"/>
  <c r="E2662" i="69"/>
  <c r="C2662" i="69"/>
  <c r="E2661" i="69"/>
  <c r="C2661" i="69"/>
  <c r="E2660" i="69"/>
  <c r="C2660" i="69"/>
  <c r="E2659" i="69"/>
  <c r="C2659" i="69"/>
  <c r="E2658" i="69"/>
  <c r="C2658" i="69"/>
  <c r="E2657" i="69"/>
  <c r="C2657" i="69"/>
  <c r="E2656" i="69"/>
  <c r="C2656" i="69"/>
  <c r="E2655" i="69"/>
  <c r="C2655" i="69"/>
  <c r="E2654" i="69"/>
  <c r="C2654" i="69"/>
  <c r="E2653" i="69"/>
  <c r="C2653" i="69"/>
  <c r="E2652" i="69"/>
  <c r="C2652" i="69"/>
  <c r="E2651" i="69"/>
  <c r="C2651" i="69"/>
  <c r="E2650" i="69"/>
  <c r="C2650" i="69"/>
  <c r="E2649" i="69"/>
  <c r="C2649" i="69"/>
  <c r="E2648" i="69"/>
  <c r="C2648" i="69"/>
  <c r="E2647" i="69"/>
  <c r="C2647" i="69"/>
  <c r="E2646" i="69"/>
  <c r="C2646" i="69"/>
  <c r="E2645" i="69"/>
  <c r="C2645" i="69"/>
  <c r="E2644" i="69"/>
  <c r="C2644" i="69"/>
  <c r="E2643" i="69"/>
  <c r="C2643" i="69"/>
  <c r="E2642" i="69"/>
  <c r="C2642" i="69"/>
  <c r="E2641" i="69"/>
  <c r="C2641" i="69"/>
  <c r="E2640" i="69"/>
  <c r="C2640" i="69"/>
  <c r="E2639" i="69"/>
  <c r="C2639" i="69"/>
  <c r="E2638" i="69"/>
  <c r="C2638" i="69"/>
  <c r="E2637" i="69"/>
  <c r="C2637" i="69"/>
  <c r="E2636" i="69"/>
  <c r="C2636" i="69"/>
  <c r="E2635" i="69"/>
  <c r="C2635" i="69"/>
  <c r="E2634" i="69"/>
  <c r="C2634" i="69"/>
  <c r="E2633" i="69"/>
  <c r="C2633" i="69"/>
  <c r="E2632" i="69"/>
  <c r="C2632" i="69"/>
  <c r="E2631" i="69"/>
  <c r="C2631" i="69"/>
  <c r="E2630" i="69"/>
  <c r="C2630" i="69"/>
  <c r="E2629" i="69"/>
  <c r="C2629" i="69"/>
  <c r="E2628" i="69"/>
  <c r="C2628" i="69"/>
  <c r="E2627" i="69"/>
  <c r="C2627" i="69"/>
  <c r="E2626" i="69"/>
  <c r="C2626" i="69"/>
  <c r="E2625" i="69"/>
  <c r="C2625" i="69"/>
  <c r="E2624" i="69"/>
  <c r="C2624" i="69"/>
  <c r="E2623" i="69"/>
  <c r="C2623" i="69"/>
  <c r="E2622" i="69"/>
  <c r="C2622" i="69"/>
  <c r="E2621" i="69"/>
  <c r="C2621" i="69"/>
  <c r="E2620" i="69"/>
  <c r="C2620" i="69"/>
  <c r="E2619" i="69"/>
  <c r="C2619" i="69"/>
  <c r="E2618" i="69"/>
  <c r="C2618" i="69"/>
  <c r="E2617" i="69"/>
  <c r="C2617" i="69"/>
  <c r="E2616" i="69"/>
  <c r="C2616" i="69"/>
  <c r="E2615" i="69"/>
  <c r="C2615" i="69"/>
  <c r="E2614" i="69"/>
  <c r="C2614" i="69"/>
  <c r="E2613" i="69"/>
  <c r="C2613" i="69"/>
  <c r="E2612" i="69"/>
  <c r="C2612" i="69"/>
  <c r="E2611" i="69"/>
  <c r="C2611" i="69"/>
  <c r="E2610" i="69"/>
  <c r="C2610" i="69"/>
  <c r="E2609" i="69"/>
  <c r="C2609" i="69"/>
  <c r="E2608" i="69"/>
  <c r="C2608" i="69"/>
  <c r="E2607" i="69"/>
  <c r="C2607" i="69"/>
  <c r="E2606" i="69"/>
  <c r="C2606" i="69"/>
  <c r="E2605" i="69"/>
  <c r="C2605" i="69"/>
  <c r="E2604" i="69"/>
  <c r="C2604" i="69"/>
  <c r="E2603" i="69"/>
  <c r="C2603" i="69"/>
  <c r="E2602" i="69"/>
  <c r="C2602" i="69"/>
  <c r="E2601" i="69"/>
  <c r="C2601" i="69"/>
  <c r="E2600" i="69"/>
  <c r="C2600" i="69"/>
  <c r="E2599" i="69"/>
  <c r="C2599" i="69"/>
  <c r="E2598" i="69"/>
  <c r="C2598" i="69"/>
  <c r="E2597" i="69"/>
  <c r="C2597" i="69"/>
  <c r="E2596" i="69"/>
  <c r="C2596" i="69"/>
  <c r="E2595" i="69"/>
  <c r="C2595" i="69"/>
  <c r="E2594" i="69"/>
  <c r="C2594" i="69"/>
  <c r="E2593" i="69"/>
  <c r="C2593" i="69"/>
  <c r="E2592" i="69"/>
  <c r="C2592" i="69"/>
  <c r="E2591" i="69"/>
  <c r="C2591" i="69"/>
  <c r="E2590" i="69"/>
  <c r="C2590" i="69"/>
  <c r="E2589" i="69"/>
  <c r="C2589" i="69"/>
  <c r="E2588" i="69"/>
  <c r="C2588" i="69"/>
  <c r="E2587" i="69"/>
  <c r="C2587" i="69"/>
  <c r="E2586" i="69"/>
  <c r="C2586" i="69"/>
  <c r="E2585" i="69"/>
  <c r="C2585" i="69"/>
  <c r="E2584" i="69"/>
  <c r="C2584" i="69"/>
  <c r="E2583" i="69"/>
  <c r="C2583" i="69"/>
  <c r="E2582" i="69"/>
  <c r="C2582" i="69"/>
  <c r="E2581" i="69"/>
  <c r="C2581" i="69"/>
  <c r="E2580" i="69"/>
  <c r="C2580" i="69"/>
  <c r="E2579" i="69"/>
  <c r="C2579" i="69"/>
  <c r="E2578" i="69"/>
  <c r="C2578" i="69"/>
  <c r="E2577" i="69"/>
  <c r="C2577" i="69"/>
  <c r="E2576" i="69"/>
  <c r="C2576" i="69"/>
  <c r="E2575" i="69"/>
  <c r="C2575" i="69"/>
  <c r="E2574" i="69"/>
  <c r="C2574" i="69"/>
  <c r="E2573" i="69"/>
  <c r="C2573" i="69"/>
  <c r="E2572" i="69"/>
  <c r="C2572" i="69"/>
  <c r="E2571" i="69"/>
  <c r="C2571" i="69"/>
  <c r="E2570" i="69"/>
  <c r="C2570" i="69"/>
  <c r="E2569" i="69"/>
  <c r="C2569" i="69"/>
  <c r="E2568" i="69"/>
  <c r="C2568" i="69"/>
  <c r="E2567" i="69"/>
  <c r="C2567" i="69"/>
  <c r="E2566" i="69"/>
  <c r="C2566" i="69"/>
  <c r="E2565" i="69"/>
  <c r="C2565" i="69"/>
  <c r="E2564" i="69"/>
  <c r="C2564" i="69"/>
  <c r="E2563" i="69"/>
  <c r="C2563" i="69"/>
  <c r="E2562" i="69"/>
  <c r="C2562" i="69"/>
  <c r="E2561" i="69"/>
  <c r="C2561" i="69"/>
  <c r="E2560" i="69"/>
  <c r="C2560" i="69"/>
  <c r="E2559" i="69"/>
  <c r="C2559" i="69"/>
  <c r="E2558" i="69"/>
  <c r="C2558" i="69"/>
  <c r="E2557" i="69"/>
  <c r="C2557" i="69"/>
  <c r="E2556" i="69"/>
  <c r="C2556" i="69"/>
  <c r="E2555" i="69"/>
  <c r="C2555" i="69"/>
  <c r="E2554" i="69"/>
  <c r="C2554" i="69"/>
  <c r="E2553" i="69"/>
  <c r="C2553" i="69"/>
  <c r="E2552" i="69"/>
  <c r="C2552" i="69"/>
  <c r="E2551" i="69"/>
  <c r="C2551" i="69"/>
  <c r="E2550" i="69"/>
  <c r="C2550" i="69"/>
  <c r="E2549" i="69"/>
  <c r="C2549" i="69"/>
  <c r="E2548" i="69"/>
  <c r="C2548" i="69"/>
  <c r="E2547" i="69"/>
  <c r="C2547" i="69"/>
  <c r="E2546" i="69"/>
  <c r="C2546" i="69"/>
  <c r="E2545" i="69"/>
  <c r="C2545" i="69"/>
  <c r="E2544" i="69"/>
  <c r="C2544" i="69"/>
  <c r="E2543" i="69"/>
  <c r="C2543" i="69"/>
  <c r="E2542" i="69"/>
  <c r="C2542" i="69"/>
  <c r="E2541" i="69"/>
  <c r="C2541" i="69"/>
  <c r="E2540" i="69"/>
  <c r="C2540" i="69"/>
  <c r="E2539" i="69"/>
  <c r="C2539" i="69"/>
  <c r="E2538" i="69"/>
  <c r="C2538" i="69"/>
  <c r="E2537" i="69"/>
  <c r="C2537" i="69"/>
  <c r="E2536" i="69"/>
  <c r="C2536" i="69"/>
  <c r="E2535" i="69"/>
  <c r="C2535" i="69"/>
  <c r="E2534" i="69"/>
  <c r="C2534" i="69"/>
  <c r="E2533" i="69"/>
  <c r="C2533" i="69"/>
  <c r="E2532" i="69"/>
  <c r="C2532" i="69"/>
  <c r="E2531" i="69"/>
  <c r="C2531" i="69"/>
  <c r="E2530" i="69"/>
  <c r="C2530" i="69"/>
  <c r="E2529" i="69"/>
  <c r="C2529" i="69"/>
  <c r="E2528" i="69"/>
  <c r="C2528" i="69"/>
  <c r="E2527" i="69"/>
  <c r="C2527" i="69"/>
  <c r="E2526" i="69"/>
  <c r="C2526" i="69"/>
  <c r="E2525" i="69"/>
  <c r="C2525" i="69"/>
  <c r="E2524" i="69"/>
  <c r="C2524" i="69"/>
  <c r="E2523" i="69"/>
  <c r="C2523" i="69"/>
  <c r="E2522" i="69"/>
  <c r="C2522" i="69"/>
  <c r="E2521" i="69"/>
  <c r="C2521" i="69"/>
  <c r="E2520" i="69"/>
  <c r="C2520" i="69"/>
  <c r="E2519" i="69"/>
  <c r="C2519" i="69"/>
  <c r="E2518" i="69"/>
  <c r="C2518" i="69"/>
  <c r="E2517" i="69"/>
  <c r="C2517" i="69"/>
  <c r="E2516" i="69"/>
  <c r="C2516" i="69"/>
  <c r="E2515" i="69"/>
  <c r="C2515" i="69"/>
  <c r="E2514" i="69"/>
  <c r="C2514" i="69"/>
  <c r="E2513" i="69"/>
  <c r="C2513" i="69"/>
  <c r="E2512" i="69"/>
  <c r="C2512" i="69"/>
  <c r="E2511" i="69"/>
  <c r="C2511" i="69"/>
  <c r="E2510" i="69"/>
  <c r="C2510" i="69"/>
  <c r="E2509" i="69"/>
  <c r="C2509" i="69"/>
  <c r="E2508" i="69"/>
  <c r="C2508" i="69"/>
  <c r="E2507" i="69"/>
  <c r="C2507" i="69"/>
  <c r="E2506" i="69"/>
  <c r="C2506" i="69"/>
  <c r="E2505" i="69"/>
  <c r="C2505" i="69"/>
  <c r="E2504" i="69"/>
  <c r="C2504" i="69"/>
  <c r="E2503" i="69"/>
  <c r="C2503" i="69"/>
  <c r="E2502" i="69"/>
  <c r="C2502" i="69"/>
  <c r="E2501" i="69"/>
  <c r="C2501" i="69"/>
  <c r="E2500" i="69"/>
  <c r="C2500" i="69"/>
  <c r="E2499" i="69"/>
  <c r="C2499" i="69"/>
  <c r="E2498" i="69"/>
  <c r="C2498" i="69"/>
  <c r="E2497" i="69"/>
  <c r="C2497" i="69"/>
  <c r="E2496" i="69"/>
  <c r="C2496" i="69"/>
  <c r="E2495" i="69"/>
  <c r="C2495" i="69"/>
  <c r="E2494" i="69"/>
  <c r="C2494" i="69"/>
  <c r="E2493" i="69"/>
  <c r="C2493" i="69"/>
  <c r="E2492" i="69"/>
  <c r="C2492" i="69"/>
  <c r="E2491" i="69"/>
  <c r="C2491" i="69"/>
  <c r="E2490" i="69"/>
  <c r="C2490" i="69"/>
  <c r="E2489" i="69"/>
  <c r="C2489" i="69"/>
  <c r="E2488" i="69"/>
  <c r="C2488" i="69"/>
  <c r="E2487" i="69"/>
  <c r="C2487" i="69"/>
  <c r="E2486" i="69"/>
  <c r="C2486" i="69"/>
  <c r="E2485" i="69"/>
  <c r="C2485" i="69"/>
  <c r="E2484" i="69"/>
  <c r="C2484" i="69"/>
  <c r="E2483" i="69"/>
  <c r="C2483" i="69"/>
  <c r="E2482" i="69"/>
  <c r="C2482" i="69"/>
  <c r="E2481" i="69"/>
  <c r="C2481" i="69"/>
  <c r="E2480" i="69"/>
  <c r="C2480" i="69"/>
  <c r="E2479" i="69"/>
  <c r="C2479" i="69"/>
  <c r="E2478" i="69"/>
  <c r="C2478" i="69"/>
  <c r="E2477" i="69"/>
  <c r="C2477" i="69"/>
  <c r="E2476" i="69"/>
  <c r="C2476" i="69"/>
  <c r="E2475" i="69"/>
  <c r="C2475" i="69"/>
  <c r="E2474" i="69"/>
  <c r="C2474" i="69"/>
  <c r="E2473" i="69"/>
  <c r="C2473" i="69"/>
  <c r="E2472" i="69"/>
  <c r="C2472" i="69"/>
  <c r="E2471" i="69"/>
  <c r="C2471" i="69"/>
  <c r="E2470" i="69"/>
  <c r="C2470" i="69"/>
  <c r="E2469" i="69"/>
  <c r="C2469" i="69"/>
  <c r="E2468" i="69"/>
  <c r="C2468" i="69"/>
  <c r="E2467" i="69"/>
  <c r="C2467" i="69"/>
  <c r="E2466" i="69"/>
  <c r="C2466" i="69"/>
  <c r="E2465" i="69"/>
  <c r="C2465" i="69"/>
  <c r="E2464" i="69"/>
  <c r="C2464" i="69"/>
  <c r="E2463" i="69"/>
  <c r="C2463" i="69"/>
  <c r="E2462" i="69"/>
  <c r="C2462" i="69"/>
  <c r="E2461" i="69"/>
  <c r="C2461" i="69"/>
  <c r="E2460" i="69"/>
  <c r="C2460" i="69"/>
  <c r="E2459" i="69"/>
  <c r="C2459" i="69"/>
  <c r="E2458" i="69"/>
  <c r="C2458" i="69"/>
  <c r="E2457" i="69"/>
  <c r="C2457" i="69"/>
  <c r="E2456" i="69"/>
  <c r="C2456" i="69"/>
  <c r="E2455" i="69"/>
  <c r="C2455" i="69"/>
  <c r="E2454" i="69"/>
  <c r="C2454" i="69"/>
  <c r="E2453" i="69"/>
  <c r="C2453" i="69"/>
  <c r="E2452" i="69"/>
  <c r="C2452" i="69"/>
  <c r="E2451" i="69"/>
  <c r="C2451" i="69"/>
  <c r="E2450" i="69"/>
  <c r="C2450" i="69"/>
  <c r="E2449" i="69"/>
  <c r="C2449" i="69"/>
  <c r="E2448" i="69"/>
  <c r="C2448" i="69"/>
  <c r="E2447" i="69"/>
  <c r="C2447" i="69"/>
  <c r="E2446" i="69"/>
  <c r="C2446" i="69"/>
  <c r="E2445" i="69"/>
  <c r="C2445" i="69"/>
  <c r="E2444" i="69"/>
  <c r="C2444" i="69"/>
  <c r="E2443" i="69"/>
  <c r="C2443" i="69"/>
  <c r="E2442" i="69"/>
  <c r="C2442" i="69"/>
  <c r="E2441" i="69"/>
  <c r="C2441" i="69"/>
  <c r="E2440" i="69"/>
  <c r="C2440" i="69"/>
  <c r="E2439" i="69"/>
  <c r="C2439" i="69"/>
  <c r="E2438" i="69"/>
  <c r="C2438" i="69"/>
  <c r="E2437" i="69"/>
  <c r="C2437" i="69"/>
  <c r="E2436" i="69"/>
  <c r="C2436" i="69"/>
  <c r="E2435" i="69"/>
  <c r="C2435" i="69"/>
  <c r="E2434" i="69"/>
  <c r="C2434" i="69"/>
  <c r="E2433" i="69"/>
  <c r="C2433" i="69"/>
  <c r="E2432" i="69"/>
  <c r="C2432" i="69"/>
  <c r="E2431" i="69"/>
  <c r="C2431" i="69"/>
  <c r="E2430" i="69"/>
  <c r="C2430" i="69"/>
  <c r="E2429" i="69"/>
  <c r="C2429" i="69"/>
  <c r="E2428" i="69"/>
  <c r="C2428" i="69"/>
  <c r="E2427" i="69"/>
  <c r="C2427" i="69"/>
  <c r="E2426" i="69"/>
  <c r="C2426" i="69"/>
  <c r="E2425" i="69"/>
  <c r="C2425" i="69"/>
  <c r="E2424" i="69"/>
  <c r="C2424" i="69"/>
  <c r="E2423" i="69"/>
  <c r="C2423" i="69"/>
  <c r="E2422" i="69"/>
  <c r="C2422" i="69"/>
  <c r="E2421" i="69"/>
  <c r="C2421" i="69"/>
  <c r="E2420" i="69"/>
  <c r="C2420" i="69"/>
  <c r="E2419" i="69"/>
  <c r="C2419" i="69"/>
  <c r="E2418" i="69"/>
  <c r="C2418" i="69"/>
  <c r="E2417" i="69"/>
  <c r="C2417" i="69"/>
  <c r="E2416" i="69"/>
  <c r="C2416" i="69"/>
  <c r="E2415" i="69"/>
  <c r="C2415" i="69"/>
  <c r="E2414" i="69"/>
  <c r="C2414" i="69"/>
  <c r="E2413" i="69"/>
  <c r="C2413" i="69"/>
  <c r="E2412" i="69"/>
  <c r="C2412" i="69"/>
  <c r="E2411" i="69"/>
  <c r="C2411" i="69"/>
  <c r="E2410" i="69"/>
  <c r="C2410" i="69"/>
  <c r="E2409" i="69"/>
  <c r="C2409" i="69"/>
  <c r="E2408" i="69"/>
  <c r="C2408" i="69"/>
  <c r="E2407" i="69"/>
  <c r="C2407" i="69"/>
  <c r="E2406" i="69"/>
  <c r="C2406" i="69"/>
  <c r="E2405" i="69"/>
  <c r="C2405" i="69"/>
  <c r="E2404" i="69"/>
  <c r="C2404" i="69"/>
  <c r="E2403" i="69"/>
  <c r="C2403" i="69"/>
  <c r="E2402" i="69"/>
  <c r="C2402" i="69"/>
  <c r="E2401" i="69"/>
  <c r="C2401" i="69"/>
  <c r="E2400" i="69"/>
  <c r="C2400" i="69"/>
  <c r="E2399" i="69"/>
  <c r="C2399" i="69"/>
  <c r="E2398" i="69"/>
  <c r="C2398" i="69"/>
  <c r="E2397" i="69"/>
  <c r="C2397" i="69"/>
  <c r="E2396" i="69"/>
  <c r="C2396" i="69"/>
  <c r="E2395" i="69"/>
  <c r="C2395" i="69"/>
  <c r="E2394" i="69"/>
  <c r="C2394" i="69"/>
  <c r="E2393" i="69"/>
  <c r="C2393" i="69"/>
  <c r="E2392" i="69"/>
  <c r="C2392" i="69"/>
  <c r="E2391" i="69"/>
  <c r="C2391" i="69"/>
  <c r="E2390" i="69"/>
  <c r="C2390" i="69"/>
  <c r="E2389" i="69"/>
  <c r="C2389" i="69"/>
  <c r="E2388" i="69"/>
  <c r="C2388" i="69"/>
  <c r="E2387" i="69"/>
  <c r="C2387" i="69"/>
  <c r="E2386" i="69"/>
  <c r="C2386" i="69"/>
  <c r="E2385" i="69"/>
  <c r="C2385" i="69"/>
  <c r="E2384" i="69"/>
  <c r="C2384" i="69"/>
  <c r="E2383" i="69"/>
  <c r="C2383" i="69"/>
  <c r="E2382" i="69"/>
  <c r="C2382" i="69"/>
  <c r="E2381" i="69"/>
  <c r="C2381" i="69"/>
  <c r="E2380" i="69"/>
  <c r="C2380" i="69"/>
  <c r="E2379" i="69"/>
  <c r="C2379" i="69"/>
  <c r="E2378" i="69"/>
  <c r="C2378" i="69"/>
  <c r="E2377" i="69"/>
  <c r="C2377" i="69"/>
  <c r="E2376" i="69"/>
  <c r="C2376" i="69"/>
  <c r="E2375" i="69"/>
  <c r="C2375" i="69"/>
  <c r="E2374" i="69"/>
  <c r="C2374" i="69"/>
  <c r="E2373" i="69"/>
  <c r="C2373" i="69"/>
  <c r="E2372" i="69"/>
  <c r="C2372" i="69"/>
  <c r="E2371" i="69"/>
  <c r="C2371" i="69"/>
  <c r="E2370" i="69"/>
  <c r="C2370" i="69"/>
  <c r="E2369" i="69"/>
  <c r="C2369" i="69"/>
  <c r="E2368" i="69"/>
  <c r="C2368" i="69"/>
  <c r="E2367" i="69"/>
  <c r="C2367" i="69"/>
  <c r="E2366" i="69"/>
  <c r="C2366" i="69"/>
  <c r="E2365" i="69"/>
  <c r="C2365" i="69"/>
  <c r="E2364" i="69"/>
  <c r="C2364" i="69"/>
  <c r="E2363" i="69"/>
  <c r="C2363" i="69"/>
  <c r="E2362" i="69"/>
  <c r="C2362" i="69"/>
  <c r="E2361" i="69"/>
  <c r="C2361" i="69"/>
  <c r="E2360" i="69"/>
  <c r="C2360" i="69"/>
  <c r="E2359" i="69"/>
  <c r="C2359" i="69"/>
  <c r="E2358" i="69"/>
  <c r="C2358" i="69"/>
  <c r="E2357" i="69"/>
  <c r="C2357" i="69"/>
  <c r="E2356" i="69"/>
  <c r="C2356" i="69"/>
  <c r="E2355" i="69"/>
  <c r="C2355" i="69"/>
  <c r="E2354" i="69"/>
  <c r="C2354" i="69"/>
  <c r="E2353" i="69"/>
  <c r="C2353" i="69"/>
  <c r="E2352" i="69"/>
  <c r="C2352" i="69"/>
  <c r="E2351" i="69"/>
  <c r="C2351" i="69"/>
  <c r="E2350" i="69"/>
  <c r="C2350" i="69"/>
  <c r="E2349" i="69"/>
  <c r="C2349" i="69"/>
  <c r="E2348" i="69"/>
  <c r="C2348" i="69"/>
  <c r="E2347" i="69"/>
  <c r="C2347" i="69"/>
  <c r="E2346" i="69"/>
  <c r="C2346" i="69"/>
  <c r="E2345" i="69"/>
  <c r="C2345" i="69"/>
  <c r="E2344" i="69"/>
  <c r="C2344" i="69"/>
  <c r="E2343" i="69"/>
  <c r="C2343" i="69"/>
  <c r="E2342" i="69"/>
  <c r="C2342" i="69"/>
  <c r="E2341" i="69"/>
  <c r="C2341" i="69"/>
  <c r="E2340" i="69"/>
  <c r="C2340" i="69"/>
  <c r="E2339" i="69"/>
  <c r="C2339" i="69"/>
  <c r="E2338" i="69"/>
  <c r="C2338" i="69"/>
  <c r="E2337" i="69"/>
  <c r="C2337" i="69"/>
  <c r="E2336" i="69"/>
  <c r="C2336" i="69"/>
  <c r="E2335" i="69"/>
  <c r="C2335" i="69"/>
  <c r="E2334" i="69"/>
  <c r="C2334" i="69"/>
  <c r="E2333" i="69"/>
  <c r="C2333" i="69"/>
  <c r="E2332" i="69"/>
  <c r="C2332" i="69"/>
  <c r="E2331" i="69"/>
  <c r="C2331" i="69"/>
  <c r="E2330" i="69"/>
  <c r="C2330" i="69"/>
  <c r="E2329" i="69"/>
  <c r="C2329" i="69"/>
  <c r="E2328" i="69"/>
  <c r="C2328" i="69"/>
  <c r="E2327" i="69"/>
  <c r="C2327" i="69"/>
  <c r="E2326" i="69"/>
  <c r="C2326" i="69"/>
  <c r="E2325" i="69"/>
  <c r="C2325" i="69"/>
  <c r="E2324" i="69"/>
  <c r="C2324" i="69"/>
  <c r="E2323" i="69"/>
  <c r="C2323" i="69"/>
  <c r="E2322" i="69"/>
  <c r="C2322" i="69"/>
  <c r="E2321" i="69"/>
  <c r="C2321" i="69"/>
  <c r="E2320" i="69"/>
  <c r="C2320" i="69"/>
  <c r="E2319" i="69"/>
  <c r="C2319" i="69"/>
  <c r="E2318" i="69"/>
  <c r="C2318" i="69"/>
  <c r="E2317" i="69"/>
  <c r="C2317" i="69"/>
  <c r="E2316" i="69"/>
  <c r="C2316" i="69"/>
  <c r="E2315" i="69"/>
  <c r="C2315" i="69"/>
  <c r="E2314" i="69"/>
  <c r="C2314" i="69"/>
  <c r="E2313" i="69"/>
  <c r="C2313" i="69"/>
  <c r="E2312" i="69"/>
  <c r="C2312" i="69"/>
  <c r="E2311" i="69"/>
  <c r="C2311" i="69"/>
  <c r="E2310" i="69"/>
  <c r="C2310" i="69"/>
  <c r="E2309" i="69"/>
  <c r="C2309" i="69"/>
  <c r="E2308" i="69"/>
  <c r="C2308" i="69"/>
  <c r="E2307" i="69"/>
  <c r="C2307" i="69"/>
  <c r="E2306" i="69"/>
  <c r="C2306" i="69"/>
  <c r="E2305" i="69"/>
  <c r="C2305" i="69"/>
  <c r="E2304" i="69"/>
  <c r="C2304" i="69"/>
  <c r="E2303" i="69"/>
  <c r="C2303" i="69"/>
  <c r="E2302" i="69"/>
  <c r="C2302" i="69"/>
  <c r="E2301" i="69"/>
  <c r="C2301" i="69"/>
  <c r="E2300" i="69"/>
  <c r="C2300" i="69"/>
  <c r="E2299" i="69"/>
  <c r="C2299" i="69"/>
  <c r="E2298" i="69"/>
  <c r="C2298" i="69"/>
  <c r="E2297" i="69"/>
  <c r="C2297" i="69"/>
  <c r="E2296" i="69"/>
  <c r="C2296" i="69"/>
  <c r="E2295" i="69"/>
  <c r="C2295" i="69"/>
  <c r="E2294" i="69"/>
  <c r="C2294" i="69"/>
  <c r="E2293" i="69"/>
  <c r="C2293" i="69"/>
  <c r="E2292" i="69"/>
  <c r="C2292" i="69"/>
  <c r="E2291" i="69"/>
  <c r="C2291" i="69"/>
  <c r="E2290" i="69"/>
  <c r="C2290" i="69"/>
  <c r="E2289" i="69"/>
  <c r="C2289" i="69"/>
  <c r="E2288" i="69"/>
  <c r="C2288" i="69"/>
  <c r="E2287" i="69"/>
  <c r="C2287" i="69"/>
  <c r="E2286" i="69"/>
  <c r="C2286" i="69"/>
  <c r="E2285" i="69"/>
  <c r="C2285" i="69"/>
  <c r="E2284" i="69"/>
  <c r="C2284" i="69"/>
  <c r="E2283" i="69"/>
  <c r="C2283" i="69"/>
  <c r="E2282" i="69"/>
  <c r="C2282" i="69"/>
  <c r="E2281" i="69"/>
  <c r="C2281" i="69"/>
  <c r="E2280" i="69"/>
  <c r="C2280" i="69"/>
  <c r="E2279" i="69"/>
  <c r="C2279" i="69"/>
  <c r="E2278" i="69"/>
  <c r="C2278" i="69"/>
  <c r="E2277" i="69"/>
  <c r="C2277" i="69"/>
  <c r="E2276" i="69"/>
  <c r="C2276" i="69"/>
  <c r="E2275" i="69"/>
  <c r="C2275" i="69"/>
  <c r="E2274" i="69"/>
  <c r="C2274" i="69"/>
  <c r="E2273" i="69"/>
  <c r="C2273" i="69"/>
  <c r="E2272" i="69"/>
  <c r="C2272" i="69"/>
  <c r="E2271" i="69"/>
  <c r="C2271" i="69"/>
  <c r="E2270" i="69"/>
  <c r="C2270" i="69"/>
  <c r="E2269" i="69"/>
  <c r="C2269" i="69"/>
  <c r="E2268" i="69"/>
  <c r="C2268" i="69"/>
  <c r="E2267" i="69"/>
  <c r="C2267" i="69"/>
  <c r="E2266" i="69"/>
  <c r="C2266" i="69"/>
  <c r="E2265" i="69"/>
  <c r="C2265" i="69"/>
  <c r="E2264" i="69"/>
  <c r="C2264" i="69"/>
  <c r="E2263" i="69"/>
  <c r="C2263" i="69"/>
  <c r="E2262" i="69"/>
  <c r="C2262" i="69"/>
  <c r="E2261" i="69"/>
  <c r="C2261" i="69"/>
  <c r="E2260" i="69"/>
  <c r="C2260" i="69"/>
  <c r="E2259" i="69"/>
  <c r="C2259" i="69"/>
  <c r="E2258" i="69"/>
  <c r="C2258" i="69"/>
  <c r="E2257" i="69"/>
  <c r="C2257" i="69"/>
  <c r="E2256" i="69"/>
  <c r="C2256" i="69"/>
  <c r="E2255" i="69"/>
  <c r="C2255" i="69"/>
  <c r="E2254" i="69"/>
  <c r="C2254" i="69"/>
  <c r="E2253" i="69"/>
  <c r="C2253" i="69"/>
  <c r="E2252" i="69"/>
  <c r="C2252" i="69"/>
  <c r="E2251" i="69"/>
  <c r="C2251" i="69"/>
  <c r="E2250" i="69"/>
  <c r="C2250" i="69"/>
  <c r="E2249" i="69"/>
  <c r="C2249" i="69"/>
  <c r="E2248" i="69"/>
  <c r="C2248" i="69"/>
  <c r="E2247" i="69"/>
  <c r="C2247" i="69"/>
  <c r="E2246" i="69"/>
  <c r="C2246" i="69"/>
  <c r="E2245" i="69"/>
  <c r="C2245" i="69"/>
  <c r="E2244" i="69"/>
  <c r="C2244" i="69"/>
  <c r="E2243" i="69"/>
  <c r="C2243" i="69"/>
  <c r="E2242" i="69"/>
  <c r="C2242" i="69"/>
  <c r="E2241" i="69"/>
  <c r="C2241" i="69"/>
  <c r="E2240" i="69"/>
  <c r="C2240" i="69"/>
  <c r="E2239" i="69"/>
  <c r="C2239" i="69"/>
  <c r="E2238" i="69"/>
  <c r="C2238" i="69"/>
  <c r="E2237" i="69"/>
  <c r="C2237" i="69"/>
  <c r="E2236" i="69"/>
  <c r="C2236" i="69"/>
  <c r="E2235" i="69"/>
  <c r="C2235" i="69"/>
  <c r="E2234" i="69"/>
  <c r="C2234" i="69"/>
  <c r="E2233" i="69"/>
  <c r="C2233" i="69"/>
  <c r="E2232" i="69"/>
  <c r="C2232" i="69"/>
  <c r="E2231" i="69"/>
  <c r="C2231" i="69"/>
  <c r="E2230" i="69"/>
  <c r="C2230" i="69"/>
  <c r="E2229" i="69"/>
  <c r="C2229" i="69"/>
  <c r="E2228" i="69"/>
  <c r="C2228" i="69"/>
  <c r="E2227" i="69"/>
  <c r="C2227" i="69"/>
  <c r="E2226" i="69"/>
  <c r="C2226" i="69"/>
  <c r="E2225" i="69"/>
  <c r="C2225" i="69"/>
  <c r="E2224" i="69"/>
  <c r="C2224" i="69"/>
  <c r="E2223" i="69"/>
  <c r="C2223" i="69"/>
  <c r="E2222" i="69"/>
  <c r="C2222" i="69"/>
  <c r="E2221" i="69"/>
  <c r="C2221" i="69"/>
  <c r="E2220" i="69"/>
  <c r="C2220" i="69"/>
  <c r="E2219" i="69"/>
  <c r="C2219" i="69"/>
  <c r="E2218" i="69"/>
  <c r="C2218" i="69"/>
  <c r="E2217" i="69"/>
  <c r="C2217" i="69"/>
  <c r="E2216" i="69"/>
  <c r="C2216" i="69"/>
  <c r="E2215" i="69"/>
  <c r="C2215" i="69"/>
  <c r="E2214" i="69"/>
  <c r="C2214" i="69"/>
  <c r="E2213" i="69"/>
  <c r="C2213" i="69"/>
  <c r="E2212" i="69"/>
  <c r="C2212" i="69"/>
  <c r="E2211" i="69"/>
  <c r="C2211" i="69"/>
  <c r="E2210" i="69"/>
  <c r="C2210" i="69"/>
  <c r="E2209" i="69"/>
  <c r="C2209" i="69"/>
  <c r="E2208" i="69"/>
  <c r="C2208" i="69"/>
  <c r="E2207" i="69"/>
  <c r="C2207" i="69"/>
  <c r="E2206" i="69"/>
  <c r="C2206" i="69"/>
  <c r="E2205" i="69"/>
  <c r="C2205" i="69"/>
  <c r="E2204" i="69"/>
  <c r="C2204" i="69"/>
  <c r="E2203" i="69"/>
  <c r="C2203" i="69"/>
  <c r="E2202" i="69"/>
  <c r="C2202" i="69"/>
  <c r="E2201" i="69"/>
  <c r="C2201" i="69"/>
  <c r="E2200" i="69"/>
  <c r="C2200" i="69"/>
  <c r="E2199" i="69"/>
  <c r="C2199" i="69"/>
  <c r="E2198" i="69"/>
  <c r="C2198" i="69"/>
  <c r="E2197" i="69"/>
  <c r="C2197" i="69"/>
  <c r="E2196" i="69"/>
  <c r="C2196" i="69"/>
  <c r="E2195" i="69"/>
  <c r="C2195" i="69"/>
  <c r="E2194" i="69"/>
  <c r="C2194" i="69"/>
  <c r="E2193" i="69"/>
  <c r="C2193" i="69"/>
  <c r="E2192" i="69"/>
  <c r="C2192" i="69"/>
  <c r="E2191" i="69"/>
  <c r="C2191" i="69"/>
  <c r="E2190" i="69"/>
  <c r="C2190" i="69"/>
  <c r="E2189" i="69"/>
  <c r="C2189" i="69"/>
  <c r="E2188" i="69"/>
  <c r="C2188" i="69"/>
  <c r="E2187" i="69"/>
  <c r="C2187" i="69"/>
  <c r="E2186" i="69"/>
  <c r="C2186" i="69"/>
  <c r="E2185" i="69"/>
  <c r="C2185" i="69"/>
  <c r="E2184" i="69"/>
  <c r="C2184" i="69"/>
  <c r="E2183" i="69"/>
  <c r="C2183" i="69"/>
  <c r="E2182" i="69"/>
  <c r="C2182" i="69"/>
  <c r="E2181" i="69"/>
  <c r="C2181" i="69"/>
  <c r="E2180" i="69"/>
  <c r="C2180" i="69"/>
  <c r="E2179" i="69"/>
  <c r="C2179" i="69"/>
  <c r="E2178" i="69"/>
  <c r="C2178" i="69"/>
  <c r="E2177" i="69"/>
  <c r="C2177" i="69"/>
  <c r="E2176" i="69"/>
  <c r="C2176" i="69"/>
  <c r="E2175" i="69"/>
  <c r="C2175" i="69"/>
  <c r="E2174" i="69"/>
  <c r="C2174" i="69"/>
  <c r="E2173" i="69"/>
  <c r="C2173" i="69"/>
  <c r="E2172" i="69"/>
  <c r="C2172" i="69"/>
  <c r="E2171" i="69"/>
  <c r="C2171" i="69"/>
  <c r="E2170" i="69"/>
  <c r="C2170" i="69"/>
  <c r="E2169" i="69"/>
  <c r="C2169" i="69"/>
  <c r="E2168" i="69"/>
  <c r="C2168" i="69"/>
  <c r="E2167" i="69"/>
  <c r="C2167" i="69"/>
  <c r="E2166" i="69"/>
  <c r="C2166" i="69"/>
  <c r="E2165" i="69"/>
  <c r="C2165" i="69"/>
  <c r="E2164" i="69"/>
  <c r="C2164" i="69"/>
  <c r="E2163" i="69"/>
  <c r="C2163" i="69"/>
  <c r="E2162" i="69"/>
  <c r="C2162" i="69"/>
  <c r="E2161" i="69"/>
  <c r="C2161" i="69"/>
  <c r="E2160" i="69"/>
  <c r="C2160" i="69"/>
  <c r="E2159" i="69"/>
  <c r="C2159" i="69"/>
  <c r="E2158" i="69"/>
  <c r="C2158" i="69"/>
  <c r="E2157" i="69"/>
  <c r="C2157" i="69"/>
  <c r="E2156" i="69"/>
  <c r="C2156" i="69"/>
  <c r="E2155" i="69"/>
  <c r="C2155" i="69"/>
  <c r="E2154" i="69"/>
  <c r="C2154" i="69"/>
  <c r="E2153" i="69"/>
  <c r="C2153" i="69"/>
  <c r="E2152" i="69"/>
  <c r="C2152" i="69"/>
  <c r="E2151" i="69"/>
  <c r="C2151" i="69"/>
  <c r="E2150" i="69"/>
  <c r="C2150" i="69"/>
  <c r="E2149" i="69"/>
  <c r="C2149" i="69"/>
  <c r="E2148" i="69"/>
  <c r="C2148" i="69"/>
  <c r="E2147" i="69"/>
  <c r="C2147" i="69"/>
  <c r="E2146" i="69"/>
  <c r="C2146" i="69"/>
  <c r="E2145" i="69"/>
  <c r="C2145" i="69"/>
  <c r="E2144" i="69"/>
  <c r="C2144" i="69"/>
  <c r="E2143" i="69"/>
  <c r="C2143" i="69"/>
  <c r="E2142" i="69"/>
  <c r="C2142" i="69"/>
  <c r="E2141" i="69"/>
  <c r="C2141" i="69"/>
  <c r="E2140" i="69"/>
  <c r="C2140" i="69"/>
  <c r="E2139" i="69"/>
  <c r="C2139" i="69"/>
  <c r="E2138" i="69"/>
  <c r="C2138" i="69"/>
  <c r="E2137" i="69"/>
  <c r="C2137" i="69"/>
  <c r="E2136" i="69"/>
  <c r="C2136" i="69"/>
  <c r="E2135" i="69"/>
  <c r="C2135" i="69"/>
  <c r="E2134" i="69"/>
  <c r="C2134" i="69"/>
  <c r="E2133" i="69"/>
  <c r="C2133" i="69"/>
  <c r="E2132" i="69"/>
  <c r="C2132" i="69"/>
  <c r="E2131" i="69"/>
  <c r="C2131" i="69"/>
  <c r="E2130" i="69"/>
  <c r="C2130" i="69"/>
  <c r="E2129" i="69"/>
  <c r="C2129" i="69"/>
  <c r="E2128" i="69"/>
  <c r="C2128" i="69"/>
  <c r="E2127" i="69"/>
  <c r="C2127" i="69"/>
  <c r="E2126" i="69"/>
  <c r="C2126" i="69"/>
  <c r="E2125" i="69"/>
  <c r="C2125" i="69"/>
  <c r="E2124" i="69"/>
  <c r="C2124" i="69"/>
  <c r="E2123" i="69"/>
  <c r="C2123" i="69"/>
  <c r="E2122" i="69"/>
  <c r="C2122" i="69"/>
  <c r="E2121" i="69"/>
  <c r="C2121" i="69"/>
  <c r="E2120" i="69"/>
  <c r="C2120" i="69"/>
  <c r="E2119" i="69"/>
  <c r="C2119" i="69"/>
  <c r="E2118" i="69"/>
  <c r="C2118" i="69"/>
  <c r="E2117" i="69"/>
  <c r="C2117" i="69"/>
  <c r="E2116" i="69"/>
  <c r="C2116" i="69"/>
  <c r="E2115" i="69"/>
  <c r="C2115" i="69"/>
  <c r="E2114" i="69"/>
  <c r="C2114" i="69"/>
  <c r="E2113" i="69"/>
  <c r="C2113" i="69"/>
  <c r="E2112" i="69"/>
  <c r="C2112" i="69"/>
  <c r="E2111" i="69"/>
  <c r="C2111" i="69"/>
  <c r="E2110" i="69"/>
  <c r="C2110" i="69"/>
  <c r="E2109" i="69"/>
  <c r="C2109" i="69"/>
  <c r="E2108" i="69"/>
  <c r="C2108" i="69"/>
  <c r="E2107" i="69"/>
  <c r="C2107" i="69"/>
  <c r="E2106" i="69"/>
  <c r="C2106" i="69"/>
  <c r="E2105" i="69"/>
  <c r="C2105" i="69"/>
  <c r="E2104" i="69"/>
  <c r="C2104" i="69"/>
  <c r="E2103" i="69"/>
  <c r="C2103" i="69"/>
  <c r="E2102" i="69"/>
  <c r="C2102" i="69"/>
  <c r="E2101" i="69"/>
  <c r="C2101" i="69"/>
  <c r="E2100" i="69"/>
  <c r="C2100" i="69"/>
  <c r="E2099" i="69"/>
  <c r="C2099" i="69"/>
  <c r="E2098" i="69"/>
  <c r="C2098" i="69"/>
  <c r="E2097" i="69"/>
  <c r="C2097" i="69"/>
  <c r="E2096" i="69"/>
  <c r="C2096" i="69"/>
  <c r="E2095" i="69"/>
  <c r="C2095" i="69"/>
  <c r="E2094" i="69"/>
  <c r="C2094" i="69"/>
  <c r="E2093" i="69"/>
  <c r="C2093" i="69"/>
  <c r="E2092" i="69"/>
  <c r="C2092" i="69"/>
  <c r="E2091" i="69"/>
  <c r="C2091" i="69"/>
  <c r="E2090" i="69"/>
  <c r="C2090" i="69"/>
  <c r="E2089" i="69"/>
  <c r="C2089" i="69"/>
  <c r="E2088" i="69"/>
  <c r="C2088" i="69"/>
  <c r="E2087" i="69"/>
  <c r="C2087" i="69"/>
  <c r="E2086" i="69"/>
  <c r="C2086" i="69"/>
  <c r="E2085" i="69"/>
  <c r="C2085" i="69"/>
  <c r="E2084" i="69"/>
  <c r="C2084" i="69"/>
  <c r="E2083" i="69"/>
  <c r="C2083" i="69"/>
  <c r="E2082" i="69"/>
  <c r="C2082" i="69"/>
  <c r="E2081" i="69"/>
  <c r="C2081" i="69"/>
  <c r="E2080" i="69"/>
  <c r="C2080" i="69"/>
  <c r="E2079" i="69"/>
  <c r="C2079" i="69"/>
  <c r="E2078" i="69"/>
  <c r="C2078" i="69"/>
  <c r="E2077" i="69"/>
  <c r="C2077" i="69"/>
  <c r="E2076" i="69"/>
  <c r="C2076" i="69"/>
  <c r="E2075" i="69"/>
  <c r="C2075" i="69"/>
  <c r="E2074" i="69"/>
  <c r="C2074" i="69"/>
  <c r="E2073" i="69"/>
  <c r="C2073" i="69"/>
  <c r="E2072" i="69"/>
  <c r="C2072" i="69"/>
  <c r="E2071" i="69"/>
  <c r="C2071" i="69"/>
  <c r="E2070" i="69"/>
  <c r="C2070" i="69"/>
  <c r="E2069" i="69"/>
  <c r="C2069" i="69"/>
  <c r="E2068" i="69"/>
  <c r="C2068" i="69"/>
  <c r="E2067" i="69"/>
  <c r="C2067" i="69"/>
  <c r="E2066" i="69"/>
  <c r="C2066" i="69"/>
  <c r="E2065" i="69"/>
  <c r="C2065" i="69"/>
  <c r="E2064" i="69"/>
  <c r="C2064" i="69"/>
  <c r="E2063" i="69"/>
  <c r="C2063" i="69"/>
  <c r="E2062" i="69"/>
  <c r="C2062" i="69"/>
  <c r="E2061" i="69"/>
  <c r="C2061" i="69"/>
  <c r="E2060" i="69"/>
  <c r="C2060" i="69"/>
  <c r="E2059" i="69"/>
  <c r="C2059" i="69"/>
  <c r="E2058" i="69"/>
  <c r="C2058" i="69"/>
  <c r="E2057" i="69"/>
  <c r="C2057" i="69"/>
  <c r="E2056" i="69"/>
  <c r="C2056" i="69"/>
  <c r="E2055" i="69"/>
  <c r="C2055" i="69"/>
  <c r="E2054" i="69"/>
  <c r="C2054" i="69"/>
  <c r="E2053" i="69"/>
  <c r="C2053" i="69"/>
  <c r="E2052" i="69"/>
  <c r="C2052" i="69"/>
  <c r="E2051" i="69"/>
  <c r="C2051" i="69"/>
  <c r="E2050" i="69"/>
  <c r="C2050" i="69"/>
  <c r="E2049" i="69"/>
  <c r="C2049" i="69"/>
  <c r="E2048" i="69"/>
  <c r="C2048" i="69"/>
  <c r="E2047" i="69"/>
  <c r="C2047" i="69"/>
  <c r="E2046" i="69"/>
  <c r="C2046" i="69"/>
  <c r="E2045" i="69"/>
  <c r="C2045" i="69"/>
  <c r="E2044" i="69"/>
  <c r="C2044" i="69"/>
  <c r="E2043" i="69"/>
  <c r="C2043" i="69"/>
  <c r="E2042" i="69"/>
  <c r="C2042" i="69"/>
  <c r="E2041" i="69"/>
  <c r="C2041" i="69"/>
  <c r="E2040" i="69"/>
  <c r="C2040" i="69"/>
  <c r="E2039" i="69"/>
  <c r="C2039" i="69"/>
  <c r="E2038" i="69"/>
  <c r="C2038" i="69"/>
  <c r="E2037" i="69"/>
  <c r="C2037" i="69"/>
  <c r="E2036" i="69"/>
  <c r="C2036" i="69"/>
  <c r="E2035" i="69"/>
  <c r="C2035" i="69"/>
  <c r="E2034" i="69"/>
  <c r="C2034" i="69"/>
  <c r="E2033" i="69"/>
  <c r="C2033" i="69"/>
  <c r="E2032" i="69"/>
  <c r="C2032" i="69"/>
  <c r="E2031" i="69"/>
  <c r="C2031" i="69"/>
  <c r="E2030" i="69"/>
  <c r="C2030" i="69"/>
  <c r="E2029" i="69"/>
  <c r="C2029" i="69"/>
  <c r="E2028" i="69"/>
  <c r="C2028" i="69"/>
  <c r="E2027" i="69"/>
  <c r="C2027" i="69"/>
  <c r="E2026" i="69"/>
  <c r="C2026" i="69"/>
  <c r="E2025" i="69"/>
  <c r="C2025" i="69"/>
  <c r="E2024" i="69"/>
  <c r="C2024" i="69"/>
  <c r="E2023" i="69"/>
  <c r="C2023" i="69"/>
  <c r="E2022" i="69"/>
  <c r="C2022" i="69"/>
  <c r="E2021" i="69"/>
  <c r="C2021" i="69"/>
  <c r="E2020" i="69"/>
  <c r="C2020" i="69"/>
  <c r="E2019" i="69"/>
  <c r="C2019" i="69"/>
  <c r="E2018" i="69"/>
  <c r="C2018" i="69"/>
  <c r="E2017" i="69"/>
  <c r="C2017" i="69"/>
  <c r="E2016" i="69"/>
  <c r="C2016" i="69"/>
  <c r="E2015" i="69"/>
  <c r="C2015" i="69"/>
  <c r="E2014" i="69"/>
  <c r="C2014" i="69"/>
  <c r="E2013" i="69"/>
  <c r="C2013" i="69"/>
  <c r="E2012" i="69"/>
  <c r="C2012" i="69"/>
  <c r="E2011" i="69"/>
  <c r="C2011" i="69"/>
  <c r="E2010" i="69"/>
  <c r="C2010" i="69"/>
  <c r="E2009" i="69"/>
  <c r="C2009" i="69"/>
  <c r="E2008" i="69"/>
  <c r="C2008" i="69"/>
  <c r="E2007" i="69"/>
  <c r="C2007" i="69"/>
  <c r="E2006" i="69"/>
  <c r="C2006" i="69"/>
  <c r="E2005" i="69"/>
  <c r="C2005" i="69"/>
  <c r="E2004" i="69"/>
  <c r="C2004" i="69"/>
  <c r="E2003" i="69"/>
  <c r="C2003" i="69"/>
  <c r="E2002" i="69"/>
  <c r="C2002" i="69"/>
  <c r="E2001" i="69"/>
  <c r="C2001" i="69"/>
  <c r="E2000" i="69"/>
  <c r="C2000" i="69"/>
  <c r="E1999" i="69"/>
  <c r="C1999" i="69"/>
  <c r="E1998" i="69"/>
  <c r="C1998" i="69"/>
  <c r="E1997" i="69"/>
  <c r="C1997" i="69"/>
  <c r="E1996" i="69"/>
  <c r="C1996" i="69"/>
  <c r="E1995" i="69"/>
  <c r="C1995" i="69"/>
  <c r="E1994" i="69"/>
  <c r="C1994" i="69"/>
  <c r="E1993" i="69"/>
  <c r="C1993" i="69"/>
  <c r="E1992" i="69"/>
  <c r="C1992" i="69"/>
  <c r="E1991" i="69"/>
  <c r="C1991" i="69"/>
  <c r="E1990" i="69"/>
  <c r="C1990" i="69"/>
  <c r="E1989" i="69"/>
  <c r="C1989" i="69"/>
  <c r="E1988" i="69"/>
  <c r="C1988" i="69"/>
  <c r="E1987" i="69"/>
  <c r="C1987" i="69"/>
  <c r="E1986" i="69"/>
  <c r="C1986" i="69"/>
  <c r="E1985" i="69"/>
  <c r="C1985" i="69"/>
  <c r="E1984" i="69"/>
  <c r="C1984" i="69"/>
  <c r="E1983" i="69"/>
  <c r="C1983" i="69"/>
  <c r="E1982" i="69"/>
  <c r="C1982" i="69"/>
  <c r="E1981" i="69"/>
  <c r="C1981" i="69"/>
  <c r="E1980" i="69"/>
  <c r="C1980" i="69"/>
  <c r="E1979" i="69"/>
  <c r="C1979" i="69"/>
  <c r="E1978" i="69"/>
  <c r="C1978" i="69"/>
  <c r="E1977" i="69"/>
  <c r="C1977" i="69"/>
  <c r="E1976" i="69"/>
  <c r="C1976" i="69"/>
  <c r="E1975" i="69"/>
  <c r="C1975" i="69"/>
  <c r="E1974" i="69"/>
  <c r="C1974" i="69"/>
  <c r="E1973" i="69"/>
  <c r="C1973" i="69"/>
  <c r="E1972" i="69"/>
  <c r="C1972" i="69"/>
  <c r="E1971" i="69"/>
  <c r="C1971" i="69"/>
  <c r="E1970" i="69"/>
  <c r="C1970" i="69"/>
  <c r="E1969" i="69"/>
  <c r="C1969" i="69"/>
  <c r="E1968" i="69"/>
  <c r="C1968" i="69"/>
  <c r="E1967" i="69"/>
  <c r="C1967" i="69"/>
  <c r="E1966" i="69"/>
  <c r="C1966" i="69"/>
  <c r="E1965" i="69"/>
  <c r="C1965" i="69"/>
  <c r="E1964" i="69"/>
  <c r="C1964" i="69"/>
  <c r="E1963" i="69"/>
  <c r="C1963" i="69"/>
  <c r="E1962" i="69"/>
  <c r="C1962" i="69"/>
  <c r="E1961" i="69"/>
  <c r="C1961" i="69"/>
  <c r="E1960" i="69"/>
  <c r="C1960" i="69"/>
  <c r="E1959" i="69"/>
  <c r="C1959" i="69"/>
  <c r="E1958" i="69"/>
  <c r="C1958" i="69"/>
  <c r="E1957" i="69"/>
  <c r="C1957" i="69"/>
  <c r="E1956" i="69"/>
  <c r="C1956" i="69"/>
  <c r="E1955" i="69"/>
  <c r="C1955" i="69"/>
  <c r="E1954" i="69"/>
  <c r="C1954" i="69"/>
  <c r="E1953" i="69"/>
  <c r="C1953" i="69"/>
  <c r="E1952" i="69"/>
  <c r="C1952" i="69"/>
  <c r="E1951" i="69"/>
  <c r="C1951" i="69"/>
  <c r="E1950" i="69"/>
  <c r="C1950" i="69"/>
  <c r="E1949" i="69"/>
  <c r="C1949" i="69"/>
  <c r="E1948" i="69"/>
  <c r="C1948" i="69"/>
  <c r="E1947" i="69"/>
  <c r="C1947" i="69"/>
  <c r="E1946" i="69"/>
  <c r="C1946" i="69"/>
  <c r="E1945" i="69"/>
  <c r="C1945" i="69"/>
  <c r="E1944" i="69"/>
  <c r="C1944" i="69"/>
  <c r="E1943" i="69"/>
  <c r="C1943" i="69"/>
  <c r="E1942" i="69"/>
  <c r="C1942" i="69"/>
  <c r="E1941" i="69"/>
  <c r="C1941" i="69"/>
  <c r="E1940" i="69"/>
  <c r="C1940" i="69"/>
  <c r="E1939" i="69"/>
  <c r="C1939" i="69"/>
  <c r="E1938" i="69"/>
  <c r="C1938" i="69"/>
  <c r="E1937" i="69"/>
  <c r="C1937" i="69"/>
  <c r="E1936" i="69"/>
  <c r="C1936" i="69"/>
  <c r="E1935" i="69"/>
  <c r="C1935" i="69"/>
  <c r="E1934" i="69"/>
  <c r="C1934" i="69"/>
  <c r="E1933" i="69"/>
  <c r="C1933" i="69"/>
  <c r="E1932" i="69"/>
  <c r="C1932" i="69"/>
  <c r="E1931" i="69"/>
  <c r="C1931" i="69"/>
  <c r="E1930" i="69"/>
  <c r="C1930" i="69"/>
  <c r="E1929" i="69"/>
  <c r="C1929" i="69"/>
  <c r="E1928" i="69"/>
  <c r="C1928" i="69"/>
  <c r="E1927" i="69"/>
  <c r="C1927" i="69"/>
  <c r="E1926" i="69"/>
  <c r="C1926" i="69"/>
  <c r="E1925" i="69"/>
  <c r="C1925" i="69"/>
  <c r="E1924" i="69"/>
  <c r="C1924" i="69"/>
  <c r="E1923" i="69"/>
  <c r="C1923" i="69"/>
  <c r="E1922" i="69"/>
  <c r="C1922" i="69"/>
  <c r="E1921" i="69"/>
  <c r="C1921" i="69"/>
  <c r="E1920" i="69"/>
  <c r="C1920" i="69"/>
  <c r="E1919" i="69"/>
  <c r="C1919" i="69"/>
  <c r="E1918" i="69"/>
  <c r="C1918" i="69"/>
  <c r="E1917" i="69"/>
  <c r="C1917" i="69"/>
  <c r="E1916" i="69"/>
  <c r="C1916" i="69"/>
  <c r="E1915" i="69"/>
  <c r="C1915" i="69"/>
  <c r="E1914" i="69"/>
  <c r="C1914" i="69"/>
  <c r="E1913" i="69"/>
  <c r="C1913" i="69"/>
  <c r="E1912" i="69"/>
  <c r="C1912" i="69"/>
  <c r="E1911" i="69"/>
  <c r="C1911" i="69"/>
  <c r="E1910" i="69"/>
  <c r="C1910" i="69"/>
  <c r="E1909" i="69"/>
  <c r="C1909" i="69"/>
  <c r="E1908" i="69"/>
  <c r="C1908" i="69"/>
  <c r="E1907" i="69"/>
  <c r="C1907" i="69"/>
  <c r="E1906" i="69"/>
  <c r="C1906" i="69"/>
  <c r="E1905" i="69"/>
  <c r="C1905" i="69"/>
  <c r="E1904" i="69"/>
  <c r="C1904" i="69"/>
  <c r="E1903" i="69"/>
  <c r="C1903" i="69"/>
  <c r="E1902" i="69"/>
  <c r="C1902" i="69"/>
  <c r="E1901" i="69"/>
  <c r="C1901" i="69"/>
  <c r="E1900" i="69"/>
  <c r="C1900" i="69"/>
  <c r="E1899" i="69"/>
  <c r="C1899" i="69"/>
  <c r="E1898" i="69"/>
  <c r="C1898" i="69"/>
  <c r="E1897" i="69"/>
  <c r="C1897" i="69"/>
  <c r="E1896" i="69"/>
  <c r="C1896" i="69"/>
  <c r="E1895" i="69"/>
  <c r="C1895" i="69"/>
  <c r="E1894" i="69"/>
  <c r="C1894" i="69"/>
  <c r="E1893" i="69"/>
  <c r="C1893" i="69"/>
  <c r="E1892" i="69"/>
  <c r="C1892" i="69"/>
  <c r="E1891" i="69"/>
  <c r="C1891" i="69"/>
  <c r="E1890" i="69"/>
  <c r="C1890" i="69"/>
  <c r="E1889" i="69"/>
  <c r="C1889" i="69"/>
  <c r="E1888" i="69"/>
  <c r="C1888" i="69"/>
  <c r="E1887" i="69"/>
  <c r="C1887" i="69"/>
  <c r="E1886" i="69"/>
  <c r="C1886" i="69"/>
  <c r="E1885" i="69"/>
  <c r="C1885" i="69"/>
  <c r="E1884" i="69"/>
  <c r="C1884" i="69"/>
  <c r="E1883" i="69"/>
  <c r="C1883" i="69"/>
  <c r="E1882" i="69"/>
  <c r="C1882" i="69"/>
  <c r="E1881" i="69"/>
  <c r="C1881" i="69"/>
  <c r="E1880" i="69"/>
  <c r="C1880" i="69"/>
  <c r="E1879" i="69"/>
  <c r="C1879" i="69"/>
  <c r="E1878" i="69"/>
  <c r="C1878" i="69"/>
  <c r="E1877" i="69"/>
  <c r="C1877" i="69"/>
  <c r="E1876" i="69"/>
  <c r="C1876" i="69"/>
  <c r="E1875" i="69"/>
  <c r="C1875" i="69"/>
  <c r="E1874" i="69"/>
  <c r="C1874" i="69"/>
  <c r="E1873" i="69"/>
  <c r="C1873" i="69"/>
  <c r="E1872" i="69"/>
  <c r="C1872" i="69"/>
  <c r="E1871" i="69"/>
  <c r="C1871" i="69"/>
  <c r="E1870" i="69"/>
  <c r="C1870" i="69"/>
  <c r="E1869" i="69"/>
  <c r="C1869" i="69"/>
  <c r="E1868" i="69"/>
  <c r="C1868" i="69"/>
  <c r="E1867" i="69"/>
  <c r="C1867" i="69"/>
  <c r="E1866" i="69"/>
  <c r="C1866" i="69"/>
  <c r="E1865" i="69"/>
  <c r="C1865" i="69"/>
  <c r="E1864" i="69"/>
  <c r="C1864" i="69"/>
  <c r="E1863" i="69"/>
  <c r="C1863" i="69"/>
  <c r="E1862" i="69"/>
  <c r="C1862" i="69"/>
  <c r="E1861" i="69"/>
  <c r="C1861" i="69"/>
  <c r="E1860" i="69"/>
  <c r="C1860" i="69"/>
  <c r="E1859" i="69"/>
  <c r="C1859" i="69"/>
  <c r="E1858" i="69"/>
  <c r="C1858" i="69"/>
  <c r="E1857" i="69"/>
  <c r="C1857" i="69"/>
  <c r="E1856" i="69"/>
  <c r="C1856" i="69"/>
  <c r="E1855" i="69"/>
  <c r="C1855" i="69"/>
  <c r="E1854" i="69"/>
  <c r="C1854" i="69"/>
  <c r="E1853" i="69"/>
  <c r="C1853" i="69"/>
  <c r="E1852" i="69"/>
  <c r="C1852" i="69"/>
  <c r="E1851" i="69"/>
  <c r="C1851" i="69"/>
  <c r="E1850" i="69"/>
  <c r="C1850" i="69"/>
  <c r="E1849" i="69"/>
  <c r="C1849" i="69"/>
  <c r="E1848" i="69"/>
  <c r="C1848" i="69"/>
  <c r="E1847" i="69"/>
  <c r="C1847" i="69"/>
  <c r="E1846" i="69"/>
  <c r="C1846" i="69"/>
  <c r="E1845" i="69"/>
  <c r="C1845" i="69"/>
  <c r="E1844" i="69"/>
  <c r="C1844" i="69"/>
  <c r="E1843" i="69"/>
  <c r="C1843" i="69"/>
  <c r="E1842" i="69"/>
  <c r="C1842" i="69"/>
  <c r="E1841" i="69"/>
  <c r="C1841" i="69"/>
  <c r="E1840" i="69"/>
  <c r="C1840" i="69"/>
  <c r="E1839" i="69"/>
  <c r="C1839" i="69"/>
  <c r="E1838" i="69"/>
  <c r="C1838" i="69"/>
  <c r="E1837" i="69"/>
  <c r="C1837" i="69"/>
  <c r="E1836" i="69"/>
  <c r="C1836" i="69"/>
  <c r="E1835" i="69"/>
  <c r="C1835" i="69"/>
  <c r="E1834" i="69"/>
  <c r="C1834" i="69"/>
  <c r="E1833" i="69"/>
  <c r="C1833" i="69"/>
  <c r="E1832" i="69"/>
  <c r="C1832" i="69"/>
  <c r="E1831" i="69"/>
  <c r="C1831" i="69"/>
  <c r="E1830" i="69"/>
  <c r="C1830" i="69"/>
  <c r="E1829" i="69"/>
  <c r="C1829" i="69"/>
  <c r="E1828" i="69"/>
  <c r="C1828" i="69"/>
  <c r="E1827" i="69"/>
  <c r="C1827" i="69"/>
  <c r="E1826" i="69"/>
  <c r="C1826" i="69"/>
  <c r="E1825" i="69"/>
  <c r="C1825" i="69"/>
  <c r="E1824" i="69"/>
  <c r="C1824" i="69"/>
  <c r="E1823" i="69"/>
  <c r="C1823" i="69"/>
  <c r="E1822" i="69"/>
  <c r="C1822" i="69"/>
  <c r="E1821" i="69"/>
  <c r="C1821" i="69"/>
  <c r="E1820" i="69"/>
  <c r="C1820" i="69"/>
  <c r="E1819" i="69"/>
  <c r="C1819" i="69"/>
  <c r="E1818" i="69"/>
  <c r="C1818" i="69"/>
  <c r="E1817" i="69"/>
  <c r="C1817" i="69"/>
  <c r="E1816" i="69"/>
  <c r="C1816" i="69"/>
  <c r="E1815" i="69"/>
  <c r="C1815" i="69"/>
  <c r="E1814" i="69"/>
  <c r="C1814" i="69"/>
  <c r="E1813" i="69"/>
  <c r="C1813" i="69"/>
  <c r="E1812" i="69"/>
  <c r="C1812" i="69"/>
  <c r="E1811" i="69"/>
  <c r="C1811" i="69"/>
  <c r="E1810" i="69"/>
  <c r="C1810" i="69"/>
  <c r="E1809" i="69"/>
  <c r="C1809" i="69"/>
  <c r="E1808" i="69"/>
  <c r="C1808" i="69"/>
  <c r="E1807" i="69"/>
  <c r="C1807" i="69"/>
  <c r="E1806" i="69"/>
  <c r="C1806" i="69"/>
  <c r="E1805" i="69"/>
  <c r="C1805" i="69"/>
  <c r="E1804" i="69"/>
  <c r="C1804" i="69"/>
  <c r="E1803" i="69"/>
  <c r="C1803" i="69"/>
  <c r="E1802" i="69"/>
  <c r="C1802" i="69"/>
  <c r="E1801" i="69"/>
  <c r="C1801" i="69"/>
  <c r="E1800" i="69"/>
  <c r="C1800" i="69"/>
  <c r="E1799" i="69"/>
  <c r="C1799" i="69"/>
  <c r="E1798" i="69"/>
  <c r="C1798" i="69"/>
  <c r="E1797" i="69"/>
  <c r="C1797" i="69"/>
  <c r="E1796" i="69"/>
  <c r="C1796" i="69"/>
  <c r="E1795" i="69"/>
  <c r="C1795" i="69"/>
  <c r="E1794" i="69"/>
  <c r="C1794" i="69"/>
  <c r="E1793" i="69"/>
  <c r="C1793" i="69"/>
  <c r="E1792" i="69"/>
  <c r="C1792" i="69"/>
  <c r="E1791" i="69"/>
  <c r="C1791" i="69"/>
  <c r="E1790" i="69"/>
  <c r="C1790" i="69"/>
  <c r="E1789" i="69"/>
  <c r="C1789" i="69"/>
  <c r="E1788" i="69"/>
  <c r="C1788" i="69"/>
  <c r="E1787" i="69"/>
  <c r="C1787" i="69"/>
  <c r="E1786" i="69"/>
  <c r="C1786" i="69"/>
  <c r="E1785" i="69"/>
  <c r="C1785" i="69"/>
  <c r="E1784" i="69"/>
  <c r="C1784" i="69"/>
  <c r="E1783" i="69"/>
  <c r="C1783" i="69"/>
  <c r="E1782" i="69"/>
  <c r="C1782" i="69"/>
  <c r="E1781" i="69"/>
  <c r="C1781" i="69"/>
  <c r="E1780" i="69"/>
  <c r="C1780" i="69"/>
  <c r="E1779" i="69"/>
  <c r="C1779" i="69"/>
  <c r="E1778" i="69"/>
  <c r="C1778" i="69"/>
  <c r="E1777" i="69"/>
  <c r="C1777" i="69"/>
  <c r="E1776" i="69"/>
  <c r="C1776" i="69"/>
  <c r="E1775" i="69"/>
  <c r="C1775" i="69"/>
  <c r="E1774" i="69"/>
  <c r="C1774" i="69"/>
  <c r="E1773" i="69"/>
  <c r="C1773" i="69"/>
  <c r="E1772" i="69"/>
  <c r="C1772" i="69"/>
  <c r="E1771" i="69"/>
  <c r="C1771" i="69"/>
  <c r="E1770" i="69"/>
  <c r="C1770" i="69"/>
  <c r="E1769" i="69"/>
  <c r="C1769" i="69"/>
  <c r="E1768" i="69"/>
  <c r="C1768" i="69"/>
  <c r="E1767" i="69"/>
  <c r="C1767" i="69"/>
  <c r="E1766" i="69"/>
  <c r="C1766" i="69"/>
  <c r="E1765" i="69"/>
  <c r="C1765" i="69"/>
  <c r="E1764" i="69"/>
  <c r="C1764" i="69"/>
  <c r="E1763" i="69"/>
  <c r="C1763" i="69"/>
  <c r="E1762" i="69"/>
  <c r="C1762" i="69"/>
  <c r="E1761" i="69"/>
  <c r="C1761" i="69"/>
  <c r="E1760" i="69"/>
  <c r="C1760" i="69"/>
  <c r="E1759" i="69"/>
  <c r="C1759" i="69"/>
  <c r="E1758" i="69"/>
  <c r="C1758" i="69"/>
  <c r="E1757" i="69"/>
  <c r="C1757" i="69"/>
  <c r="E1756" i="69"/>
  <c r="C1756" i="69"/>
  <c r="E1755" i="69"/>
  <c r="C1755" i="69"/>
  <c r="E1754" i="69"/>
  <c r="C1754" i="69"/>
  <c r="E1753" i="69"/>
  <c r="C1753" i="69"/>
  <c r="E1752" i="69"/>
  <c r="C1752" i="69"/>
  <c r="E1751" i="69"/>
  <c r="C1751" i="69"/>
  <c r="E1750" i="69"/>
  <c r="C1750" i="69"/>
  <c r="E1749" i="69"/>
  <c r="C1749" i="69"/>
  <c r="E1748" i="69"/>
  <c r="C1748" i="69"/>
  <c r="E1747" i="69"/>
  <c r="C1747" i="69"/>
  <c r="E1746" i="69"/>
  <c r="C1746" i="69"/>
  <c r="E1745" i="69"/>
  <c r="C1745" i="69"/>
  <c r="E1744" i="69"/>
  <c r="C1744" i="69"/>
  <c r="E1743" i="69"/>
  <c r="C1743" i="69"/>
  <c r="E1742" i="69"/>
  <c r="C1742" i="69"/>
  <c r="E1741" i="69"/>
  <c r="C1741" i="69"/>
  <c r="E1740" i="69"/>
  <c r="C1740" i="69"/>
  <c r="E1739" i="69"/>
  <c r="C1739" i="69"/>
  <c r="E1738" i="69"/>
  <c r="C1738" i="69"/>
  <c r="E1737" i="69"/>
  <c r="C1737" i="69"/>
  <c r="E1736" i="69"/>
  <c r="C1736" i="69"/>
  <c r="E1735" i="69"/>
  <c r="C1735" i="69"/>
  <c r="E1734" i="69"/>
  <c r="C1734" i="69"/>
  <c r="E1733" i="69"/>
  <c r="C1733" i="69"/>
  <c r="E1732" i="69"/>
  <c r="C1732" i="69"/>
  <c r="E1731" i="69"/>
  <c r="C1731" i="69"/>
  <c r="E1730" i="69"/>
  <c r="C1730" i="69"/>
  <c r="E1729" i="69"/>
  <c r="C1729" i="69"/>
  <c r="E1728" i="69"/>
  <c r="C1728" i="69"/>
  <c r="E1727" i="69"/>
  <c r="C1727" i="69"/>
  <c r="E1726" i="69"/>
  <c r="C1726" i="69"/>
  <c r="E1725" i="69"/>
  <c r="C1725" i="69"/>
  <c r="E1724" i="69"/>
  <c r="C1724" i="69"/>
  <c r="E1723" i="69"/>
  <c r="C1723" i="69"/>
  <c r="E1722" i="69"/>
  <c r="C1722" i="69"/>
  <c r="E1721" i="69"/>
  <c r="C1721" i="69"/>
  <c r="E1720" i="69"/>
  <c r="C1720" i="69"/>
  <c r="E1719" i="69"/>
  <c r="C1719" i="69"/>
  <c r="E1718" i="69"/>
  <c r="C1718" i="69"/>
  <c r="E1717" i="69"/>
  <c r="C1717" i="69"/>
  <c r="E1716" i="69"/>
  <c r="C1716" i="69"/>
  <c r="E1715" i="69"/>
  <c r="C1715" i="69"/>
  <c r="E1714" i="69"/>
  <c r="C1714" i="69"/>
  <c r="E1713" i="69"/>
  <c r="C1713" i="69"/>
  <c r="E1712" i="69"/>
  <c r="C1712" i="69"/>
  <c r="E1711" i="69"/>
  <c r="C1711" i="69"/>
  <c r="E1710" i="69"/>
  <c r="C1710" i="69"/>
  <c r="E1709" i="69"/>
  <c r="C1709" i="69"/>
  <c r="E1708" i="69"/>
  <c r="C1708" i="69"/>
  <c r="E1707" i="69"/>
  <c r="C1707" i="69"/>
  <c r="E1706" i="69"/>
  <c r="C1706" i="69"/>
  <c r="E1705" i="69"/>
  <c r="C1705" i="69"/>
  <c r="E1704" i="69"/>
  <c r="C1704" i="69"/>
  <c r="E1703" i="69"/>
  <c r="C1703" i="69"/>
  <c r="E1702" i="69"/>
  <c r="C1702" i="69"/>
  <c r="E1701" i="69"/>
  <c r="C1701" i="69"/>
  <c r="E1700" i="69"/>
  <c r="C1700" i="69"/>
  <c r="E1699" i="69"/>
  <c r="C1699" i="69"/>
  <c r="E1698" i="69"/>
  <c r="C1698" i="69"/>
  <c r="E1697" i="69"/>
  <c r="C1697" i="69"/>
  <c r="E1696" i="69"/>
  <c r="C1696" i="69"/>
  <c r="E1695" i="69"/>
  <c r="C1695" i="69"/>
  <c r="E1694" i="69"/>
  <c r="C1694" i="69"/>
  <c r="E1693" i="69"/>
  <c r="C1693" i="69"/>
  <c r="E1692" i="69"/>
  <c r="C1692" i="69"/>
  <c r="E1691" i="69"/>
  <c r="C1691" i="69"/>
  <c r="E1690" i="69"/>
  <c r="C1690" i="69"/>
  <c r="E1689" i="69"/>
  <c r="C1689" i="69"/>
  <c r="E1688" i="69"/>
  <c r="C1688" i="69"/>
  <c r="E1687" i="69"/>
  <c r="C1687" i="69"/>
  <c r="E1686" i="69"/>
  <c r="C1686" i="69"/>
  <c r="E1685" i="69"/>
  <c r="C1685" i="69"/>
  <c r="E1684" i="69"/>
  <c r="C1684" i="69"/>
  <c r="E1683" i="69"/>
  <c r="C1683" i="69"/>
  <c r="E1682" i="69"/>
  <c r="C1682" i="69"/>
  <c r="E1681" i="69"/>
  <c r="C1681" i="69"/>
  <c r="E1680" i="69"/>
  <c r="C1680" i="69"/>
  <c r="E1679" i="69"/>
  <c r="C1679" i="69"/>
  <c r="E1678" i="69"/>
  <c r="C1678" i="69"/>
  <c r="E1677" i="69"/>
  <c r="C1677" i="69"/>
  <c r="E1676" i="69"/>
  <c r="C1676" i="69"/>
  <c r="E1675" i="69"/>
  <c r="C1675" i="69"/>
  <c r="E1674" i="69"/>
  <c r="C1674" i="69"/>
  <c r="E1673" i="69"/>
  <c r="C1673" i="69"/>
  <c r="E1672" i="69"/>
  <c r="C1672" i="69"/>
  <c r="E1671" i="69"/>
  <c r="C1671" i="69"/>
  <c r="E1670" i="69"/>
  <c r="C1670" i="69"/>
  <c r="E1669" i="69"/>
  <c r="C1669" i="69"/>
  <c r="E1668" i="69"/>
  <c r="C1668" i="69"/>
  <c r="E1667" i="69"/>
  <c r="C1667" i="69"/>
  <c r="E1666" i="69"/>
  <c r="C1666" i="69"/>
  <c r="E1665" i="69"/>
  <c r="C1665" i="69"/>
  <c r="E1664" i="69"/>
  <c r="C1664" i="69"/>
  <c r="E1663" i="69"/>
  <c r="C1663" i="69"/>
  <c r="E1662" i="69"/>
  <c r="C1662" i="69"/>
  <c r="E1661" i="69"/>
  <c r="C1661" i="69"/>
  <c r="E1660" i="69"/>
  <c r="C1660" i="69"/>
  <c r="E1659" i="69"/>
  <c r="C1659" i="69"/>
  <c r="E1658" i="69"/>
  <c r="C1658" i="69"/>
  <c r="E1657" i="69"/>
  <c r="C1657" i="69"/>
  <c r="E1656" i="69"/>
  <c r="C1656" i="69"/>
  <c r="E1655" i="69"/>
  <c r="C1655" i="69"/>
  <c r="E1654" i="69"/>
  <c r="C1654" i="69"/>
  <c r="E1653" i="69"/>
  <c r="C1653" i="69"/>
  <c r="E1652" i="69"/>
  <c r="C1652" i="69"/>
  <c r="E1651" i="69"/>
  <c r="C1651" i="69"/>
  <c r="E1650" i="69"/>
  <c r="C1650" i="69"/>
  <c r="E1649" i="69"/>
  <c r="C1649" i="69"/>
  <c r="E1648" i="69"/>
  <c r="C1648" i="69"/>
  <c r="E1647" i="69"/>
  <c r="C1647" i="69"/>
  <c r="E1646" i="69"/>
  <c r="C1646" i="69"/>
  <c r="E1645" i="69"/>
  <c r="C1645" i="69"/>
  <c r="E1644" i="69"/>
  <c r="C1644" i="69"/>
  <c r="E1643" i="69"/>
  <c r="C1643" i="69"/>
  <c r="E1642" i="69"/>
  <c r="C1642" i="69"/>
  <c r="E1641" i="69"/>
  <c r="C1641" i="69"/>
  <c r="E1640" i="69"/>
  <c r="C1640" i="69"/>
  <c r="E1639" i="69"/>
  <c r="C1639" i="69"/>
  <c r="E1638" i="69"/>
  <c r="C1638" i="69"/>
  <c r="E1637" i="69"/>
  <c r="C1637" i="69"/>
  <c r="E1636" i="69"/>
  <c r="C1636" i="69"/>
  <c r="E1635" i="69"/>
  <c r="C1635" i="69"/>
  <c r="E1634" i="69"/>
  <c r="C1634" i="69"/>
  <c r="E1633" i="69"/>
  <c r="C1633" i="69"/>
  <c r="E1632" i="69"/>
  <c r="C1632" i="69"/>
  <c r="E1631" i="69"/>
  <c r="C1631" i="69"/>
  <c r="E1630" i="69"/>
  <c r="C1630" i="69"/>
  <c r="E1629" i="69"/>
  <c r="C1629" i="69"/>
  <c r="E1628" i="69"/>
  <c r="C1628" i="69"/>
  <c r="E1627" i="69"/>
  <c r="C1627" i="69"/>
  <c r="E1626" i="69"/>
  <c r="C1626" i="69"/>
  <c r="E1625" i="69"/>
  <c r="C1625" i="69"/>
  <c r="E1624" i="69"/>
  <c r="C1624" i="69"/>
  <c r="E1623" i="69"/>
  <c r="C1623" i="69"/>
  <c r="E1622" i="69"/>
  <c r="C1622" i="69"/>
  <c r="E1621" i="69"/>
  <c r="C1621" i="69"/>
  <c r="E1620" i="69"/>
  <c r="C1620" i="69"/>
  <c r="E1619" i="69"/>
  <c r="C1619" i="69"/>
  <c r="E1618" i="69"/>
  <c r="C1618" i="69"/>
  <c r="E1617" i="69"/>
  <c r="C1617" i="69"/>
  <c r="E1616" i="69"/>
  <c r="C1616" i="69"/>
  <c r="E1615" i="69"/>
  <c r="C1615" i="69"/>
  <c r="E1614" i="69"/>
  <c r="C1614" i="69"/>
  <c r="E1613" i="69"/>
  <c r="C1613" i="69"/>
  <c r="E1612" i="69"/>
  <c r="C1612" i="69"/>
  <c r="E1611" i="69"/>
  <c r="C1611" i="69"/>
  <c r="E1610" i="69"/>
  <c r="C1610" i="69"/>
  <c r="E1609" i="69"/>
  <c r="C1609" i="69"/>
  <c r="E1608" i="69"/>
  <c r="C1608" i="69"/>
  <c r="E1607" i="69"/>
  <c r="C1607" i="69"/>
  <c r="E1606" i="69"/>
  <c r="C1606" i="69"/>
  <c r="E1605" i="69"/>
  <c r="C1605" i="69"/>
  <c r="E1604" i="69"/>
  <c r="C1604" i="69"/>
  <c r="E1603" i="69"/>
  <c r="C1603" i="69"/>
  <c r="E1602" i="69"/>
  <c r="C1602" i="69"/>
  <c r="E1601" i="69"/>
  <c r="C1601" i="69"/>
  <c r="E1600" i="69"/>
  <c r="C1600" i="69"/>
  <c r="E1599" i="69"/>
  <c r="C1599" i="69"/>
  <c r="E1598" i="69"/>
  <c r="C1598" i="69"/>
  <c r="E1597" i="69"/>
  <c r="C1597" i="69"/>
  <c r="E1596" i="69"/>
  <c r="C1596" i="69"/>
  <c r="E1595" i="69"/>
  <c r="C1595" i="69"/>
  <c r="E1594" i="69"/>
  <c r="C1594" i="69"/>
  <c r="E1593" i="69"/>
  <c r="C1593" i="69"/>
  <c r="E1592" i="69"/>
  <c r="C1592" i="69"/>
  <c r="E1591" i="69"/>
  <c r="C1591" i="69"/>
  <c r="E1590" i="69"/>
  <c r="C1590" i="69"/>
  <c r="E1589" i="69"/>
  <c r="C1589" i="69"/>
  <c r="E1588" i="69"/>
  <c r="C1588" i="69"/>
  <c r="E1587" i="69"/>
  <c r="C1587" i="69"/>
  <c r="E1586" i="69"/>
  <c r="C1586" i="69"/>
  <c r="E1585" i="69"/>
  <c r="C1585" i="69"/>
  <c r="E1584" i="69"/>
  <c r="C1584" i="69"/>
  <c r="E1583" i="69"/>
  <c r="C1583" i="69"/>
  <c r="E1582" i="69"/>
  <c r="C1582" i="69"/>
  <c r="E1581" i="69"/>
  <c r="C1581" i="69"/>
  <c r="E1580" i="69"/>
  <c r="C1580" i="69"/>
  <c r="E1579" i="69"/>
  <c r="C1579" i="69"/>
  <c r="E1578" i="69"/>
  <c r="C1578" i="69"/>
  <c r="E1577" i="69"/>
  <c r="C1577" i="69"/>
  <c r="E1576" i="69"/>
  <c r="C1576" i="69"/>
  <c r="E1575" i="69"/>
  <c r="C1575" i="69"/>
  <c r="E1574" i="69"/>
  <c r="C1574" i="69"/>
  <c r="E1573" i="69"/>
  <c r="C1573" i="69"/>
  <c r="E1572" i="69"/>
  <c r="C1572" i="69"/>
  <c r="E1571" i="69"/>
  <c r="C1571" i="69"/>
  <c r="E1570" i="69"/>
  <c r="C1570" i="69"/>
  <c r="E1569" i="69"/>
  <c r="C1569" i="69"/>
  <c r="E1568" i="69"/>
  <c r="C1568" i="69"/>
  <c r="E1567" i="69"/>
  <c r="C1567" i="69"/>
  <c r="E1566" i="69"/>
  <c r="C1566" i="69"/>
  <c r="E1565" i="69"/>
  <c r="C1565" i="69"/>
  <c r="E1564" i="69"/>
  <c r="C1564" i="69"/>
  <c r="E1563" i="69"/>
  <c r="C1563" i="69"/>
  <c r="E1562" i="69"/>
  <c r="C1562" i="69"/>
  <c r="E1561" i="69"/>
  <c r="C1561" i="69"/>
  <c r="E1560" i="69"/>
  <c r="C1560" i="69"/>
  <c r="E1559" i="69"/>
  <c r="C1559" i="69"/>
  <c r="E1558" i="69"/>
  <c r="C1558" i="69"/>
  <c r="E1557" i="69"/>
  <c r="C1557" i="69"/>
  <c r="E1556" i="69"/>
  <c r="C1556" i="69"/>
  <c r="E1555" i="69"/>
  <c r="C1555" i="69"/>
  <c r="E1554" i="69"/>
  <c r="C1554" i="69"/>
  <c r="E1553" i="69"/>
  <c r="C1553" i="69"/>
  <c r="E1552" i="69"/>
  <c r="C1552" i="69"/>
  <c r="E1551" i="69"/>
  <c r="C1551" i="69"/>
  <c r="E1550" i="69"/>
  <c r="C1550" i="69"/>
  <c r="E1549" i="69"/>
  <c r="C1549" i="69"/>
  <c r="E1548" i="69"/>
  <c r="C1548" i="69"/>
  <c r="E1547" i="69"/>
  <c r="C1547" i="69"/>
  <c r="E1546" i="69"/>
  <c r="C1546" i="69"/>
  <c r="E1545" i="69"/>
  <c r="C1545" i="69"/>
  <c r="E1544" i="69"/>
  <c r="C1544" i="69"/>
  <c r="E1543" i="69"/>
  <c r="C1543" i="69"/>
  <c r="E1542" i="69"/>
  <c r="C1542" i="69"/>
  <c r="E1541" i="69"/>
  <c r="C1541" i="69"/>
  <c r="E1540" i="69"/>
  <c r="C1540" i="69"/>
  <c r="E1539" i="69"/>
  <c r="C1539" i="69"/>
  <c r="E1538" i="69"/>
  <c r="C1538" i="69"/>
  <c r="E1537" i="69"/>
  <c r="C1537" i="69"/>
  <c r="E1536" i="69"/>
  <c r="C1536" i="69"/>
  <c r="E1535" i="69"/>
  <c r="C1535" i="69"/>
  <c r="E1534" i="69"/>
  <c r="C1534" i="69"/>
  <c r="E1533" i="69"/>
  <c r="C1533" i="69"/>
  <c r="E1532" i="69"/>
  <c r="C1532" i="69"/>
  <c r="E1531" i="69"/>
  <c r="C1531" i="69"/>
  <c r="E1530" i="69"/>
  <c r="C1530" i="69"/>
  <c r="E1529" i="69"/>
  <c r="C1529" i="69"/>
  <c r="E1528" i="69"/>
  <c r="C1528" i="69"/>
  <c r="E1527" i="69"/>
  <c r="C1527" i="69"/>
  <c r="E1526" i="69"/>
  <c r="C1526" i="69"/>
  <c r="E1525" i="69"/>
  <c r="C1525" i="69"/>
  <c r="E1524" i="69"/>
  <c r="C1524" i="69"/>
  <c r="E1523" i="69"/>
  <c r="C1523" i="69"/>
  <c r="E1522" i="69"/>
  <c r="C1522" i="69"/>
  <c r="E1521" i="69"/>
  <c r="C1521" i="69"/>
  <c r="E1520" i="69"/>
  <c r="C1520" i="69"/>
  <c r="E1519" i="69"/>
  <c r="C1519" i="69"/>
  <c r="E1518" i="69"/>
  <c r="C1518" i="69"/>
  <c r="E1517" i="69"/>
  <c r="C1517" i="69"/>
  <c r="E1516" i="69"/>
  <c r="C1516" i="69"/>
  <c r="E1515" i="69"/>
  <c r="C1515" i="69"/>
  <c r="E1514" i="69"/>
  <c r="C1514" i="69"/>
  <c r="E1513" i="69"/>
  <c r="C1513" i="69"/>
  <c r="E1512" i="69"/>
  <c r="C1512" i="69"/>
  <c r="E1511" i="69"/>
  <c r="C1511" i="69"/>
  <c r="E1510" i="69"/>
  <c r="C1510" i="69"/>
  <c r="E1509" i="69"/>
  <c r="C1509" i="69"/>
  <c r="E1508" i="69"/>
  <c r="C1508" i="69"/>
  <c r="E1507" i="69"/>
  <c r="C1507" i="69"/>
  <c r="E1506" i="69"/>
  <c r="C1506" i="69"/>
  <c r="E1505" i="69"/>
  <c r="C1505" i="69"/>
  <c r="E1504" i="69"/>
  <c r="C1504" i="69"/>
  <c r="E1503" i="69"/>
  <c r="C1503" i="69"/>
  <c r="E1502" i="69"/>
  <c r="C1502" i="69"/>
  <c r="E1501" i="69"/>
  <c r="C1501" i="69"/>
  <c r="E1500" i="69"/>
  <c r="C1500" i="69"/>
  <c r="E1499" i="69"/>
  <c r="C1499" i="69"/>
  <c r="E1498" i="69"/>
  <c r="C1498" i="69"/>
  <c r="E1497" i="69"/>
  <c r="C1497" i="69"/>
  <c r="E1496" i="69"/>
  <c r="C1496" i="69"/>
  <c r="E1495" i="69"/>
  <c r="C1495" i="69"/>
  <c r="E1494" i="69"/>
  <c r="C1494" i="69"/>
  <c r="E1493" i="69"/>
  <c r="C1493" i="69"/>
  <c r="E1492" i="69"/>
  <c r="C1492" i="69"/>
  <c r="E1491" i="69"/>
  <c r="C1491" i="69"/>
  <c r="E1490" i="69"/>
  <c r="C1490" i="69"/>
  <c r="E1489" i="69"/>
  <c r="C1489" i="69"/>
  <c r="E1488" i="69"/>
  <c r="C1488" i="69"/>
  <c r="E1487" i="69"/>
  <c r="C1487" i="69"/>
  <c r="E1486" i="69"/>
  <c r="C1486" i="69"/>
  <c r="E1485" i="69"/>
  <c r="C1485" i="69"/>
  <c r="E1484" i="69"/>
  <c r="C1484" i="69"/>
  <c r="E1483" i="69"/>
  <c r="C1483" i="69"/>
  <c r="E1482" i="69"/>
  <c r="C1482" i="69"/>
  <c r="E1481" i="69"/>
  <c r="C1481" i="69"/>
  <c r="E1480" i="69"/>
  <c r="C1480" i="69"/>
  <c r="E1479" i="69"/>
  <c r="C1479" i="69"/>
  <c r="E1478" i="69"/>
  <c r="C1478" i="69"/>
  <c r="E1477" i="69"/>
  <c r="C1477" i="69"/>
  <c r="E1476" i="69"/>
  <c r="C1476" i="69"/>
  <c r="E1475" i="69"/>
  <c r="C1475" i="69"/>
  <c r="E1474" i="69"/>
  <c r="C1474" i="69"/>
  <c r="E1473" i="69"/>
  <c r="C1473" i="69"/>
  <c r="E1472" i="69"/>
  <c r="C1472" i="69"/>
  <c r="E1471" i="69"/>
  <c r="C1471" i="69"/>
  <c r="E1470" i="69"/>
  <c r="C1470" i="69"/>
  <c r="E1469" i="69"/>
  <c r="C1469" i="69"/>
  <c r="E1468" i="69"/>
  <c r="C1468" i="69"/>
  <c r="E1467" i="69"/>
  <c r="C1467" i="69"/>
  <c r="E1466" i="69"/>
  <c r="C1466" i="69"/>
  <c r="E1465" i="69"/>
  <c r="C1465" i="69"/>
  <c r="E1464" i="69"/>
  <c r="C1464" i="69"/>
  <c r="E1463" i="69"/>
  <c r="C1463" i="69"/>
  <c r="E1462" i="69"/>
  <c r="C1462" i="69"/>
  <c r="E1461" i="69"/>
  <c r="C1461" i="69"/>
  <c r="E1460" i="69"/>
  <c r="C1460" i="69"/>
  <c r="E1459" i="69"/>
  <c r="C1459" i="69"/>
  <c r="E1458" i="69"/>
  <c r="C1458" i="69"/>
  <c r="E1457" i="69"/>
  <c r="C1457" i="69"/>
  <c r="E1456" i="69"/>
  <c r="C1456" i="69"/>
  <c r="E1455" i="69"/>
  <c r="C1455" i="69"/>
  <c r="E1454" i="69"/>
  <c r="C1454" i="69"/>
  <c r="E1453" i="69"/>
  <c r="C1453" i="69"/>
  <c r="E1452" i="69"/>
  <c r="C1452" i="69"/>
  <c r="E1451" i="69"/>
  <c r="C1451" i="69"/>
  <c r="E1450" i="69"/>
  <c r="C1450" i="69"/>
  <c r="E1449" i="69"/>
  <c r="C1449" i="69"/>
  <c r="E1448" i="69"/>
  <c r="C1448" i="69"/>
  <c r="E1447" i="69"/>
  <c r="C1447" i="69"/>
  <c r="E1446" i="69"/>
  <c r="C1446" i="69"/>
  <c r="E1445" i="69"/>
  <c r="C1445" i="69"/>
  <c r="E1444" i="69"/>
  <c r="C1444" i="69"/>
  <c r="E1443" i="69"/>
  <c r="C1443" i="69"/>
  <c r="E1442" i="69"/>
  <c r="C1442" i="69"/>
  <c r="E1441" i="69"/>
  <c r="C1441" i="69"/>
  <c r="E1440" i="69"/>
  <c r="C1440" i="69"/>
  <c r="E1439" i="69"/>
  <c r="C1439" i="69"/>
  <c r="E1438" i="69"/>
  <c r="C1438" i="69"/>
  <c r="E1437" i="69"/>
  <c r="C1437" i="69"/>
  <c r="E1436" i="69"/>
  <c r="C1436" i="69"/>
  <c r="E1435" i="69"/>
  <c r="C1435" i="69"/>
  <c r="E1434" i="69"/>
  <c r="C1434" i="69"/>
  <c r="E1433" i="69"/>
  <c r="C1433" i="69"/>
  <c r="E1432" i="69"/>
  <c r="C1432" i="69"/>
  <c r="E1431" i="69"/>
  <c r="C1431" i="69"/>
  <c r="E1430" i="69"/>
  <c r="C1430" i="69"/>
  <c r="E1429" i="69"/>
  <c r="C1429" i="69"/>
  <c r="E1428" i="69"/>
  <c r="C1428" i="69"/>
  <c r="E1427" i="69"/>
  <c r="C1427" i="69"/>
  <c r="E1426" i="69"/>
  <c r="C1426" i="69"/>
  <c r="E1425" i="69"/>
  <c r="C1425" i="69"/>
  <c r="E1424" i="69"/>
  <c r="C1424" i="69"/>
  <c r="E1423" i="69"/>
  <c r="C1423" i="69"/>
  <c r="E1422" i="69"/>
  <c r="C1422" i="69"/>
  <c r="E1421" i="69"/>
  <c r="C1421" i="69"/>
  <c r="E1420" i="69"/>
  <c r="C1420" i="69"/>
  <c r="E1419" i="69"/>
  <c r="C1419" i="69"/>
  <c r="E1418" i="69"/>
  <c r="C1418" i="69"/>
  <c r="E1417" i="69"/>
  <c r="C1417" i="69"/>
  <c r="E1416" i="69"/>
  <c r="C1416" i="69"/>
  <c r="E1415" i="69"/>
  <c r="C1415" i="69"/>
  <c r="E1414" i="69"/>
  <c r="C1414" i="69"/>
  <c r="E1413" i="69"/>
  <c r="C1413" i="69"/>
  <c r="E1412" i="69"/>
  <c r="C1412" i="69"/>
  <c r="E1411" i="69"/>
  <c r="C1411" i="69"/>
  <c r="E1410" i="69"/>
  <c r="C1410" i="69"/>
  <c r="E1409" i="69"/>
  <c r="C1409" i="69"/>
  <c r="E1408" i="69"/>
  <c r="C1408" i="69"/>
  <c r="E1407" i="69"/>
  <c r="C1407" i="69"/>
  <c r="E1406" i="69"/>
  <c r="C1406" i="69"/>
  <c r="E1405" i="69"/>
  <c r="C1405" i="69"/>
  <c r="E1404" i="69"/>
  <c r="C1404" i="69"/>
  <c r="E1403" i="69"/>
  <c r="C1403" i="69"/>
  <c r="E1402" i="69"/>
  <c r="C1402" i="69"/>
  <c r="E1401" i="69"/>
  <c r="C1401" i="69"/>
  <c r="E1400" i="69"/>
  <c r="C1400" i="69"/>
  <c r="E1399" i="69"/>
  <c r="C1399" i="69"/>
  <c r="E1398" i="69"/>
  <c r="C1398" i="69"/>
  <c r="E1397" i="69"/>
  <c r="C1397" i="69"/>
  <c r="E1396" i="69"/>
  <c r="C1396" i="69"/>
  <c r="E1395" i="69"/>
  <c r="C1395" i="69"/>
  <c r="E1394" i="69"/>
  <c r="C1394" i="69"/>
  <c r="E1393" i="69"/>
  <c r="C1393" i="69"/>
  <c r="E1392" i="69"/>
  <c r="C1392" i="69"/>
  <c r="E1391" i="69"/>
  <c r="C1391" i="69"/>
  <c r="E1390" i="69"/>
  <c r="C1390" i="69"/>
  <c r="E1389" i="69"/>
  <c r="C1389" i="69"/>
  <c r="E1388" i="69"/>
  <c r="C1388" i="69"/>
  <c r="E1387" i="69"/>
  <c r="C1387" i="69"/>
  <c r="E1386" i="69"/>
  <c r="C1386" i="69"/>
  <c r="E1385" i="69"/>
  <c r="C1385" i="69"/>
  <c r="E1384" i="69"/>
  <c r="C1384" i="69"/>
  <c r="E1383" i="69"/>
  <c r="C1383" i="69"/>
  <c r="E1382" i="69"/>
  <c r="C1382" i="69"/>
  <c r="E1381" i="69"/>
  <c r="C1381" i="69"/>
  <c r="E1380" i="69"/>
  <c r="C1380" i="69"/>
  <c r="E1379" i="69"/>
  <c r="C1379" i="69"/>
  <c r="E1378" i="69"/>
  <c r="C1378" i="69"/>
  <c r="E1377" i="69"/>
  <c r="C1377" i="69"/>
  <c r="E1376" i="69"/>
  <c r="C1376" i="69"/>
  <c r="E1375" i="69"/>
  <c r="C1375" i="69"/>
  <c r="E1374" i="69"/>
  <c r="C1374" i="69"/>
  <c r="E1373" i="69"/>
  <c r="C1373" i="69"/>
  <c r="E1372" i="69"/>
  <c r="C1372" i="69"/>
  <c r="E1371" i="69"/>
  <c r="C1371" i="69"/>
  <c r="E1370" i="69"/>
  <c r="C1370" i="69"/>
  <c r="E1369" i="69"/>
  <c r="C1369" i="69"/>
  <c r="E1368" i="69"/>
  <c r="C1368" i="69"/>
  <c r="E1367" i="69"/>
  <c r="C1367" i="69"/>
  <c r="E1366" i="69"/>
  <c r="C1366" i="69"/>
  <c r="E1365" i="69"/>
  <c r="C1365" i="69"/>
  <c r="E1364" i="69"/>
  <c r="C1364" i="69"/>
  <c r="E1363" i="69"/>
  <c r="C1363" i="69"/>
  <c r="E1362" i="69"/>
  <c r="C1362" i="69"/>
  <c r="E1361" i="69"/>
  <c r="C1361" i="69"/>
  <c r="E1360" i="69"/>
  <c r="C1360" i="69"/>
  <c r="E1359" i="69"/>
  <c r="C1359" i="69"/>
  <c r="E1358" i="69"/>
  <c r="C1358" i="69"/>
  <c r="E1357" i="69"/>
  <c r="C1357" i="69"/>
  <c r="E1356" i="69"/>
  <c r="C1356" i="69"/>
  <c r="E1355" i="69"/>
  <c r="C1355" i="69"/>
  <c r="E1354" i="69"/>
  <c r="C1354" i="69"/>
  <c r="E1353" i="69"/>
  <c r="C1353" i="69"/>
  <c r="E1352" i="69"/>
  <c r="C1352" i="69"/>
  <c r="E1351" i="69"/>
  <c r="C1351" i="69"/>
  <c r="E1350" i="69"/>
  <c r="C1350" i="69"/>
  <c r="E1349" i="69"/>
  <c r="C1349" i="69"/>
  <c r="E1348" i="69"/>
  <c r="C1348" i="69"/>
  <c r="E1347" i="69"/>
  <c r="C1347" i="69"/>
  <c r="E1346" i="69"/>
  <c r="C1346" i="69"/>
  <c r="E1345" i="69"/>
  <c r="C1345" i="69"/>
  <c r="E1344" i="69"/>
  <c r="C1344" i="69"/>
  <c r="E1343" i="69"/>
  <c r="C1343" i="69"/>
  <c r="E1342" i="69"/>
  <c r="C1342" i="69"/>
  <c r="E1341" i="69"/>
  <c r="C1341" i="69"/>
  <c r="E1340" i="69"/>
  <c r="C1340" i="69"/>
  <c r="E1339" i="69"/>
  <c r="C1339" i="69"/>
  <c r="E1338" i="69"/>
  <c r="C1338" i="69"/>
  <c r="E1337" i="69"/>
  <c r="C1337" i="69"/>
  <c r="E1336" i="69"/>
  <c r="C1336" i="69"/>
  <c r="E1335" i="69"/>
  <c r="C1335" i="69"/>
  <c r="E1334" i="69"/>
  <c r="C1334" i="69"/>
  <c r="E1333" i="69"/>
  <c r="C1333" i="69"/>
  <c r="E1332" i="69"/>
  <c r="C1332" i="69"/>
  <c r="E1331" i="69"/>
  <c r="C1331" i="69"/>
  <c r="E1330" i="69"/>
  <c r="C1330" i="69"/>
  <c r="E1329" i="69"/>
  <c r="C1329" i="69"/>
  <c r="E1328" i="69"/>
  <c r="C1328" i="69"/>
  <c r="E1327" i="69"/>
  <c r="C1327" i="69"/>
  <c r="E1326" i="69"/>
  <c r="C1326" i="69"/>
  <c r="E1325" i="69"/>
  <c r="C1325" i="69"/>
  <c r="E1324" i="69"/>
  <c r="C1324" i="69"/>
  <c r="E1323" i="69"/>
  <c r="C1323" i="69"/>
  <c r="E1322" i="69"/>
  <c r="C1322" i="69"/>
  <c r="E1321" i="69"/>
  <c r="C1321" i="69"/>
  <c r="E1320" i="69"/>
  <c r="C1320" i="69"/>
  <c r="E1319" i="69"/>
  <c r="C1319" i="69"/>
  <c r="C1318" i="69"/>
  <c r="E1317" i="69"/>
  <c r="C1317" i="69"/>
  <c r="E1316" i="69"/>
  <c r="C1316" i="69"/>
  <c r="E1315" i="69"/>
  <c r="C1315" i="69"/>
  <c r="E1314" i="69"/>
  <c r="C1314" i="69"/>
  <c r="E1313" i="69"/>
  <c r="C1313" i="69"/>
  <c r="E1312" i="69"/>
  <c r="C1312" i="69"/>
  <c r="E1311" i="69"/>
  <c r="C1311" i="69"/>
  <c r="E1310" i="69"/>
  <c r="C1310" i="69"/>
  <c r="E1309" i="69"/>
  <c r="C1309" i="69"/>
  <c r="E1308" i="69"/>
  <c r="C1308" i="69"/>
  <c r="E1307" i="69"/>
  <c r="C1307" i="69"/>
  <c r="E1306" i="69"/>
  <c r="C1306" i="69"/>
  <c r="E1305" i="69"/>
  <c r="C1305" i="69"/>
  <c r="E1304" i="69"/>
  <c r="C1304" i="69"/>
  <c r="E1303" i="69"/>
  <c r="C1303" i="69"/>
  <c r="E1302" i="69"/>
  <c r="C1302" i="69"/>
  <c r="E1301" i="69"/>
  <c r="C1301" i="69"/>
  <c r="E1300" i="69"/>
  <c r="C1300" i="69"/>
  <c r="E1299" i="69"/>
  <c r="C1299" i="69"/>
  <c r="E1298" i="69"/>
  <c r="C1298" i="69"/>
  <c r="E1297" i="69"/>
  <c r="C1297" i="69"/>
  <c r="E1296" i="69"/>
  <c r="C1296" i="69"/>
  <c r="E1295" i="69"/>
  <c r="C1295" i="69"/>
  <c r="E1294" i="69"/>
  <c r="C1294" i="69"/>
  <c r="E1293" i="69"/>
  <c r="C1293" i="69"/>
  <c r="E1292" i="69"/>
  <c r="C1292" i="69"/>
  <c r="E1291" i="69"/>
  <c r="C1291" i="69"/>
  <c r="E1290" i="69"/>
  <c r="C1290" i="69"/>
  <c r="E1289" i="69"/>
  <c r="C1289" i="69"/>
  <c r="E1288" i="69"/>
  <c r="C1288" i="69"/>
  <c r="E1287" i="69"/>
  <c r="C1287" i="69"/>
  <c r="E1286" i="69"/>
  <c r="C1286" i="69"/>
  <c r="E1285" i="69"/>
  <c r="C1285" i="69"/>
  <c r="E1284" i="69"/>
  <c r="C1284" i="69"/>
  <c r="E1283" i="69"/>
  <c r="C1283" i="69"/>
  <c r="E1282" i="69"/>
  <c r="C1282" i="69"/>
  <c r="E1281" i="69"/>
  <c r="C1281" i="69"/>
  <c r="E1280" i="69"/>
  <c r="C1280" i="69"/>
  <c r="E1279" i="69"/>
  <c r="C1279" i="69"/>
  <c r="E1278" i="69"/>
  <c r="C1278" i="69"/>
  <c r="E1277" i="69"/>
  <c r="C1277" i="69"/>
  <c r="E1276" i="69"/>
  <c r="C1276" i="69"/>
  <c r="E1275" i="69"/>
  <c r="C1275" i="69"/>
  <c r="E1274" i="69"/>
  <c r="C1274" i="69"/>
  <c r="E1273" i="69"/>
  <c r="C1273" i="69"/>
  <c r="E1272" i="69"/>
  <c r="C1272" i="69"/>
  <c r="E1271" i="69"/>
  <c r="C1271" i="69"/>
  <c r="E1270" i="69"/>
  <c r="C1270" i="69"/>
  <c r="E1269" i="69"/>
  <c r="C1269" i="69"/>
  <c r="E1268" i="69"/>
  <c r="C1268" i="69"/>
  <c r="E1267" i="69"/>
  <c r="C1267" i="69"/>
  <c r="E1266" i="69"/>
  <c r="C1266" i="69"/>
  <c r="E1265" i="69"/>
  <c r="C1265" i="69"/>
  <c r="E1264" i="69"/>
  <c r="C1264" i="69"/>
  <c r="E1263" i="69"/>
  <c r="C1263" i="69"/>
  <c r="E1262" i="69"/>
  <c r="C1262" i="69"/>
  <c r="E1261" i="69"/>
  <c r="C1261" i="69"/>
  <c r="E1260" i="69"/>
  <c r="C1260" i="69"/>
  <c r="E1259" i="69"/>
  <c r="C1259" i="69"/>
  <c r="E1258" i="69"/>
  <c r="C1258" i="69"/>
  <c r="E1257" i="69"/>
  <c r="C1257" i="69"/>
  <c r="E1256" i="69"/>
  <c r="C1256" i="69"/>
  <c r="E1255" i="69"/>
  <c r="C1255" i="69"/>
  <c r="E1254" i="69"/>
  <c r="C1254" i="69"/>
  <c r="E1253" i="69"/>
  <c r="C1253" i="69"/>
  <c r="E1252" i="69"/>
  <c r="C1252" i="69"/>
  <c r="E1251" i="69"/>
  <c r="C1251" i="69"/>
  <c r="E1250" i="69"/>
  <c r="C1250" i="69"/>
  <c r="E1249" i="69"/>
  <c r="C1249" i="69"/>
  <c r="E1248" i="69"/>
  <c r="C1248" i="69"/>
  <c r="E1247" i="69"/>
  <c r="C1247" i="69"/>
  <c r="E1246" i="69"/>
  <c r="C1246" i="69"/>
  <c r="E1245" i="69"/>
  <c r="C1245" i="69"/>
  <c r="E1244" i="69"/>
  <c r="C1244" i="69"/>
  <c r="E1243" i="69"/>
  <c r="C1243" i="69"/>
  <c r="E1242" i="69"/>
  <c r="C1242" i="69"/>
  <c r="E1241" i="69"/>
  <c r="C1241" i="69"/>
  <c r="E1240" i="69"/>
  <c r="C1240" i="69"/>
  <c r="E1239" i="69"/>
  <c r="C1239" i="69"/>
  <c r="E1238" i="69"/>
  <c r="C1238" i="69"/>
  <c r="E1237" i="69"/>
  <c r="C1237" i="69"/>
  <c r="E1236" i="69"/>
  <c r="C1236" i="69"/>
  <c r="E1235" i="69"/>
  <c r="C1235" i="69"/>
  <c r="E1234" i="69"/>
  <c r="C1234" i="69"/>
  <c r="E1233" i="69"/>
  <c r="C1233" i="69"/>
  <c r="E1232" i="69"/>
  <c r="C1232" i="69"/>
  <c r="E1231" i="69"/>
  <c r="C1231" i="69"/>
  <c r="E1230" i="69"/>
  <c r="C1230" i="69"/>
  <c r="E1229" i="69"/>
  <c r="C1229" i="69"/>
  <c r="E1228" i="69"/>
  <c r="C1228" i="69"/>
  <c r="E1227" i="69"/>
  <c r="C1227" i="69"/>
  <c r="E1226" i="69"/>
  <c r="C1226" i="69"/>
  <c r="E1225" i="69"/>
  <c r="C1225" i="69"/>
  <c r="E1224" i="69"/>
  <c r="C1224" i="69"/>
  <c r="E1223" i="69"/>
  <c r="C1223" i="69"/>
  <c r="E1222" i="69"/>
  <c r="C1222" i="69"/>
  <c r="E1221" i="69"/>
  <c r="C1221" i="69"/>
  <c r="E1220" i="69"/>
  <c r="C1220" i="69"/>
  <c r="E1219" i="69"/>
  <c r="C1219" i="69"/>
  <c r="E1218" i="69"/>
  <c r="C1218" i="69"/>
  <c r="E1217" i="69"/>
  <c r="C1217" i="69"/>
  <c r="E1216" i="69"/>
  <c r="C1216" i="69"/>
  <c r="E1215" i="69"/>
  <c r="C1215" i="69"/>
  <c r="E1214" i="69"/>
  <c r="C1214" i="69"/>
  <c r="E1213" i="69"/>
  <c r="C1213" i="69"/>
  <c r="E1212" i="69"/>
  <c r="C1212" i="69"/>
  <c r="E1211" i="69"/>
  <c r="C1211" i="69"/>
  <c r="E1210" i="69"/>
  <c r="C1210" i="69"/>
  <c r="E1209" i="69"/>
  <c r="C1209" i="69"/>
  <c r="E1208" i="69"/>
  <c r="C1208" i="69"/>
  <c r="E1207" i="69"/>
  <c r="C1207" i="69"/>
  <c r="E1206" i="69"/>
  <c r="C1206" i="69"/>
  <c r="E1205" i="69"/>
  <c r="C1205" i="69"/>
  <c r="E1204" i="69"/>
  <c r="C1204" i="69"/>
  <c r="E1203" i="69"/>
  <c r="C1203" i="69"/>
  <c r="E1202" i="69"/>
  <c r="C1202" i="69"/>
  <c r="E1201" i="69"/>
  <c r="C1201" i="69"/>
  <c r="E1200" i="69"/>
  <c r="C1200" i="69"/>
  <c r="E1199" i="69"/>
  <c r="C1199" i="69"/>
  <c r="E1198" i="69"/>
  <c r="C1198" i="69"/>
  <c r="E1197" i="69"/>
  <c r="C1197" i="69"/>
  <c r="E1196" i="69"/>
  <c r="C1196" i="69"/>
  <c r="E1195" i="69"/>
  <c r="C1195" i="69"/>
  <c r="E1194" i="69"/>
  <c r="C1194" i="69"/>
  <c r="E1193" i="69"/>
  <c r="C1193" i="69"/>
  <c r="E1192" i="69"/>
  <c r="C1192" i="69"/>
  <c r="E1191" i="69"/>
  <c r="C1191" i="69"/>
  <c r="E1190" i="69"/>
  <c r="C1190" i="69"/>
  <c r="E1189" i="69"/>
  <c r="C1189" i="69"/>
  <c r="E1188" i="69"/>
  <c r="C1188" i="69"/>
  <c r="E1187" i="69"/>
  <c r="C1187" i="69"/>
  <c r="E1186" i="69"/>
  <c r="C1186" i="69"/>
  <c r="E1185" i="69"/>
  <c r="C1185" i="69"/>
  <c r="E1184" i="69"/>
  <c r="C1184" i="69"/>
  <c r="E1183" i="69"/>
  <c r="C1183" i="69"/>
  <c r="E1182" i="69"/>
  <c r="C1182" i="69"/>
  <c r="E1181" i="69"/>
  <c r="C1181" i="69"/>
  <c r="E1180" i="69"/>
  <c r="C1180" i="69"/>
  <c r="E1179" i="69"/>
  <c r="C1179" i="69"/>
  <c r="E1178" i="69"/>
  <c r="C1178" i="69"/>
  <c r="E1177" i="69"/>
  <c r="C1177" i="69"/>
  <c r="E1176" i="69"/>
  <c r="C1176" i="69"/>
  <c r="E1175" i="69"/>
  <c r="C1175" i="69"/>
  <c r="E1174" i="69"/>
  <c r="C1174" i="69"/>
  <c r="E1173" i="69"/>
  <c r="C1173" i="69"/>
  <c r="E1172" i="69"/>
  <c r="C1172" i="69"/>
  <c r="E1171" i="69"/>
  <c r="C1171" i="69"/>
  <c r="E1170" i="69"/>
  <c r="C1170" i="69"/>
  <c r="E1169" i="69"/>
  <c r="C1169" i="69"/>
  <c r="E1168" i="69"/>
  <c r="C1168" i="69"/>
  <c r="E1167" i="69"/>
  <c r="C1167" i="69"/>
  <c r="E1166" i="69"/>
  <c r="C1166" i="69"/>
  <c r="E1165" i="69"/>
  <c r="C1165" i="69"/>
  <c r="E1164" i="69"/>
  <c r="C1164" i="69"/>
  <c r="E1163" i="69"/>
  <c r="C1163" i="69"/>
  <c r="E1162" i="69"/>
  <c r="C1162" i="69"/>
  <c r="E1161" i="69"/>
  <c r="C1161" i="69"/>
  <c r="E1160" i="69"/>
  <c r="C1160" i="69"/>
  <c r="E1159" i="69"/>
  <c r="C1159" i="69"/>
  <c r="E1158" i="69"/>
  <c r="C1158" i="69"/>
  <c r="E1157" i="69"/>
  <c r="C1157" i="69"/>
  <c r="E1156" i="69"/>
  <c r="C1156" i="69"/>
  <c r="E1155" i="69"/>
  <c r="C1155" i="69"/>
  <c r="E1154" i="69"/>
  <c r="C1154" i="69"/>
  <c r="E1153" i="69"/>
  <c r="C1153" i="69"/>
  <c r="E1152" i="69"/>
  <c r="C1152" i="69"/>
  <c r="E1151" i="69"/>
  <c r="C1151" i="69"/>
  <c r="E1150" i="69"/>
  <c r="C1150" i="69"/>
  <c r="E1149" i="69"/>
  <c r="C1149" i="69"/>
  <c r="E1148" i="69"/>
  <c r="C1148" i="69"/>
  <c r="E1147" i="69"/>
  <c r="C1147" i="69"/>
  <c r="E1146" i="69"/>
  <c r="C1146" i="69"/>
  <c r="E1145" i="69"/>
  <c r="C1145" i="69"/>
  <c r="E1144" i="69"/>
  <c r="C1144" i="69"/>
  <c r="E1143" i="69"/>
  <c r="C1143" i="69"/>
  <c r="E1142" i="69"/>
  <c r="C1142" i="69"/>
  <c r="E1141" i="69"/>
  <c r="C1141" i="69"/>
  <c r="E1140" i="69"/>
  <c r="C1140" i="69"/>
  <c r="E1139" i="69"/>
  <c r="C1139" i="69"/>
  <c r="E1138" i="69"/>
  <c r="C1138" i="69"/>
  <c r="E1137" i="69"/>
  <c r="C1137" i="69"/>
  <c r="E1136" i="69"/>
  <c r="C1136" i="69"/>
  <c r="E1135" i="69"/>
  <c r="C1135" i="69"/>
  <c r="E1134" i="69"/>
  <c r="C1134" i="69"/>
  <c r="E1133" i="69"/>
  <c r="C1133" i="69"/>
  <c r="E1132" i="69"/>
  <c r="C1132" i="69"/>
  <c r="E1131" i="69"/>
  <c r="C1131" i="69"/>
  <c r="E1130" i="69"/>
  <c r="C1130" i="69"/>
  <c r="E1129" i="69"/>
  <c r="C1129" i="69"/>
  <c r="E1128" i="69"/>
  <c r="C1128" i="69"/>
  <c r="E1127" i="69"/>
  <c r="C1127" i="69"/>
  <c r="E1126" i="69"/>
  <c r="C1126" i="69"/>
  <c r="E1125" i="69"/>
  <c r="C1125" i="69"/>
  <c r="E1124" i="69"/>
  <c r="C1124" i="69"/>
  <c r="E1123" i="69"/>
  <c r="C1123" i="69"/>
  <c r="E1122" i="69"/>
  <c r="C1122" i="69"/>
  <c r="E1121" i="69"/>
  <c r="C1121" i="69"/>
  <c r="E1120" i="69"/>
  <c r="C1120" i="69"/>
  <c r="E1119" i="69"/>
  <c r="C1119" i="69"/>
  <c r="E1118" i="69"/>
  <c r="C1118" i="69"/>
  <c r="E1117" i="69"/>
  <c r="C1117" i="69"/>
  <c r="E1116" i="69"/>
  <c r="C1116" i="69"/>
  <c r="E1115" i="69"/>
  <c r="C1115" i="69"/>
  <c r="E1114" i="69"/>
  <c r="C1114" i="69"/>
  <c r="E1113" i="69"/>
  <c r="C1113" i="69"/>
  <c r="E1112" i="69"/>
  <c r="C1112" i="69"/>
  <c r="E1111" i="69"/>
  <c r="C1111" i="69"/>
  <c r="E1110" i="69"/>
  <c r="C1110" i="69"/>
  <c r="E1109" i="69"/>
  <c r="C1109" i="69"/>
  <c r="E1108" i="69"/>
  <c r="C1108" i="69"/>
  <c r="E1107" i="69"/>
  <c r="C1107" i="69"/>
  <c r="E1106" i="69"/>
  <c r="C1106" i="69"/>
  <c r="E1105" i="69"/>
  <c r="C1105" i="69"/>
  <c r="E1104" i="69"/>
  <c r="C1104" i="69"/>
  <c r="E1103" i="69"/>
  <c r="C1103" i="69"/>
  <c r="E1102" i="69"/>
  <c r="C1102" i="69"/>
  <c r="E1101" i="69"/>
  <c r="C1101" i="69"/>
  <c r="E1100" i="69"/>
  <c r="C1100" i="69"/>
  <c r="E1099" i="69"/>
  <c r="C1099" i="69"/>
  <c r="E1098" i="69"/>
  <c r="C1098" i="69"/>
  <c r="E1097" i="69"/>
  <c r="C1097" i="69"/>
  <c r="E1096" i="69"/>
  <c r="C1096" i="69"/>
  <c r="E1095" i="69"/>
  <c r="C1095" i="69"/>
  <c r="E1094" i="69"/>
  <c r="C1094" i="69"/>
  <c r="E1093" i="69"/>
  <c r="C1093" i="69"/>
  <c r="E1092" i="69"/>
  <c r="C1092" i="69"/>
  <c r="E1091" i="69"/>
  <c r="C1091" i="69"/>
  <c r="E1090" i="69"/>
  <c r="C1090" i="69"/>
  <c r="E1089" i="69"/>
  <c r="C1089" i="69"/>
  <c r="E1088" i="69"/>
  <c r="C1088" i="69"/>
  <c r="E1087" i="69"/>
  <c r="C1087" i="69"/>
  <c r="E1086" i="69"/>
  <c r="C1086" i="69"/>
  <c r="E1085" i="69"/>
  <c r="C1085" i="69"/>
  <c r="E1084" i="69"/>
  <c r="C1084" i="69"/>
  <c r="E1083" i="69"/>
  <c r="C1083" i="69"/>
  <c r="E1082" i="69"/>
  <c r="C1082" i="69"/>
  <c r="E1081" i="69"/>
  <c r="C1081" i="69"/>
  <c r="E1080" i="69"/>
  <c r="C1080" i="69"/>
  <c r="E1079" i="69"/>
  <c r="C1079" i="69"/>
  <c r="E1078" i="69"/>
  <c r="C1078" i="69"/>
  <c r="E1077" i="69"/>
  <c r="C1077" i="69"/>
  <c r="E1076" i="69"/>
  <c r="C1076" i="69"/>
  <c r="E1075" i="69"/>
  <c r="C1075" i="69"/>
  <c r="E1074" i="69"/>
  <c r="C1074" i="69"/>
  <c r="E1073" i="69"/>
  <c r="C1073" i="69"/>
  <c r="E1072" i="69"/>
  <c r="C1072" i="69"/>
  <c r="E1071" i="69"/>
  <c r="C1071" i="69"/>
  <c r="E1070" i="69"/>
  <c r="C1070" i="69"/>
  <c r="E1069" i="69"/>
  <c r="C1069" i="69"/>
  <c r="E1068" i="69"/>
  <c r="C1068" i="69"/>
  <c r="E1067" i="69"/>
  <c r="C1067" i="69"/>
  <c r="E1066" i="69"/>
  <c r="C1066" i="69"/>
  <c r="E1065" i="69"/>
  <c r="C1065" i="69"/>
  <c r="E1064" i="69"/>
  <c r="C1064" i="69"/>
  <c r="E1063" i="69"/>
  <c r="C1063" i="69"/>
  <c r="E1062" i="69"/>
  <c r="C1062" i="69"/>
  <c r="E1061" i="69"/>
  <c r="C1061" i="69"/>
  <c r="E1060" i="69"/>
  <c r="C1060" i="69"/>
  <c r="E1059" i="69"/>
  <c r="C1059" i="69"/>
  <c r="E1058" i="69"/>
  <c r="C1058" i="69"/>
  <c r="E1057" i="69"/>
  <c r="C1057" i="69"/>
  <c r="E1056" i="69"/>
  <c r="C1056" i="69"/>
  <c r="E1055" i="69"/>
  <c r="C1055" i="69"/>
  <c r="E1054" i="69"/>
  <c r="C1054" i="69"/>
  <c r="E1053" i="69"/>
  <c r="C1053" i="69"/>
  <c r="E1052" i="69"/>
  <c r="C1052" i="69"/>
  <c r="E1051" i="69"/>
  <c r="C1051" i="69"/>
  <c r="E1050" i="69"/>
  <c r="C1050" i="69"/>
  <c r="E1049" i="69"/>
  <c r="C1049" i="69"/>
  <c r="E1048" i="69"/>
  <c r="C1048" i="69"/>
  <c r="E1047" i="69"/>
  <c r="C1047" i="69"/>
  <c r="E1046" i="69"/>
  <c r="C1046" i="69"/>
  <c r="E1045" i="69"/>
  <c r="C1045" i="69"/>
  <c r="E1044" i="69"/>
  <c r="C1044" i="69"/>
  <c r="E1043" i="69"/>
  <c r="C1043" i="69"/>
  <c r="E1042" i="69"/>
  <c r="C1042" i="69"/>
  <c r="E1041" i="69"/>
  <c r="C1041" i="69"/>
  <c r="E1040" i="69"/>
  <c r="C1040" i="69"/>
  <c r="E1039" i="69"/>
  <c r="C1039" i="69"/>
  <c r="E1038" i="69"/>
  <c r="C1038" i="69"/>
  <c r="E1037" i="69"/>
  <c r="C1037" i="69"/>
  <c r="E1036" i="69"/>
  <c r="C1036" i="69"/>
  <c r="E1035" i="69"/>
  <c r="C1035" i="69"/>
  <c r="E1034" i="69"/>
  <c r="C1034" i="69"/>
  <c r="E1033" i="69"/>
  <c r="C1033" i="69"/>
  <c r="E1032" i="69"/>
  <c r="C1032" i="69"/>
  <c r="E1031" i="69"/>
  <c r="C1031" i="69"/>
  <c r="E1030" i="69"/>
  <c r="C1030" i="69"/>
  <c r="E1029" i="69"/>
  <c r="C1029" i="69"/>
  <c r="E1028" i="69"/>
  <c r="C1028" i="69"/>
  <c r="E1027" i="69"/>
  <c r="C1027" i="69"/>
  <c r="E1026" i="69"/>
  <c r="C1026" i="69"/>
  <c r="E1025" i="69"/>
  <c r="C1025" i="69"/>
  <c r="E1024" i="69"/>
  <c r="C1024" i="69"/>
  <c r="E1023" i="69"/>
  <c r="C1023" i="69"/>
  <c r="E1022" i="69"/>
  <c r="C1022" i="69"/>
  <c r="E1021" i="69"/>
  <c r="C1021" i="69"/>
  <c r="E1020" i="69"/>
  <c r="C1020" i="69"/>
  <c r="E1019" i="69"/>
  <c r="C1019" i="69"/>
  <c r="E1018" i="69"/>
  <c r="C1018" i="69"/>
  <c r="E1017" i="69"/>
  <c r="C1017" i="69"/>
  <c r="E1016" i="69"/>
  <c r="C1016" i="69"/>
  <c r="E1015" i="69"/>
  <c r="C1015" i="69"/>
  <c r="E1014" i="69"/>
  <c r="C1014" i="69"/>
  <c r="E1013" i="69"/>
  <c r="C1013" i="69"/>
  <c r="E1012" i="69"/>
  <c r="C1012" i="69"/>
  <c r="E1011" i="69"/>
  <c r="C1011" i="69"/>
  <c r="E1010" i="69"/>
  <c r="C1010" i="69"/>
  <c r="E1009" i="69"/>
  <c r="C1009" i="69"/>
  <c r="E1008" i="69"/>
  <c r="C1008" i="69"/>
  <c r="E1007" i="69"/>
  <c r="C1007" i="69"/>
  <c r="E1006" i="69"/>
  <c r="C1006" i="69"/>
  <c r="E1005" i="69"/>
  <c r="C1005" i="69"/>
  <c r="E1004" i="69"/>
  <c r="C1004" i="69"/>
  <c r="E1003" i="69"/>
  <c r="C1003" i="69"/>
  <c r="E1002" i="69"/>
  <c r="C1002" i="69"/>
  <c r="E1001" i="69"/>
  <c r="C1001" i="69"/>
  <c r="E1000" i="69"/>
  <c r="C1000" i="69"/>
  <c r="E999" i="69"/>
  <c r="C999" i="69"/>
  <c r="E998" i="69"/>
  <c r="C998" i="69"/>
  <c r="E997" i="69"/>
  <c r="C997" i="69"/>
  <c r="E996" i="69"/>
  <c r="C996" i="69"/>
  <c r="E995" i="69"/>
  <c r="C995" i="69"/>
  <c r="E994" i="69"/>
  <c r="C994" i="69"/>
  <c r="E993" i="69"/>
  <c r="C993" i="69"/>
  <c r="E992" i="69"/>
  <c r="C992" i="69"/>
  <c r="E991" i="69"/>
  <c r="C991" i="69"/>
  <c r="E990" i="69"/>
  <c r="C990" i="69"/>
  <c r="E989" i="69"/>
  <c r="C989" i="69"/>
  <c r="E988" i="69"/>
  <c r="C988" i="69"/>
  <c r="E987" i="69"/>
  <c r="C987" i="69"/>
  <c r="E986" i="69"/>
  <c r="C986" i="69"/>
  <c r="E985" i="69"/>
  <c r="C985" i="69"/>
  <c r="E984" i="69"/>
  <c r="C984" i="69"/>
  <c r="E983" i="69"/>
  <c r="C983" i="69"/>
  <c r="E982" i="69"/>
  <c r="C982" i="69"/>
  <c r="E981" i="69"/>
  <c r="C981" i="69"/>
  <c r="E980" i="69"/>
  <c r="C980" i="69"/>
  <c r="E979" i="69"/>
  <c r="C979" i="69"/>
  <c r="E978" i="69"/>
  <c r="C978" i="69"/>
  <c r="E977" i="69"/>
  <c r="C977" i="69"/>
  <c r="E976" i="69"/>
  <c r="C976" i="69"/>
  <c r="E975" i="69"/>
  <c r="C975" i="69"/>
  <c r="E974" i="69"/>
  <c r="C974" i="69"/>
  <c r="E973" i="69"/>
  <c r="C973" i="69"/>
  <c r="E972" i="69"/>
  <c r="C972" i="69"/>
  <c r="E971" i="69"/>
  <c r="C971" i="69"/>
  <c r="E970" i="69"/>
  <c r="C970" i="69"/>
  <c r="E969" i="69"/>
  <c r="C969" i="69"/>
  <c r="E968" i="69"/>
  <c r="C968" i="69"/>
  <c r="E967" i="69"/>
  <c r="C967" i="69"/>
  <c r="E966" i="69"/>
  <c r="C966" i="69"/>
  <c r="E965" i="69"/>
  <c r="C965" i="69"/>
  <c r="E964" i="69"/>
  <c r="C964" i="69"/>
  <c r="E963" i="69"/>
  <c r="C963" i="69"/>
  <c r="E962" i="69"/>
  <c r="C962" i="69"/>
  <c r="E961" i="69"/>
  <c r="C961" i="69"/>
  <c r="E960" i="69"/>
  <c r="C960" i="69"/>
  <c r="E959" i="69"/>
  <c r="C959" i="69"/>
  <c r="E958" i="69"/>
  <c r="C958" i="69"/>
  <c r="E957" i="69"/>
  <c r="C957" i="69"/>
  <c r="E956" i="69"/>
  <c r="C956" i="69"/>
  <c r="E955" i="69"/>
  <c r="C955" i="69"/>
  <c r="E954" i="69"/>
  <c r="C954" i="69"/>
  <c r="E953" i="69"/>
  <c r="C953" i="69"/>
  <c r="E952" i="69"/>
  <c r="C952" i="69"/>
  <c r="E951" i="69"/>
  <c r="C951" i="69"/>
  <c r="E950" i="69"/>
  <c r="C950" i="69"/>
  <c r="E949" i="69"/>
  <c r="C949" i="69"/>
  <c r="E948" i="69"/>
  <c r="C948" i="69"/>
  <c r="E947" i="69"/>
  <c r="C947" i="69"/>
  <c r="E946" i="69"/>
  <c r="C946" i="69"/>
  <c r="E945" i="69"/>
  <c r="C945" i="69"/>
  <c r="E944" i="69"/>
  <c r="C944" i="69"/>
  <c r="E943" i="69"/>
  <c r="C943" i="69"/>
  <c r="E942" i="69"/>
  <c r="C942" i="69"/>
  <c r="E941" i="69"/>
  <c r="C941" i="69"/>
  <c r="E940" i="69"/>
  <c r="C940" i="69"/>
  <c r="E939" i="69"/>
  <c r="C939" i="69"/>
  <c r="E938" i="69"/>
  <c r="C938" i="69"/>
  <c r="E937" i="69"/>
  <c r="C937" i="69"/>
  <c r="E936" i="69"/>
  <c r="C936" i="69"/>
  <c r="E935" i="69"/>
  <c r="C935" i="69"/>
  <c r="E934" i="69"/>
  <c r="C934" i="69"/>
  <c r="E933" i="69"/>
  <c r="C933" i="69"/>
  <c r="E932" i="69"/>
  <c r="C932" i="69"/>
  <c r="E931" i="69"/>
  <c r="C931" i="69"/>
  <c r="E930" i="69"/>
  <c r="C930" i="69"/>
  <c r="E929" i="69"/>
  <c r="C929" i="69"/>
  <c r="E928" i="69"/>
  <c r="C928" i="69"/>
  <c r="E927" i="69"/>
  <c r="C927" i="69"/>
  <c r="E926" i="69"/>
  <c r="C926" i="69"/>
  <c r="E925" i="69"/>
  <c r="C925" i="69"/>
  <c r="E924" i="69"/>
  <c r="C924" i="69"/>
  <c r="E923" i="69"/>
  <c r="C923" i="69"/>
  <c r="E922" i="69"/>
  <c r="C922" i="69"/>
  <c r="E921" i="69"/>
  <c r="C921" i="69"/>
  <c r="E920" i="69"/>
  <c r="C920" i="69"/>
  <c r="E919" i="69"/>
  <c r="C919" i="69"/>
  <c r="E918" i="69"/>
  <c r="C918" i="69"/>
  <c r="E917" i="69"/>
  <c r="C917" i="69"/>
  <c r="E916" i="69"/>
  <c r="C916" i="69"/>
  <c r="E915" i="69"/>
  <c r="C915" i="69"/>
  <c r="E914" i="69"/>
  <c r="C914" i="69"/>
  <c r="E913" i="69"/>
  <c r="C913" i="69"/>
  <c r="E912" i="69"/>
  <c r="C912" i="69"/>
  <c r="E911" i="69"/>
  <c r="C911" i="69"/>
  <c r="E910" i="69"/>
  <c r="C910" i="69"/>
  <c r="E909" i="69"/>
  <c r="C909" i="69"/>
  <c r="E908" i="69"/>
  <c r="C908" i="69"/>
  <c r="E907" i="69"/>
  <c r="C907" i="69"/>
  <c r="E906" i="69"/>
  <c r="C906" i="69"/>
  <c r="E905" i="69"/>
  <c r="C905" i="69"/>
  <c r="E904" i="69"/>
  <c r="C904" i="69"/>
  <c r="E903" i="69"/>
  <c r="C903" i="69"/>
  <c r="E902" i="69"/>
  <c r="C902" i="69"/>
  <c r="E901" i="69"/>
  <c r="C901" i="69"/>
  <c r="E900" i="69"/>
  <c r="C900" i="69"/>
  <c r="E899" i="69"/>
  <c r="C899" i="69"/>
  <c r="E898" i="69"/>
  <c r="C898" i="69"/>
  <c r="E897" i="69"/>
  <c r="C897" i="69"/>
  <c r="E896" i="69"/>
  <c r="C896" i="69"/>
  <c r="E895" i="69"/>
  <c r="C895" i="69"/>
  <c r="E894" i="69"/>
  <c r="C894" i="69"/>
  <c r="E893" i="69"/>
  <c r="C893" i="69"/>
  <c r="E892" i="69"/>
  <c r="C892" i="69"/>
  <c r="E891" i="69"/>
  <c r="C891" i="69"/>
  <c r="E890" i="69"/>
  <c r="C890" i="69"/>
  <c r="E889" i="69"/>
  <c r="C889" i="69"/>
  <c r="E888" i="69"/>
  <c r="C888" i="69"/>
  <c r="E887" i="69"/>
  <c r="C887" i="69"/>
  <c r="E886" i="69"/>
  <c r="C886" i="69"/>
  <c r="E885" i="69"/>
  <c r="C885" i="69"/>
  <c r="E884" i="69"/>
  <c r="C884" i="69"/>
  <c r="E883" i="69"/>
  <c r="C883" i="69"/>
  <c r="E882" i="69"/>
  <c r="C882" i="69"/>
  <c r="E881" i="69"/>
  <c r="C881" i="69"/>
  <c r="E880" i="69"/>
  <c r="C880" i="69"/>
  <c r="E879" i="69"/>
  <c r="C879" i="69"/>
  <c r="E878" i="69"/>
  <c r="C878" i="69"/>
  <c r="E877" i="69"/>
  <c r="C877" i="69"/>
  <c r="E876" i="69"/>
  <c r="C876" i="69"/>
  <c r="E875" i="69"/>
  <c r="C875" i="69"/>
  <c r="E874" i="69"/>
  <c r="C874" i="69"/>
  <c r="E873" i="69"/>
  <c r="C873" i="69"/>
  <c r="E872" i="69"/>
  <c r="C872" i="69"/>
  <c r="E871" i="69"/>
  <c r="C871" i="69"/>
  <c r="E870" i="69"/>
  <c r="C870" i="69"/>
  <c r="E869" i="69"/>
  <c r="C869" i="69"/>
  <c r="E868" i="69"/>
  <c r="C868" i="69"/>
  <c r="E867" i="69"/>
  <c r="C867" i="69"/>
  <c r="E866" i="69"/>
  <c r="C866" i="69"/>
  <c r="E865" i="69"/>
  <c r="C865" i="69"/>
  <c r="E864" i="69"/>
  <c r="C864" i="69"/>
  <c r="E863" i="69"/>
  <c r="C863" i="69"/>
  <c r="E862" i="69"/>
  <c r="C862" i="69"/>
  <c r="E861" i="69"/>
  <c r="C861" i="69"/>
  <c r="E860" i="69"/>
  <c r="C860" i="69"/>
  <c r="E859" i="69"/>
  <c r="C859" i="69"/>
  <c r="E858" i="69"/>
  <c r="C858" i="69"/>
  <c r="E857" i="69"/>
  <c r="C857" i="69"/>
  <c r="E856" i="69"/>
  <c r="C856" i="69"/>
  <c r="E855" i="69"/>
  <c r="C855" i="69"/>
  <c r="E854" i="69"/>
  <c r="C854" i="69"/>
  <c r="E853" i="69"/>
  <c r="C853" i="69"/>
  <c r="E852" i="69"/>
  <c r="C852" i="69"/>
  <c r="E851" i="69"/>
  <c r="C851" i="69"/>
  <c r="E850" i="69"/>
  <c r="C850" i="69"/>
  <c r="E849" i="69"/>
  <c r="C849" i="69"/>
  <c r="E848" i="69"/>
  <c r="C848" i="69"/>
  <c r="E847" i="69"/>
  <c r="C847" i="69"/>
  <c r="E846" i="69"/>
  <c r="C846" i="69"/>
  <c r="E845" i="69"/>
  <c r="C845" i="69"/>
  <c r="E844" i="69"/>
  <c r="C844" i="69"/>
  <c r="E843" i="69"/>
  <c r="C843" i="69"/>
  <c r="E842" i="69"/>
  <c r="C842" i="69"/>
  <c r="E841" i="69"/>
  <c r="C841" i="69"/>
  <c r="E840" i="69"/>
  <c r="C840" i="69"/>
  <c r="E839" i="69"/>
  <c r="C839" i="69"/>
  <c r="E838" i="69"/>
  <c r="C838" i="69"/>
  <c r="E837" i="69"/>
  <c r="C837" i="69"/>
  <c r="E836" i="69"/>
  <c r="C836" i="69"/>
  <c r="E835" i="69"/>
  <c r="C835" i="69"/>
  <c r="E834" i="69"/>
  <c r="C834" i="69"/>
  <c r="E833" i="69"/>
  <c r="C833" i="69"/>
  <c r="E832" i="69"/>
  <c r="C832" i="69"/>
  <c r="E831" i="69"/>
  <c r="C831" i="69"/>
  <c r="E830" i="69"/>
  <c r="C830" i="69"/>
  <c r="E829" i="69"/>
  <c r="C829" i="69"/>
  <c r="E828" i="69"/>
  <c r="C828" i="69"/>
  <c r="E827" i="69"/>
  <c r="C827" i="69"/>
  <c r="E826" i="69"/>
  <c r="C826" i="69"/>
  <c r="E825" i="69"/>
  <c r="C825" i="69"/>
  <c r="E824" i="69"/>
  <c r="C824" i="69"/>
  <c r="E823" i="69"/>
  <c r="C823" i="69"/>
  <c r="E822" i="69"/>
  <c r="C822" i="69"/>
  <c r="E821" i="69"/>
  <c r="C821" i="69"/>
  <c r="E820" i="69"/>
  <c r="C820" i="69"/>
  <c r="E819" i="69"/>
  <c r="C819" i="69"/>
  <c r="E818" i="69"/>
  <c r="C818" i="69"/>
  <c r="E817" i="69"/>
  <c r="C817" i="69"/>
  <c r="E816" i="69"/>
  <c r="C816" i="69"/>
  <c r="E815" i="69"/>
  <c r="C815" i="69"/>
  <c r="E814" i="69"/>
  <c r="C814" i="69"/>
  <c r="E813" i="69"/>
  <c r="C813" i="69"/>
  <c r="E812" i="69"/>
  <c r="C812" i="69"/>
  <c r="E811" i="69"/>
  <c r="C811" i="69"/>
  <c r="E810" i="69"/>
  <c r="C810" i="69"/>
  <c r="E809" i="69"/>
  <c r="C809" i="69"/>
  <c r="E808" i="69"/>
  <c r="C808" i="69"/>
  <c r="E807" i="69"/>
  <c r="C807" i="69"/>
  <c r="E806" i="69"/>
  <c r="C806" i="69"/>
  <c r="E805" i="69"/>
  <c r="C805" i="69"/>
  <c r="E804" i="69"/>
  <c r="C804" i="69"/>
  <c r="E803" i="69"/>
  <c r="C803" i="69"/>
  <c r="E802" i="69"/>
  <c r="C802" i="69"/>
  <c r="E801" i="69"/>
  <c r="C801" i="69"/>
  <c r="E800" i="69"/>
  <c r="C800" i="69"/>
  <c r="E799" i="69"/>
  <c r="C799" i="69"/>
  <c r="E798" i="69"/>
  <c r="C798" i="69"/>
  <c r="E797" i="69"/>
  <c r="C797" i="69"/>
  <c r="E796" i="69"/>
  <c r="C796" i="69"/>
  <c r="E795" i="69"/>
  <c r="C795" i="69"/>
  <c r="E794" i="69"/>
  <c r="C794" i="69"/>
  <c r="E793" i="69"/>
  <c r="C793" i="69"/>
  <c r="E792" i="69"/>
  <c r="C792" i="69"/>
  <c r="E791" i="69"/>
  <c r="C791" i="69"/>
  <c r="E790" i="69"/>
  <c r="C790" i="69"/>
  <c r="E789" i="69"/>
  <c r="C789" i="69"/>
  <c r="E788" i="69"/>
  <c r="C788" i="69"/>
  <c r="E787" i="69"/>
  <c r="C787" i="69"/>
  <c r="E786" i="69"/>
  <c r="C786" i="69"/>
  <c r="E785" i="69"/>
  <c r="C785" i="69"/>
  <c r="E784" i="69"/>
  <c r="C784" i="69"/>
  <c r="E783" i="69"/>
  <c r="C783" i="69"/>
  <c r="E782" i="69"/>
  <c r="C782" i="69"/>
  <c r="E781" i="69"/>
  <c r="C781" i="69"/>
  <c r="E780" i="69"/>
  <c r="C780" i="69"/>
  <c r="E779" i="69"/>
  <c r="C779" i="69"/>
  <c r="E778" i="69"/>
  <c r="C778" i="69"/>
  <c r="E777" i="69"/>
  <c r="C777" i="69"/>
  <c r="E776" i="69"/>
  <c r="C776" i="69"/>
  <c r="E775" i="69"/>
  <c r="C775" i="69"/>
  <c r="E774" i="69"/>
  <c r="C774" i="69"/>
  <c r="E773" i="69"/>
  <c r="C773" i="69"/>
  <c r="E772" i="69"/>
  <c r="C772" i="69"/>
  <c r="E771" i="69"/>
  <c r="C771" i="69"/>
  <c r="E770" i="69"/>
  <c r="C770" i="69"/>
  <c r="E769" i="69"/>
  <c r="C769" i="69"/>
  <c r="E768" i="69"/>
  <c r="C768" i="69"/>
  <c r="E767" i="69"/>
  <c r="C767" i="69"/>
  <c r="E766" i="69"/>
  <c r="C766" i="69"/>
  <c r="E765" i="69"/>
  <c r="C765" i="69"/>
  <c r="E764" i="69"/>
  <c r="C764" i="69"/>
  <c r="E763" i="69"/>
  <c r="C763" i="69"/>
  <c r="E762" i="69"/>
  <c r="C762" i="69"/>
  <c r="E761" i="69"/>
  <c r="C761" i="69"/>
  <c r="E760" i="69"/>
  <c r="C760" i="69"/>
  <c r="E759" i="69"/>
  <c r="C759" i="69"/>
  <c r="E758" i="69"/>
  <c r="C758" i="69"/>
  <c r="E757" i="69"/>
  <c r="C757" i="69"/>
  <c r="E756" i="69"/>
  <c r="C756" i="69"/>
  <c r="E755" i="69"/>
  <c r="C755" i="69"/>
  <c r="E754" i="69"/>
  <c r="C754" i="69"/>
  <c r="E753" i="69"/>
  <c r="C753" i="69"/>
  <c r="E752" i="69"/>
  <c r="C752" i="69"/>
  <c r="E751" i="69"/>
  <c r="C751" i="69"/>
  <c r="E750" i="69"/>
  <c r="C750" i="69"/>
  <c r="E749" i="69"/>
  <c r="C749" i="69"/>
  <c r="E748" i="69"/>
  <c r="C748" i="69"/>
  <c r="E747" i="69"/>
  <c r="C747" i="69"/>
  <c r="E746" i="69"/>
  <c r="C746" i="69"/>
  <c r="E745" i="69"/>
  <c r="C745" i="69"/>
  <c r="E744" i="69"/>
  <c r="C744" i="69"/>
  <c r="E743" i="69"/>
  <c r="C743" i="69"/>
  <c r="E742" i="69"/>
  <c r="C742" i="69"/>
  <c r="E741" i="69"/>
  <c r="C741" i="69"/>
  <c r="E740" i="69"/>
  <c r="C740" i="69"/>
  <c r="E739" i="69"/>
  <c r="C739" i="69"/>
  <c r="E738" i="69"/>
  <c r="C738" i="69"/>
  <c r="E737" i="69"/>
  <c r="C737" i="69"/>
  <c r="E736" i="69"/>
  <c r="C736" i="69"/>
  <c r="E735" i="69"/>
  <c r="C735" i="69"/>
  <c r="E734" i="69"/>
  <c r="C734" i="69"/>
  <c r="E733" i="69"/>
  <c r="C733" i="69"/>
  <c r="E732" i="69"/>
  <c r="C732" i="69"/>
  <c r="E731" i="69"/>
  <c r="C731" i="69"/>
  <c r="E730" i="69"/>
  <c r="C730" i="69"/>
  <c r="E729" i="69"/>
  <c r="C729" i="69"/>
  <c r="E728" i="69"/>
  <c r="C728" i="69"/>
  <c r="E727" i="69"/>
  <c r="C727" i="69"/>
  <c r="E726" i="69"/>
  <c r="C726" i="69"/>
  <c r="E725" i="69"/>
  <c r="C725" i="69"/>
  <c r="E724" i="69"/>
  <c r="C724" i="69"/>
  <c r="E723" i="69"/>
  <c r="C723" i="69"/>
  <c r="E722" i="69"/>
  <c r="C722" i="69"/>
  <c r="E721" i="69"/>
  <c r="C721" i="69"/>
  <c r="E720" i="69"/>
  <c r="C720" i="69"/>
  <c r="E719" i="69"/>
  <c r="C719" i="69"/>
  <c r="E718" i="69"/>
  <c r="C718" i="69"/>
  <c r="E717" i="69"/>
  <c r="C717" i="69"/>
  <c r="E716" i="69"/>
  <c r="C716" i="69"/>
  <c r="E715" i="69"/>
  <c r="C715" i="69"/>
  <c r="E714" i="69"/>
  <c r="C714" i="69"/>
  <c r="E713" i="69"/>
  <c r="C713" i="69"/>
  <c r="E712" i="69"/>
  <c r="C712" i="69"/>
  <c r="E711" i="69"/>
  <c r="C711" i="69"/>
  <c r="E710" i="69"/>
  <c r="C710" i="69"/>
  <c r="E709" i="69"/>
  <c r="C709" i="69"/>
  <c r="E708" i="69"/>
  <c r="C708" i="69"/>
  <c r="E707" i="69"/>
  <c r="C707" i="69"/>
  <c r="E706" i="69"/>
  <c r="C706" i="69"/>
  <c r="E705" i="69"/>
  <c r="C705" i="69"/>
  <c r="E704" i="69"/>
  <c r="C704" i="69"/>
  <c r="E703" i="69"/>
  <c r="C703" i="69"/>
  <c r="E702" i="69"/>
  <c r="C702" i="69"/>
  <c r="E701" i="69"/>
  <c r="C701" i="69"/>
  <c r="E700" i="69"/>
  <c r="C700" i="69"/>
  <c r="E699" i="69"/>
  <c r="C699" i="69"/>
  <c r="E698" i="69"/>
  <c r="C698" i="69"/>
  <c r="E697" i="69"/>
  <c r="C697" i="69"/>
  <c r="E696" i="69"/>
  <c r="C696" i="69"/>
  <c r="E695" i="69"/>
  <c r="C695" i="69"/>
  <c r="E694" i="69"/>
  <c r="C694" i="69"/>
  <c r="E693" i="69"/>
  <c r="C693" i="69"/>
  <c r="E692" i="69"/>
  <c r="C692" i="69"/>
  <c r="E691" i="69"/>
  <c r="C691" i="69"/>
  <c r="E690" i="69"/>
  <c r="C690" i="69"/>
  <c r="E689" i="69"/>
  <c r="C689" i="69"/>
  <c r="E688" i="69"/>
  <c r="C688" i="69"/>
  <c r="E687" i="69"/>
  <c r="C687" i="69"/>
  <c r="E686" i="69"/>
  <c r="C686" i="69"/>
  <c r="E685" i="69"/>
  <c r="C685" i="69"/>
  <c r="E684" i="69"/>
  <c r="C684" i="69"/>
  <c r="E683" i="69"/>
  <c r="C683" i="69"/>
  <c r="E682" i="69"/>
  <c r="C682" i="69"/>
  <c r="E681" i="69"/>
  <c r="C681" i="69"/>
  <c r="E680" i="69"/>
  <c r="C680" i="69"/>
  <c r="E679" i="69"/>
  <c r="C679" i="69"/>
  <c r="E678" i="69"/>
  <c r="C678" i="69"/>
  <c r="E677" i="69"/>
  <c r="C677" i="69"/>
  <c r="E676" i="69"/>
  <c r="C676" i="69"/>
  <c r="E675" i="69"/>
  <c r="C675" i="69"/>
  <c r="E674" i="69"/>
  <c r="C674" i="69"/>
  <c r="E673" i="69"/>
  <c r="C673" i="69"/>
  <c r="E672" i="69"/>
  <c r="C672" i="69"/>
  <c r="E671" i="69"/>
  <c r="C671" i="69"/>
  <c r="E670" i="69"/>
  <c r="C670" i="69"/>
  <c r="E669" i="69"/>
  <c r="C669" i="69"/>
  <c r="E668" i="69"/>
  <c r="C668" i="69"/>
  <c r="E667" i="69"/>
  <c r="C667" i="69"/>
  <c r="E666" i="69"/>
  <c r="C666" i="69"/>
  <c r="E665" i="69"/>
  <c r="C665" i="69"/>
  <c r="E664" i="69"/>
  <c r="C664" i="69"/>
  <c r="E663" i="69"/>
  <c r="C663" i="69"/>
  <c r="E662" i="69"/>
  <c r="C662" i="69"/>
  <c r="E661" i="69"/>
  <c r="C661" i="69"/>
  <c r="E660" i="69"/>
  <c r="C660" i="69"/>
  <c r="E659" i="69"/>
  <c r="C659" i="69"/>
  <c r="E658" i="69"/>
  <c r="C658" i="69"/>
  <c r="E657" i="69"/>
  <c r="C657" i="69"/>
  <c r="E656" i="69"/>
  <c r="C656" i="69"/>
  <c r="E655" i="69"/>
  <c r="C655" i="69"/>
  <c r="E654" i="69"/>
  <c r="C654" i="69"/>
  <c r="E653" i="69"/>
  <c r="C653" i="69"/>
  <c r="E652" i="69"/>
  <c r="C652" i="69"/>
  <c r="E651" i="69"/>
  <c r="C651" i="69"/>
  <c r="E650" i="69"/>
  <c r="C650" i="69"/>
  <c r="E649" i="69"/>
  <c r="C649" i="69"/>
  <c r="E648" i="69"/>
  <c r="C648" i="69"/>
  <c r="E647" i="69"/>
  <c r="C647" i="69"/>
  <c r="E646" i="69"/>
  <c r="C646" i="69"/>
  <c r="E645" i="69"/>
  <c r="C645" i="69"/>
  <c r="E644" i="69"/>
  <c r="C644" i="69"/>
  <c r="E643" i="69"/>
  <c r="C643" i="69"/>
  <c r="E642" i="69"/>
  <c r="C642" i="69"/>
  <c r="E641" i="69"/>
  <c r="C641" i="69"/>
  <c r="E640" i="69"/>
  <c r="C640" i="69"/>
  <c r="E639" i="69"/>
  <c r="C639" i="69"/>
  <c r="E638" i="69"/>
  <c r="C638" i="69"/>
  <c r="E637" i="69"/>
  <c r="C637" i="69"/>
  <c r="E636" i="69"/>
  <c r="C636" i="69"/>
  <c r="E635" i="69"/>
  <c r="C635" i="69"/>
  <c r="E634" i="69"/>
  <c r="C634" i="69"/>
  <c r="E633" i="69"/>
  <c r="C633" i="69"/>
  <c r="E632" i="69"/>
  <c r="C632" i="69"/>
  <c r="E631" i="69"/>
  <c r="C631" i="69"/>
  <c r="E630" i="69"/>
  <c r="C630" i="69"/>
  <c r="E629" i="69"/>
  <c r="C629" i="69"/>
  <c r="E628" i="69"/>
  <c r="C628" i="69"/>
  <c r="E627" i="69"/>
  <c r="C627" i="69"/>
  <c r="E626" i="69"/>
  <c r="C626" i="69"/>
  <c r="E625" i="69"/>
  <c r="C625" i="69"/>
  <c r="E624" i="69"/>
  <c r="C624" i="69"/>
  <c r="E623" i="69"/>
  <c r="C623" i="69"/>
  <c r="E622" i="69"/>
  <c r="C622" i="69"/>
  <c r="E621" i="69"/>
  <c r="C621" i="69"/>
  <c r="E620" i="69"/>
  <c r="C620" i="69"/>
  <c r="E619" i="69"/>
  <c r="C619" i="69"/>
  <c r="E618" i="69"/>
  <c r="C618" i="69"/>
  <c r="E617" i="69"/>
  <c r="C617" i="69"/>
  <c r="E616" i="69"/>
  <c r="C616" i="69"/>
  <c r="E615" i="69"/>
  <c r="C615" i="69"/>
  <c r="E614" i="69"/>
  <c r="C614" i="69"/>
  <c r="E613" i="69"/>
  <c r="C613" i="69"/>
  <c r="E612" i="69"/>
  <c r="C612" i="69"/>
  <c r="E611" i="69"/>
  <c r="C611" i="69"/>
  <c r="E610" i="69"/>
  <c r="C610" i="69"/>
  <c r="E609" i="69"/>
  <c r="C609" i="69"/>
  <c r="E608" i="69"/>
  <c r="C608" i="69"/>
  <c r="E607" i="69"/>
  <c r="C607" i="69"/>
  <c r="E606" i="69"/>
  <c r="C606" i="69"/>
  <c r="E605" i="69"/>
  <c r="C605" i="69"/>
  <c r="E604" i="69"/>
  <c r="C604" i="69"/>
  <c r="E603" i="69"/>
  <c r="C603" i="69"/>
  <c r="E602" i="69"/>
  <c r="C602" i="69"/>
  <c r="E601" i="69"/>
  <c r="C601" i="69"/>
  <c r="E600" i="69"/>
  <c r="C600" i="69"/>
  <c r="E599" i="69"/>
  <c r="C599" i="69"/>
  <c r="E598" i="69"/>
  <c r="C598" i="69"/>
  <c r="E597" i="69"/>
  <c r="C597" i="69"/>
  <c r="E596" i="69"/>
  <c r="C596" i="69"/>
  <c r="E595" i="69"/>
  <c r="C595" i="69"/>
  <c r="E594" i="69"/>
  <c r="C594" i="69"/>
  <c r="E593" i="69"/>
  <c r="C593" i="69"/>
  <c r="E592" i="69"/>
  <c r="C592" i="69"/>
  <c r="E591" i="69"/>
  <c r="C591" i="69"/>
  <c r="E590" i="69"/>
  <c r="C590" i="69"/>
  <c r="E589" i="69"/>
  <c r="C589" i="69"/>
  <c r="E588" i="69"/>
  <c r="C588" i="69"/>
  <c r="E587" i="69"/>
  <c r="C587" i="69"/>
  <c r="E586" i="69"/>
  <c r="C586" i="69"/>
  <c r="E585" i="69"/>
  <c r="C585" i="69"/>
  <c r="E584" i="69"/>
  <c r="C584" i="69"/>
  <c r="E583" i="69"/>
  <c r="C583" i="69"/>
  <c r="E582" i="69"/>
  <c r="C582" i="69"/>
  <c r="E581" i="69"/>
  <c r="C581" i="69"/>
  <c r="E580" i="69"/>
  <c r="C580" i="69"/>
  <c r="E579" i="69"/>
  <c r="C579" i="69"/>
  <c r="E578" i="69"/>
  <c r="C578" i="69"/>
  <c r="E577" i="69"/>
  <c r="C577" i="69"/>
  <c r="E576" i="69"/>
  <c r="C576" i="69"/>
  <c r="E575" i="69"/>
  <c r="C575" i="69"/>
  <c r="E574" i="69"/>
  <c r="C574" i="69"/>
  <c r="E573" i="69"/>
  <c r="C573" i="69"/>
  <c r="E572" i="69"/>
  <c r="C572" i="69"/>
  <c r="E571" i="69"/>
  <c r="C571" i="69"/>
  <c r="E570" i="69"/>
  <c r="C570" i="69"/>
  <c r="E569" i="69"/>
  <c r="C569" i="69"/>
  <c r="E568" i="69"/>
  <c r="C568" i="69"/>
  <c r="E567" i="69"/>
  <c r="C567" i="69"/>
  <c r="E566" i="69"/>
  <c r="C566" i="69"/>
  <c r="E565" i="69"/>
  <c r="C565" i="69"/>
  <c r="E564" i="69"/>
  <c r="C564" i="69"/>
  <c r="E563" i="69"/>
  <c r="C563" i="69"/>
  <c r="E562" i="69"/>
  <c r="C562" i="69"/>
  <c r="E561" i="69"/>
  <c r="C561" i="69"/>
  <c r="E560" i="69"/>
  <c r="C560" i="69"/>
  <c r="E559" i="69"/>
  <c r="C559" i="69"/>
  <c r="E558" i="69"/>
  <c r="C558" i="69"/>
  <c r="E557" i="69"/>
  <c r="C557" i="69"/>
  <c r="E556" i="69"/>
  <c r="C556" i="69"/>
  <c r="E555" i="69"/>
  <c r="C555" i="69"/>
  <c r="E554" i="69"/>
  <c r="C554" i="69"/>
  <c r="E553" i="69"/>
  <c r="C553" i="69"/>
  <c r="E552" i="69"/>
  <c r="C552" i="69"/>
  <c r="E551" i="69"/>
  <c r="C551" i="69"/>
  <c r="E550" i="69"/>
  <c r="C550" i="69"/>
  <c r="E549" i="69"/>
  <c r="C549" i="69"/>
  <c r="E548" i="69"/>
  <c r="C548" i="69"/>
  <c r="E547" i="69"/>
  <c r="C547" i="69"/>
  <c r="E546" i="69"/>
  <c r="C546" i="69"/>
  <c r="E545" i="69"/>
  <c r="C545" i="69"/>
  <c r="E544" i="69"/>
  <c r="C544" i="69"/>
  <c r="E543" i="69"/>
  <c r="C543" i="69"/>
  <c r="E542" i="69"/>
  <c r="C542" i="69"/>
  <c r="E541" i="69"/>
  <c r="C541" i="69"/>
  <c r="E540" i="69"/>
  <c r="C540" i="69"/>
  <c r="E539" i="69"/>
  <c r="C539" i="69"/>
  <c r="E538" i="69"/>
  <c r="C538" i="69"/>
  <c r="E537" i="69"/>
  <c r="C537" i="69"/>
  <c r="E536" i="69"/>
  <c r="C536" i="69"/>
  <c r="E535" i="69"/>
  <c r="C535" i="69"/>
  <c r="E534" i="69"/>
  <c r="C534" i="69"/>
  <c r="E533" i="69"/>
  <c r="C533" i="69"/>
  <c r="E532" i="69"/>
  <c r="C532" i="69"/>
  <c r="E531" i="69"/>
  <c r="C531" i="69"/>
  <c r="E530" i="69"/>
  <c r="C530" i="69"/>
  <c r="E529" i="69"/>
  <c r="C529" i="69"/>
  <c r="E528" i="69"/>
  <c r="C528" i="69"/>
  <c r="E527" i="69"/>
  <c r="C527" i="69"/>
  <c r="E526" i="69"/>
  <c r="C526" i="69"/>
  <c r="E525" i="69"/>
  <c r="C525" i="69"/>
  <c r="E524" i="69"/>
  <c r="C524" i="69"/>
  <c r="E523" i="69"/>
  <c r="C523" i="69"/>
  <c r="E522" i="69"/>
  <c r="C522" i="69"/>
  <c r="E521" i="69"/>
  <c r="C521" i="69"/>
  <c r="E520" i="69"/>
  <c r="C520" i="69"/>
  <c r="E519" i="69"/>
  <c r="C519" i="69"/>
  <c r="E518" i="69"/>
  <c r="C518" i="69"/>
  <c r="E517" i="69"/>
  <c r="C517" i="69"/>
  <c r="E516" i="69"/>
  <c r="C516" i="69"/>
  <c r="E515" i="69"/>
  <c r="C515" i="69"/>
  <c r="E514" i="69"/>
  <c r="C514" i="69"/>
  <c r="E513" i="69"/>
  <c r="C513" i="69"/>
  <c r="E512" i="69"/>
  <c r="C512" i="69"/>
  <c r="E511" i="69"/>
  <c r="C511" i="69"/>
  <c r="E510" i="69"/>
  <c r="C510" i="69"/>
  <c r="E509" i="69"/>
  <c r="C509" i="69"/>
  <c r="E508" i="69"/>
  <c r="C508" i="69"/>
  <c r="E507" i="69"/>
  <c r="C507" i="69"/>
  <c r="E506" i="69"/>
  <c r="C506" i="69"/>
  <c r="E505" i="69"/>
  <c r="C505" i="69"/>
  <c r="E504" i="69"/>
  <c r="C504" i="69"/>
  <c r="E503" i="69"/>
  <c r="C503" i="69"/>
  <c r="E502" i="69"/>
  <c r="C502" i="69"/>
  <c r="E501" i="69"/>
  <c r="C501" i="69"/>
  <c r="E500" i="69"/>
  <c r="C500" i="69"/>
  <c r="E499" i="69"/>
  <c r="C499" i="69"/>
  <c r="E498" i="69"/>
  <c r="C498" i="69"/>
  <c r="E497" i="69"/>
  <c r="C497" i="69"/>
  <c r="E496" i="69"/>
  <c r="C496" i="69"/>
  <c r="E495" i="69"/>
  <c r="C495" i="69"/>
  <c r="E494" i="69"/>
  <c r="C494" i="69"/>
  <c r="E493" i="69"/>
  <c r="C493" i="69"/>
  <c r="E492" i="69"/>
  <c r="C492" i="69"/>
  <c r="E491" i="69"/>
  <c r="C491" i="69"/>
  <c r="E490" i="69"/>
  <c r="C490" i="69"/>
  <c r="E489" i="69"/>
  <c r="C489" i="69"/>
  <c r="E488" i="69"/>
  <c r="C488" i="69"/>
  <c r="E487" i="69"/>
  <c r="C487" i="69"/>
  <c r="E486" i="69"/>
  <c r="C486" i="69"/>
  <c r="E485" i="69"/>
  <c r="C485" i="69"/>
  <c r="E484" i="69"/>
  <c r="C484" i="69"/>
  <c r="E483" i="69"/>
  <c r="C483" i="69"/>
  <c r="E482" i="69"/>
  <c r="C482" i="69"/>
  <c r="E481" i="69"/>
  <c r="C481" i="69"/>
  <c r="E480" i="69"/>
  <c r="C480" i="69"/>
  <c r="E479" i="69"/>
  <c r="C479" i="69"/>
  <c r="E478" i="69"/>
  <c r="C478" i="69"/>
  <c r="E477" i="69"/>
  <c r="C477" i="69"/>
  <c r="E476" i="69"/>
  <c r="C476" i="69"/>
  <c r="E475" i="69"/>
  <c r="C475" i="69"/>
  <c r="E474" i="69"/>
  <c r="C474" i="69"/>
  <c r="E473" i="69"/>
  <c r="C473" i="69"/>
  <c r="E472" i="69"/>
  <c r="C472" i="69"/>
  <c r="E471" i="69"/>
  <c r="C471" i="69"/>
  <c r="E470" i="69"/>
  <c r="C470" i="69"/>
  <c r="E469" i="69"/>
  <c r="C469" i="69"/>
  <c r="E468" i="69"/>
  <c r="C468" i="69"/>
  <c r="E467" i="69"/>
  <c r="C467" i="69"/>
  <c r="E466" i="69"/>
  <c r="C466" i="69"/>
  <c r="E465" i="69"/>
  <c r="C465" i="69"/>
  <c r="E464" i="69"/>
  <c r="C464" i="69"/>
  <c r="E463" i="69"/>
  <c r="C463" i="69"/>
  <c r="E462" i="69"/>
  <c r="C462" i="69"/>
  <c r="E461" i="69"/>
  <c r="C461" i="69"/>
  <c r="E460" i="69"/>
  <c r="C460" i="69"/>
  <c r="E459" i="69"/>
  <c r="C459" i="69"/>
  <c r="E458" i="69"/>
  <c r="C458" i="69"/>
  <c r="E457" i="69"/>
  <c r="C457" i="69"/>
  <c r="E456" i="69"/>
  <c r="C456" i="69"/>
  <c r="E455" i="69"/>
  <c r="C455" i="69"/>
  <c r="E454" i="69"/>
  <c r="C454" i="69"/>
  <c r="E453" i="69"/>
  <c r="C453" i="69"/>
  <c r="E452" i="69"/>
  <c r="C452" i="69"/>
  <c r="E451" i="69"/>
  <c r="C451" i="69"/>
  <c r="E450" i="69"/>
  <c r="C450" i="69"/>
  <c r="E449" i="69"/>
  <c r="C449" i="69"/>
  <c r="E448" i="69"/>
  <c r="C448" i="69"/>
  <c r="E447" i="69"/>
  <c r="C447" i="69"/>
  <c r="E446" i="69"/>
  <c r="C446" i="69"/>
  <c r="E445" i="69"/>
  <c r="C445" i="69"/>
  <c r="E444" i="69"/>
  <c r="C444" i="69"/>
  <c r="E443" i="69"/>
  <c r="C443" i="69"/>
  <c r="E442" i="69"/>
  <c r="C442" i="69"/>
  <c r="E441" i="69"/>
  <c r="C441" i="69"/>
  <c r="E440" i="69"/>
  <c r="C440" i="69"/>
  <c r="E439" i="69"/>
  <c r="C439" i="69"/>
  <c r="E438" i="69"/>
  <c r="C438" i="69"/>
  <c r="E437" i="69"/>
  <c r="C437" i="69"/>
  <c r="E436" i="69"/>
  <c r="C436" i="69"/>
  <c r="E435" i="69"/>
  <c r="C435" i="69"/>
  <c r="E434" i="69"/>
  <c r="C434" i="69"/>
  <c r="E433" i="69"/>
  <c r="C433" i="69"/>
  <c r="E432" i="69"/>
  <c r="C432" i="69"/>
  <c r="E431" i="69"/>
  <c r="C431" i="69"/>
  <c r="E430" i="69"/>
  <c r="C430" i="69"/>
  <c r="E429" i="69"/>
  <c r="C429" i="69"/>
  <c r="E428" i="69"/>
  <c r="C428" i="69"/>
  <c r="E427" i="69"/>
  <c r="C427" i="69"/>
  <c r="E426" i="69"/>
  <c r="C426" i="69"/>
  <c r="E425" i="69"/>
  <c r="C425" i="69"/>
  <c r="E424" i="69"/>
  <c r="C424" i="69"/>
  <c r="E423" i="69"/>
  <c r="C423" i="69"/>
  <c r="E422" i="69"/>
  <c r="C422" i="69"/>
  <c r="E421" i="69"/>
  <c r="C421" i="69"/>
  <c r="E420" i="69"/>
  <c r="C420" i="69"/>
  <c r="E419" i="69"/>
  <c r="C419" i="69"/>
  <c r="E418" i="69"/>
  <c r="C418" i="69"/>
  <c r="E417" i="69"/>
  <c r="C417" i="69"/>
  <c r="E416" i="69"/>
  <c r="C416" i="69"/>
  <c r="E415" i="69"/>
  <c r="C415" i="69"/>
  <c r="E414" i="69"/>
  <c r="C414" i="69"/>
  <c r="E413" i="69"/>
  <c r="C413" i="69"/>
  <c r="E412" i="69"/>
  <c r="C412" i="69"/>
  <c r="E411" i="69"/>
  <c r="C411" i="69"/>
  <c r="E410" i="69"/>
  <c r="C410" i="69"/>
  <c r="E409" i="69"/>
  <c r="C409" i="69"/>
  <c r="E408" i="69"/>
  <c r="C408" i="69"/>
  <c r="E407" i="69"/>
  <c r="C407" i="69"/>
  <c r="E406" i="69"/>
  <c r="C406" i="69"/>
  <c r="E405" i="69"/>
  <c r="C405" i="69"/>
  <c r="E404" i="69"/>
  <c r="C404" i="69"/>
  <c r="E403" i="69"/>
  <c r="C403" i="69"/>
  <c r="E402" i="69"/>
  <c r="C402" i="69"/>
  <c r="E401" i="69"/>
  <c r="C401" i="69"/>
  <c r="E400" i="69"/>
  <c r="C400" i="69"/>
  <c r="E399" i="69"/>
  <c r="C399" i="69"/>
  <c r="E398" i="69"/>
  <c r="C398" i="69"/>
  <c r="E397" i="69"/>
  <c r="C397" i="69"/>
  <c r="E396" i="69"/>
  <c r="C396" i="69"/>
  <c r="E395" i="69"/>
  <c r="C395" i="69"/>
  <c r="E394" i="69"/>
  <c r="C394" i="69"/>
  <c r="E393" i="69"/>
  <c r="C393" i="69"/>
  <c r="E392" i="69"/>
  <c r="C392" i="69"/>
  <c r="E391" i="69"/>
  <c r="C391" i="69"/>
  <c r="E390" i="69"/>
  <c r="C390" i="69"/>
  <c r="E389" i="69"/>
  <c r="C389" i="69"/>
  <c r="E388" i="69"/>
  <c r="C388" i="69"/>
  <c r="E387" i="69"/>
  <c r="C387" i="69"/>
  <c r="E386" i="69"/>
  <c r="C386" i="69"/>
  <c r="E385" i="69"/>
  <c r="C385" i="69"/>
  <c r="E384" i="69"/>
  <c r="C384" i="69"/>
  <c r="E383" i="69"/>
  <c r="C383" i="69"/>
  <c r="E382" i="69"/>
  <c r="C382" i="69"/>
  <c r="E381" i="69"/>
  <c r="C381" i="69"/>
  <c r="E380" i="69"/>
  <c r="C380" i="69"/>
  <c r="E379" i="69"/>
  <c r="C379" i="69"/>
  <c r="E378" i="69"/>
  <c r="C378" i="69"/>
  <c r="E377" i="69"/>
  <c r="C377" i="69"/>
  <c r="E376" i="69"/>
  <c r="C376" i="69"/>
  <c r="E375" i="69"/>
  <c r="C375" i="69"/>
  <c r="E374" i="69"/>
  <c r="C374" i="69"/>
  <c r="E373" i="69"/>
  <c r="C373" i="69"/>
  <c r="E372" i="69"/>
  <c r="C372" i="69"/>
  <c r="E371" i="69"/>
  <c r="C371" i="69"/>
  <c r="E370" i="69"/>
  <c r="C370" i="69"/>
  <c r="E369" i="69"/>
  <c r="C369" i="69"/>
  <c r="E368" i="69"/>
  <c r="C368" i="69"/>
  <c r="E367" i="69"/>
  <c r="C367" i="69"/>
  <c r="E366" i="69"/>
  <c r="C366" i="69"/>
  <c r="E365" i="69"/>
  <c r="C365" i="69"/>
  <c r="E364" i="69"/>
  <c r="C364" i="69"/>
  <c r="E363" i="69"/>
  <c r="C363" i="69"/>
  <c r="E362" i="69"/>
  <c r="C362" i="69"/>
  <c r="E361" i="69"/>
  <c r="C361" i="69"/>
  <c r="E360" i="69"/>
  <c r="C360" i="69"/>
  <c r="E359" i="69"/>
  <c r="C359" i="69"/>
  <c r="E358" i="69"/>
  <c r="C358" i="69"/>
  <c r="E357" i="69"/>
  <c r="C357" i="69"/>
  <c r="E356" i="69"/>
  <c r="C356" i="69"/>
  <c r="E355" i="69"/>
  <c r="C355" i="69"/>
  <c r="E354" i="69"/>
  <c r="C354" i="69"/>
  <c r="E353" i="69"/>
  <c r="C353" i="69"/>
  <c r="E352" i="69"/>
  <c r="C352" i="69"/>
  <c r="E351" i="69"/>
  <c r="C351" i="69"/>
  <c r="E350" i="69"/>
  <c r="C350" i="69"/>
  <c r="E349" i="69"/>
  <c r="C349" i="69"/>
  <c r="E348" i="69"/>
  <c r="C348" i="69"/>
  <c r="E347" i="69"/>
  <c r="C347" i="69"/>
  <c r="E346" i="69"/>
  <c r="C346" i="69"/>
  <c r="E345" i="69"/>
  <c r="C345" i="69"/>
  <c r="E344" i="69"/>
  <c r="C344" i="69"/>
  <c r="E343" i="69"/>
  <c r="C343" i="69"/>
  <c r="E342" i="69"/>
  <c r="C342" i="69"/>
  <c r="E341" i="69"/>
  <c r="C341" i="69"/>
  <c r="E340" i="69"/>
  <c r="C340" i="69"/>
  <c r="E339" i="69"/>
  <c r="C339" i="69"/>
  <c r="E338" i="69"/>
  <c r="C338" i="69"/>
  <c r="E337" i="69"/>
  <c r="C337" i="69"/>
  <c r="E336" i="69"/>
  <c r="C336" i="69"/>
  <c r="E335" i="69"/>
  <c r="C335" i="69"/>
  <c r="E334" i="69"/>
  <c r="C334" i="69"/>
  <c r="E333" i="69"/>
  <c r="C333" i="69"/>
  <c r="E332" i="69"/>
  <c r="C332" i="69"/>
  <c r="E331" i="69"/>
  <c r="C331" i="69"/>
  <c r="E330" i="69"/>
  <c r="C330" i="69"/>
  <c r="E329" i="69"/>
  <c r="C329" i="69"/>
  <c r="E328" i="69"/>
  <c r="C328" i="69"/>
  <c r="E327" i="69"/>
  <c r="C327" i="69"/>
  <c r="E326" i="69"/>
  <c r="C326" i="69"/>
  <c r="E325" i="69"/>
  <c r="C325" i="69"/>
  <c r="E324" i="69"/>
  <c r="C324" i="69"/>
  <c r="E323" i="69"/>
  <c r="C323" i="69"/>
  <c r="E322" i="69"/>
  <c r="C322" i="69"/>
  <c r="E321" i="69"/>
  <c r="C321" i="69"/>
  <c r="E320" i="69"/>
  <c r="C320" i="69"/>
  <c r="E319" i="69"/>
  <c r="C319" i="69"/>
  <c r="E318" i="69"/>
  <c r="C318" i="69"/>
  <c r="E317" i="69"/>
  <c r="C317" i="69"/>
  <c r="E316" i="69"/>
  <c r="C316" i="69"/>
  <c r="E315" i="69"/>
  <c r="C315" i="69"/>
  <c r="E314" i="69"/>
  <c r="C314" i="69"/>
  <c r="E313" i="69"/>
  <c r="C313" i="69"/>
  <c r="E312" i="69"/>
  <c r="C312" i="69"/>
  <c r="E311" i="69"/>
  <c r="C311" i="69"/>
  <c r="E310" i="69"/>
  <c r="C310" i="69"/>
  <c r="E309" i="69"/>
  <c r="C309" i="69"/>
  <c r="E308" i="69"/>
  <c r="C308" i="69"/>
  <c r="E307" i="69"/>
  <c r="C307" i="69"/>
  <c r="E306" i="69"/>
  <c r="C306" i="69"/>
  <c r="E305" i="69"/>
  <c r="C305" i="69"/>
  <c r="E304" i="69"/>
  <c r="C304" i="69"/>
  <c r="E303" i="69"/>
  <c r="C303" i="69"/>
  <c r="E302" i="69"/>
  <c r="C302" i="69"/>
  <c r="E301" i="69"/>
  <c r="C301" i="69"/>
  <c r="E300" i="69"/>
  <c r="C300" i="69"/>
  <c r="E299" i="69"/>
  <c r="C299" i="69"/>
  <c r="E298" i="69"/>
  <c r="C298" i="69"/>
  <c r="E297" i="69"/>
  <c r="C297" i="69"/>
  <c r="E296" i="69"/>
  <c r="C296" i="69"/>
  <c r="E295" i="69"/>
  <c r="C295" i="69"/>
  <c r="E294" i="69"/>
  <c r="C294" i="69"/>
  <c r="E293" i="69"/>
  <c r="C293" i="69"/>
  <c r="E292" i="69"/>
  <c r="C292" i="69"/>
  <c r="E291" i="69"/>
  <c r="C291" i="69"/>
  <c r="E290" i="69"/>
  <c r="C290" i="69"/>
  <c r="E289" i="69"/>
  <c r="C289" i="69"/>
  <c r="E288" i="69"/>
  <c r="C288" i="69"/>
  <c r="E287" i="69"/>
  <c r="C287" i="69"/>
  <c r="E286" i="69"/>
  <c r="C286" i="69"/>
  <c r="E285" i="69"/>
  <c r="C285" i="69"/>
  <c r="E284" i="69"/>
  <c r="C284" i="69"/>
  <c r="E283" i="69"/>
  <c r="C283" i="69"/>
  <c r="E282" i="69"/>
  <c r="C282" i="69"/>
  <c r="E281" i="69"/>
  <c r="C281" i="69"/>
  <c r="E280" i="69"/>
  <c r="C280" i="69"/>
  <c r="E279" i="69"/>
  <c r="C279" i="69"/>
  <c r="E278" i="69"/>
  <c r="C278" i="69"/>
  <c r="E277" i="69"/>
  <c r="C277" i="69"/>
  <c r="E276" i="69"/>
  <c r="C276" i="69"/>
  <c r="E275" i="69"/>
  <c r="C275" i="69"/>
  <c r="E274" i="69"/>
  <c r="C274" i="69"/>
  <c r="E273" i="69"/>
  <c r="C273" i="69"/>
  <c r="E272" i="69"/>
  <c r="C272" i="69"/>
  <c r="E271" i="69"/>
  <c r="C271" i="69"/>
  <c r="E270" i="69"/>
  <c r="C270" i="69"/>
  <c r="E269" i="69"/>
  <c r="C269" i="69"/>
  <c r="E268" i="69"/>
  <c r="C268" i="69"/>
  <c r="E267" i="69"/>
  <c r="C267" i="69"/>
  <c r="E266" i="69"/>
  <c r="C266" i="69"/>
  <c r="E265" i="69"/>
  <c r="C265" i="69"/>
  <c r="E264" i="69"/>
  <c r="C264" i="69"/>
  <c r="E263" i="69"/>
  <c r="C263" i="69"/>
  <c r="E262" i="69"/>
  <c r="C262" i="69"/>
  <c r="E261" i="69"/>
  <c r="C261" i="69"/>
  <c r="E260" i="69"/>
  <c r="C260" i="69"/>
  <c r="E259" i="69"/>
  <c r="C259" i="69"/>
  <c r="E258" i="69"/>
  <c r="C258" i="69"/>
  <c r="E257" i="69"/>
  <c r="C257" i="69"/>
  <c r="E256" i="69"/>
  <c r="C256" i="69"/>
  <c r="E255" i="69"/>
  <c r="C255" i="69"/>
  <c r="E254" i="69"/>
  <c r="C254" i="69"/>
  <c r="E253" i="69"/>
  <c r="C253" i="69"/>
  <c r="E252" i="69"/>
  <c r="C252" i="69"/>
  <c r="E251" i="69"/>
  <c r="C251" i="69"/>
  <c r="E250" i="69"/>
  <c r="C250" i="69"/>
  <c r="E249" i="69"/>
  <c r="C249" i="69"/>
  <c r="E248" i="69"/>
  <c r="C248" i="69"/>
  <c r="E247" i="69"/>
  <c r="C247" i="69"/>
  <c r="E246" i="69"/>
  <c r="C246" i="69"/>
  <c r="E245" i="69"/>
  <c r="C245" i="69"/>
  <c r="E244" i="69"/>
  <c r="C244" i="69"/>
  <c r="E243" i="69"/>
  <c r="C243" i="69"/>
  <c r="E242" i="69"/>
  <c r="C242" i="69"/>
  <c r="E241" i="69"/>
  <c r="C241" i="69"/>
  <c r="E240" i="69"/>
  <c r="C240" i="69"/>
  <c r="E239" i="69"/>
  <c r="C239" i="69"/>
  <c r="E238" i="69"/>
  <c r="C238" i="69"/>
  <c r="E237" i="69"/>
  <c r="C237" i="69"/>
  <c r="E236" i="69"/>
  <c r="C236" i="69"/>
  <c r="E235" i="69"/>
  <c r="C235" i="69"/>
  <c r="E234" i="69"/>
  <c r="C234" i="69"/>
  <c r="E233" i="69"/>
  <c r="C233" i="69"/>
  <c r="E232" i="69"/>
  <c r="C232" i="69"/>
  <c r="E231" i="69"/>
  <c r="C231" i="69"/>
  <c r="E230" i="69"/>
  <c r="C230" i="69"/>
  <c r="E229" i="69"/>
  <c r="C229" i="69"/>
  <c r="E228" i="69"/>
  <c r="C228" i="69"/>
  <c r="E227" i="69"/>
  <c r="C227" i="69"/>
  <c r="E226" i="69"/>
  <c r="C226" i="69"/>
  <c r="E225" i="69"/>
  <c r="C225" i="69"/>
  <c r="E224" i="69"/>
  <c r="C224" i="69"/>
  <c r="E223" i="69"/>
  <c r="C223" i="69"/>
  <c r="E222" i="69"/>
  <c r="C222" i="69"/>
  <c r="E221" i="69"/>
  <c r="C221" i="69"/>
  <c r="E220" i="69"/>
  <c r="C220" i="69"/>
  <c r="E219" i="69"/>
  <c r="C219" i="69"/>
  <c r="E218" i="69"/>
  <c r="C218" i="69"/>
  <c r="E217" i="69"/>
  <c r="C217" i="69"/>
  <c r="E216" i="69"/>
  <c r="C216" i="69"/>
  <c r="E215" i="69"/>
  <c r="C215" i="69"/>
  <c r="E214" i="69"/>
  <c r="C214" i="69"/>
  <c r="E213" i="69"/>
  <c r="C213" i="69"/>
  <c r="E212" i="69"/>
  <c r="C212" i="69"/>
  <c r="E211" i="69"/>
  <c r="C211" i="69"/>
  <c r="E210" i="69"/>
  <c r="C210" i="69"/>
  <c r="E209" i="69"/>
  <c r="C209" i="69"/>
  <c r="E208" i="69"/>
  <c r="C208" i="69"/>
  <c r="E207" i="69"/>
  <c r="C207" i="69"/>
  <c r="E206" i="69"/>
  <c r="C206" i="69"/>
  <c r="E205" i="69"/>
  <c r="C205" i="69"/>
  <c r="E204" i="69"/>
  <c r="C204" i="69"/>
  <c r="E203" i="69"/>
  <c r="C203" i="69"/>
  <c r="E202" i="69"/>
  <c r="C202" i="69"/>
  <c r="E201" i="69"/>
  <c r="C201" i="69"/>
  <c r="E200" i="69"/>
  <c r="C200" i="69"/>
  <c r="E199" i="69"/>
  <c r="C199" i="69"/>
  <c r="E198" i="69"/>
  <c r="C198" i="69"/>
  <c r="E197" i="69"/>
  <c r="C197" i="69"/>
  <c r="E196" i="69"/>
  <c r="C196" i="69"/>
  <c r="E195" i="69"/>
  <c r="C195" i="69"/>
  <c r="E194" i="69"/>
  <c r="C194" i="69"/>
  <c r="E193" i="69"/>
  <c r="C193" i="69"/>
  <c r="E192" i="69"/>
  <c r="C192" i="69"/>
  <c r="E191" i="69"/>
  <c r="C191" i="69"/>
  <c r="E190" i="69"/>
  <c r="C190" i="69"/>
  <c r="E189" i="69"/>
  <c r="C189" i="69"/>
  <c r="E188" i="69"/>
  <c r="C188" i="69"/>
  <c r="E187" i="69"/>
  <c r="C187" i="69"/>
  <c r="E186" i="69"/>
  <c r="C186" i="69"/>
  <c r="E185" i="69"/>
  <c r="C185" i="69"/>
  <c r="E184" i="69"/>
  <c r="C184" i="69"/>
  <c r="E183" i="69"/>
  <c r="C183" i="69"/>
  <c r="E182" i="69"/>
  <c r="C182" i="69"/>
  <c r="E181" i="69"/>
  <c r="C181" i="69"/>
  <c r="E180" i="69"/>
  <c r="C180" i="69"/>
  <c r="E179" i="69"/>
  <c r="C179" i="69"/>
  <c r="E178" i="69"/>
  <c r="C178" i="69"/>
  <c r="E177" i="69"/>
  <c r="C177" i="69"/>
  <c r="E176" i="69"/>
  <c r="C176" i="69"/>
  <c r="E175" i="69"/>
  <c r="C175" i="69"/>
  <c r="E174" i="69"/>
  <c r="C174" i="69"/>
  <c r="E173" i="69"/>
  <c r="C173" i="69"/>
  <c r="E172" i="69"/>
  <c r="C172" i="69"/>
  <c r="E171" i="69"/>
  <c r="C171" i="69"/>
  <c r="E170" i="69"/>
  <c r="C170" i="69"/>
  <c r="E169" i="69"/>
  <c r="C169" i="69"/>
  <c r="E168" i="69"/>
  <c r="C168" i="69"/>
  <c r="E167" i="69"/>
  <c r="C167" i="69"/>
  <c r="E166" i="69"/>
  <c r="C166" i="69"/>
  <c r="E165" i="69"/>
  <c r="C165" i="69"/>
  <c r="E164" i="69"/>
  <c r="C164" i="69"/>
  <c r="E163" i="69"/>
  <c r="C163" i="69"/>
  <c r="E162" i="69"/>
  <c r="C162" i="69"/>
  <c r="E161" i="69"/>
  <c r="C161" i="69"/>
  <c r="E160" i="69"/>
  <c r="C160" i="69"/>
  <c r="E159" i="69"/>
  <c r="C159" i="69"/>
  <c r="E158" i="69"/>
  <c r="C158" i="69"/>
  <c r="E157" i="69"/>
  <c r="C157" i="69"/>
  <c r="E156" i="69"/>
  <c r="C156" i="69"/>
  <c r="E155" i="69"/>
  <c r="C155" i="69"/>
  <c r="E154" i="69"/>
  <c r="C154" i="69"/>
  <c r="E153" i="69"/>
  <c r="C153" i="69"/>
  <c r="E152" i="69"/>
  <c r="C152" i="69"/>
  <c r="E151" i="69"/>
  <c r="C151" i="69"/>
  <c r="E150" i="69"/>
  <c r="C150" i="69"/>
  <c r="E149" i="69"/>
  <c r="C149" i="69"/>
  <c r="E148" i="69"/>
  <c r="C148" i="69"/>
  <c r="E147" i="69"/>
  <c r="C147" i="69"/>
  <c r="E146" i="69"/>
  <c r="C146" i="69"/>
  <c r="E145" i="69"/>
  <c r="C145" i="69"/>
  <c r="E144" i="69"/>
  <c r="C144" i="69"/>
  <c r="E143" i="69"/>
  <c r="C143" i="69"/>
  <c r="E142" i="69"/>
  <c r="C142" i="69"/>
  <c r="E141" i="69"/>
  <c r="C141" i="69"/>
  <c r="E140" i="69"/>
  <c r="C140" i="69"/>
  <c r="E139" i="69"/>
  <c r="C139" i="69"/>
  <c r="E138" i="69"/>
  <c r="C138" i="69"/>
  <c r="E137" i="69"/>
  <c r="C137" i="69"/>
  <c r="E136" i="69"/>
  <c r="C136" i="69"/>
  <c r="E135" i="69"/>
  <c r="C135" i="69"/>
  <c r="E134" i="69"/>
  <c r="C134" i="69"/>
  <c r="E133" i="69"/>
  <c r="C133" i="69"/>
  <c r="E132" i="69"/>
  <c r="C132" i="69"/>
  <c r="E131" i="69"/>
  <c r="C131" i="69"/>
  <c r="E130" i="69"/>
  <c r="C130" i="69"/>
  <c r="E129" i="69"/>
  <c r="C129" i="69"/>
  <c r="E128" i="69"/>
  <c r="C128" i="69"/>
  <c r="E127" i="69"/>
  <c r="C127" i="69"/>
  <c r="E126" i="69"/>
  <c r="C126" i="69"/>
  <c r="E125" i="69"/>
  <c r="C125" i="69"/>
  <c r="E124" i="69"/>
  <c r="C124" i="69"/>
  <c r="E123" i="69"/>
  <c r="C123" i="69"/>
  <c r="E122" i="69"/>
  <c r="C122" i="69"/>
  <c r="E121" i="69"/>
  <c r="C121" i="69"/>
  <c r="E120" i="69"/>
  <c r="C120" i="69"/>
  <c r="E119" i="69"/>
  <c r="C119" i="69"/>
  <c r="E118" i="69"/>
  <c r="C118" i="69"/>
  <c r="E117" i="69"/>
  <c r="C117" i="69"/>
  <c r="E116" i="69"/>
  <c r="C116" i="69"/>
  <c r="E115" i="69"/>
  <c r="C115" i="69"/>
  <c r="E114" i="69"/>
  <c r="C114" i="69"/>
  <c r="E113" i="69"/>
  <c r="C113" i="69"/>
  <c r="E112" i="69"/>
  <c r="C112" i="69"/>
  <c r="E111" i="69"/>
  <c r="C111" i="69"/>
  <c r="E110" i="69"/>
  <c r="C110" i="69"/>
  <c r="E109" i="69"/>
  <c r="C109" i="69"/>
  <c r="E108" i="69"/>
  <c r="C108" i="69"/>
  <c r="E107" i="69"/>
  <c r="C107" i="69"/>
  <c r="E106" i="69"/>
  <c r="C106" i="69"/>
  <c r="E105" i="69"/>
  <c r="C105" i="69"/>
  <c r="E104" i="69"/>
  <c r="C104" i="69"/>
  <c r="E103" i="69"/>
  <c r="C103" i="69"/>
  <c r="E102" i="69"/>
  <c r="C102" i="69"/>
  <c r="E101" i="69"/>
  <c r="C101" i="69"/>
  <c r="E100" i="69"/>
  <c r="C100" i="69"/>
  <c r="E99" i="69"/>
  <c r="C99" i="69"/>
  <c r="E98" i="69"/>
  <c r="C98" i="69"/>
  <c r="E97" i="69"/>
  <c r="C97" i="69"/>
  <c r="E96" i="69"/>
  <c r="C96" i="69"/>
  <c r="E95" i="69"/>
  <c r="C95" i="69"/>
  <c r="E94" i="69"/>
  <c r="C94" i="69"/>
  <c r="E93" i="69"/>
  <c r="C93" i="69"/>
  <c r="E92" i="69"/>
  <c r="C92" i="69"/>
  <c r="E91" i="69"/>
  <c r="C91" i="69"/>
  <c r="E90" i="69"/>
  <c r="C90" i="69"/>
  <c r="E89" i="69"/>
  <c r="C89" i="69"/>
  <c r="E88" i="69"/>
  <c r="C88" i="69"/>
  <c r="E87" i="69"/>
  <c r="C87" i="69"/>
  <c r="E86" i="69"/>
  <c r="C86" i="69"/>
  <c r="E85" i="69"/>
  <c r="C85" i="69"/>
  <c r="E84" i="69"/>
  <c r="C84" i="69"/>
  <c r="E83" i="69"/>
  <c r="C83" i="69"/>
  <c r="E82" i="69"/>
  <c r="C82" i="69"/>
  <c r="E81" i="69"/>
  <c r="C81" i="69"/>
  <c r="E80" i="69"/>
  <c r="C80" i="69"/>
  <c r="E79" i="69"/>
  <c r="C79" i="69"/>
  <c r="E78" i="69"/>
  <c r="C78" i="69"/>
  <c r="E77" i="69"/>
  <c r="C77" i="69"/>
  <c r="E76" i="69"/>
  <c r="C76" i="69"/>
  <c r="E75" i="69"/>
  <c r="C75" i="69"/>
  <c r="E74" i="69"/>
  <c r="C74" i="69"/>
  <c r="E73" i="69"/>
  <c r="C73" i="69"/>
  <c r="E72" i="69"/>
  <c r="C72" i="69"/>
  <c r="E71" i="69"/>
  <c r="C71" i="69"/>
  <c r="E70" i="69"/>
  <c r="C70" i="69"/>
  <c r="E69" i="69"/>
  <c r="C69" i="69"/>
  <c r="E68" i="69"/>
  <c r="C68" i="69"/>
  <c r="E67" i="69"/>
  <c r="C67" i="69"/>
  <c r="E66" i="69"/>
  <c r="C66" i="69"/>
  <c r="E65" i="69"/>
  <c r="C65" i="69"/>
  <c r="E64" i="69"/>
  <c r="C64" i="69"/>
  <c r="E63" i="69"/>
  <c r="C63" i="69"/>
  <c r="E62" i="69"/>
  <c r="C62" i="69"/>
  <c r="E61" i="69"/>
  <c r="C61" i="69"/>
  <c r="E60" i="69"/>
  <c r="C60" i="69"/>
  <c r="E59" i="69"/>
  <c r="C59" i="69"/>
  <c r="E58" i="69"/>
  <c r="C58" i="69"/>
  <c r="E57" i="69"/>
  <c r="C57" i="69"/>
  <c r="E56" i="69"/>
  <c r="C56" i="69"/>
  <c r="E55" i="69"/>
  <c r="C55" i="69"/>
  <c r="E54" i="69"/>
  <c r="C54" i="69"/>
  <c r="E53" i="69"/>
  <c r="C53" i="69"/>
  <c r="E52" i="69"/>
  <c r="C52" i="69"/>
  <c r="E51" i="69"/>
  <c r="C51" i="69"/>
  <c r="E50" i="69"/>
  <c r="C50" i="69"/>
  <c r="E49" i="69"/>
  <c r="C49" i="69"/>
  <c r="E48" i="69"/>
  <c r="C48" i="69"/>
  <c r="E47" i="69"/>
  <c r="C47" i="69"/>
  <c r="E46" i="69"/>
  <c r="C46" i="69"/>
  <c r="E45" i="69"/>
  <c r="C45" i="69"/>
  <c r="E44" i="69"/>
  <c r="C44" i="69"/>
  <c r="E43" i="69"/>
  <c r="C43" i="69"/>
  <c r="E42" i="69"/>
  <c r="C42" i="69"/>
  <c r="E41" i="69"/>
  <c r="C41" i="69"/>
  <c r="E40" i="69"/>
  <c r="C40" i="69"/>
  <c r="E39" i="69"/>
  <c r="C39" i="69"/>
  <c r="E38" i="69"/>
  <c r="C38" i="69"/>
  <c r="E37" i="69"/>
  <c r="C37" i="69"/>
  <c r="E36" i="69"/>
  <c r="C36" i="69"/>
  <c r="E35" i="69"/>
  <c r="C35" i="69"/>
  <c r="E34" i="69"/>
  <c r="C34" i="69"/>
  <c r="E33" i="69"/>
  <c r="C33" i="69"/>
  <c r="E32" i="69"/>
  <c r="C32" i="69"/>
  <c r="E31" i="69"/>
  <c r="C31" i="69"/>
  <c r="E30" i="69"/>
  <c r="C30" i="69"/>
  <c r="E29" i="69"/>
  <c r="C29" i="69"/>
  <c r="E28" i="69"/>
  <c r="C28" i="69"/>
  <c r="E27" i="69"/>
  <c r="C27" i="69"/>
  <c r="E26" i="69"/>
  <c r="C26" i="69"/>
  <c r="E25" i="69"/>
  <c r="C25" i="69"/>
  <c r="E24" i="69"/>
  <c r="C24" i="69"/>
  <c r="E23" i="69"/>
  <c r="C23" i="69"/>
  <c r="E22" i="69"/>
  <c r="C22" i="69"/>
  <c r="E21" i="69"/>
  <c r="C21" i="69"/>
  <c r="E20" i="69"/>
  <c r="C20" i="69"/>
  <c r="E19" i="69"/>
  <c r="C19" i="69"/>
  <c r="E18" i="69"/>
  <c r="C18" i="69"/>
  <c r="E17" i="69"/>
  <c r="C17" i="69"/>
  <c r="P16" i="69"/>
  <c r="E16" i="69"/>
  <c r="C16" i="69"/>
  <c r="E15" i="69"/>
  <c r="C15" i="69"/>
  <c r="E14" i="69"/>
  <c r="C14" i="69"/>
  <c r="P13" i="69"/>
  <c r="E13" i="69"/>
  <c r="C13" i="69"/>
  <c r="E12" i="69"/>
  <c r="C12" i="69"/>
  <c r="E11" i="69"/>
  <c r="C11" i="69"/>
  <c r="P11" i="69" s="1"/>
  <c r="E10" i="69"/>
  <c r="C10" i="69"/>
  <c r="E9" i="69"/>
  <c r="C9" i="69"/>
  <c r="P18" i="69" s="1"/>
  <c r="H144" i="68"/>
  <c r="H130" i="68"/>
  <c r="F144" i="68"/>
  <c r="F130" i="68"/>
  <c r="E144" i="68"/>
  <c r="E130" i="68"/>
  <c r="B146" i="68"/>
  <c r="B147" i="68"/>
  <c r="B148" i="68"/>
  <c r="B145" i="68"/>
  <c r="D116" i="68"/>
  <c r="D105" i="68"/>
  <c r="D94" i="68"/>
  <c r="D83" i="68"/>
  <c r="D72" i="68"/>
  <c r="D61" i="68"/>
  <c r="D50" i="68"/>
  <c r="D39" i="68"/>
  <c r="D28" i="68"/>
  <c r="D17" i="68"/>
  <c r="P19" i="69" l="1"/>
  <c r="P9" i="69"/>
  <c r="P14" i="69"/>
  <c r="P17" i="69"/>
  <c r="P12" i="69"/>
  <c r="P20" i="69"/>
  <c r="P15" i="69"/>
  <c r="P10" i="69"/>
  <c r="H147" i="68"/>
  <c r="H34" i="60" s="1"/>
  <c r="G109" i="60" s="1"/>
  <c r="F148" i="68"/>
  <c r="H31" i="60" s="1"/>
  <c r="G106" i="60" s="1"/>
  <c r="P23" i="69" l="1"/>
  <c r="P22" i="69"/>
  <c r="F13" i="11"/>
  <c r="C65" i="11" s="1"/>
  <c r="G62" i="66" l="1"/>
  <c r="F51" i="60"/>
  <c r="F50" i="60"/>
  <c r="I64" i="15"/>
  <c r="I66" i="15" s="1"/>
  <c r="G64" i="15"/>
  <c r="G67" i="15" s="1"/>
  <c r="G65" i="15" l="1"/>
  <c r="G83" i="15" s="1" a="1"/>
  <c r="G83" i="15" s="1"/>
  <c r="G66" i="15"/>
  <c r="G85" i="15" s="1" a="1"/>
  <c r="G85" i="15" s="1"/>
  <c r="D64" i="41"/>
  <c r="D62" i="41"/>
  <c r="D60" i="41"/>
  <c r="D59" i="41"/>
  <c r="D55" i="41"/>
  <c r="D54" i="41"/>
  <c r="D51" i="41"/>
  <c r="E75" i="41"/>
  <c r="I58" i="41"/>
  <c r="I56" i="41"/>
  <c r="I54" i="41"/>
  <c r="I53" i="41"/>
  <c r="I51" i="41"/>
  <c r="E79" i="41" s="1"/>
  <c r="D26" i="66" l="1"/>
  <c r="E82" i="41"/>
  <c r="D5" i="66"/>
  <c r="E5" i="15"/>
  <c r="E5" i="55" l="1"/>
  <c r="C7" i="68"/>
  <c r="G13" i="11" l="1"/>
  <c r="E33" i="11" s="1"/>
  <c r="E13" i="11"/>
  <c r="D13" i="11"/>
  <c r="C28" i="11" s="1"/>
  <c r="G20" i="11"/>
  <c r="G127" i="55"/>
  <c r="G126" i="55"/>
  <c r="H140" i="68" l="1"/>
  <c r="F126" i="68"/>
  <c r="G116" i="68" s="1"/>
  <c r="F115" i="68"/>
  <c r="G105" i="68" s="1"/>
  <c r="F104" i="68"/>
  <c r="G94" i="68" s="1"/>
  <c r="F93" i="68"/>
  <c r="G83" i="68" s="1"/>
  <c r="F82" i="68"/>
  <c r="G72" i="68" s="1"/>
  <c r="F71" i="68"/>
  <c r="G61" i="68" s="1"/>
  <c r="F60" i="68"/>
  <c r="G50" i="68" s="1"/>
  <c r="F49" i="68"/>
  <c r="G39" i="68" s="1"/>
  <c r="F38" i="68"/>
  <c r="G28" i="68" s="1"/>
  <c r="F147" i="68" s="1"/>
  <c r="H30" i="60" s="1"/>
  <c r="G105" i="60" s="1"/>
  <c r="F27" i="68"/>
  <c r="G17" i="68" s="1"/>
  <c r="F145" i="68" s="1"/>
  <c r="H28" i="60" s="1"/>
  <c r="G103" i="60" s="1"/>
  <c r="F16" i="68"/>
  <c r="G13" i="68" s="1"/>
  <c r="H148" i="68" l="1"/>
  <c r="H35" i="60" s="1"/>
  <c r="G110" i="60" s="1"/>
  <c r="F146" i="68"/>
  <c r="H29" i="60" s="1"/>
  <c r="G104" i="60" s="1"/>
  <c r="H146" i="68"/>
  <c r="H33" i="60" s="1"/>
  <c r="G108" i="60" s="1"/>
  <c r="H145" i="68"/>
  <c r="H32" i="60" s="1"/>
  <c r="G107" i="60" s="1"/>
  <c r="E131" i="68"/>
  <c r="F131" i="68"/>
  <c r="F140" i="68"/>
  <c r="H131" i="68"/>
  <c r="F127" i="68"/>
  <c r="E139" i="68" l="1"/>
  <c r="E135" i="68"/>
  <c r="H138" i="68"/>
  <c r="E138" i="68"/>
  <c r="H132" i="68" l="1"/>
  <c r="F135" i="68"/>
  <c r="F139" i="68"/>
  <c r="H136" i="68"/>
  <c r="H139" i="68"/>
  <c r="H135" i="68"/>
  <c r="H133" i="68"/>
  <c r="H137" i="68"/>
  <c r="F134" i="68"/>
  <c r="E133" i="68"/>
  <c r="H134" i="68"/>
  <c r="E137" i="68"/>
  <c r="F138" i="68"/>
  <c r="F133" i="68"/>
  <c r="F137" i="68"/>
  <c r="E136" i="68"/>
  <c r="E132" i="68"/>
  <c r="E140" i="68"/>
  <c r="F132" i="68"/>
  <c r="F136" i="68"/>
  <c r="E134" i="68"/>
  <c r="H141" i="68" l="1"/>
  <c r="F141" i="68"/>
  <c r="E141" i="68"/>
  <c r="D60" i="66" l="1"/>
  <c r="H27" i="60"/>
  <c r="G102" i="60" s="1"/>
  <c r="F60" i="66"/>
  <c r="K54" i="60"/>
  <c r="E60" i="66"/>
  <c r="K53" i="60"/>
  <c r="K49" i="60"/>
  <c r="G60" i="66" l="1"/>
  <c r="M11" i="66"/>
  <c r="M10" i="66"/>
  <c r="O4" i="3"/>
  <c r="I78" i="58"/>
  <c r="I79" i="58"/>
  <c r="I80" i="58"/>
  <c r="I81" i="58"/>
  <c r="I82" i="58"/>
  <c r="I83" i="58"/>
  <c r="I84" i="58"/>
  <c r="I85" i="58"/>
  <c r="I86" i="58"/>
  <c r="I77" i="58"/>
  <c r="I63" i="58"/>
  <c r="I64" i="58"/>
  <c r="I65" i="58"/>
  <c r="I66" i="58"/>
  <c r="I67" i="58"/>
  <c r="I68" i="58"/>
  <c r="I69" i="58"/>
  <c r="I70" i="58"/>
  <c r="I71" i="58"/>
  <c r="I62" i="58"/>
  <c r="I48" i="58"/>
  <c r="I49" i="58"/>
  <c r="I50" i="58"/>
  <c r="I51" i="58"/>
  <c r="I52" i="58"/>
  <c r="I53" i="58"/>
  <c r="I54" i="58"/>
  <c r="I55" i="58"/>
  <c r="I56" i="58"/>
  <c r="I47" i="58"/>
  <c r="I33" i="58"/>
  <c r="I34" i="58"/>
  <c r="I35" i="58"/>
  <c r="I36" i="58"/>
  <c r="I37" i="58"/>
  <c r="I38" i="58"/>
  <c r="I39" i="58"/>
  <c r="I40" i="58"/>
  <c r="I41" i="58"/>
  <c r="I32" i="58"/>
  <c r="I8" i="58"/>
  <c r="I9" i="58"/>
  <c r="I10" i="58"/>
  <c r="I11" i="58"/>
  <c r="I12" i="58"/>
  <c r="I13" i="58"/>
  <c r="I14" i="58"/>
  <c r="I15" i="58"/>
  <c r="I16" i="58"/>
  <c r="I17" i="58"/>
  <c r="I18" i="58"/>
  <c r="I19" i="58"/>
  <c r="I20" i="58"/>
  <c r="I21" i="58"/>
  <c r="I22" i="58"/>
  <c r="I23" i="58"/>
  <c r="I24" i="58"/>
  <c r="I25" i="58"/>
  <c r="I26" i="58"/>
  <c r="I7" i="58"/>
  <c r="AE22" i="47"/>
  <c r="H52" i="60"/>
  <c r="H51" i="60"/>
  <c r="H50" i="60"/>
  <c r="H49" i="60"/>
  <c r="F52" i="60"/>
  <c r="F49" i="60"/>
  <c r="J50" i="60" l="1"/>
  <c r="J52" i="60"/>
  <c r="J49" i="60"/>
  <c r="J51" i="60"/>
  <c r="O49" i="60" l="1"/>
  <c r="H60" i="60" l="1"/>
  <c r="P129" i="55" l="1"/>
  <c r="P128" i="55"/>
  <c r="P127" i="55"/>
  <c r="P126" i="55"/>
  <c r="O10" i="66" l="1"/>
  <c r="F17" i="60"/>
  <c r="F16" i="60"/>
  <c r="F15" i="60"/>
  <c r="F14" i="60"/>
  <c r="G77" i="58" l="1"/>
  <c r="G26" i="15"/>
  <c r="AG92" i="57" a="1"/>
  <c r="AG92" i="57" s="1"/>
  <c r="AG91" i="57" a="1"/>
  <c r="AG91" i="57" s="1"/>
  <c r="S91" i="57"/>
  <c r="R91" i="57"/>
  <c r="V92" i="57" s="1"/>
  <c r="AG90" i="57" a="1"/>
  <c r="AG90" i="57" s="1"/>
  <c r="S90" i="57"/>
  <c r="R90" i="57"/>
  <c r="V91" i="57" s="1"/>
  <c r="AG89" i="57" a="1"/>
  <c r="AG89" i="57" s="1"/>
  <c r="S89" i="57"/>
  <c r="R89" i="57"/>
  <c r="V90" i="57" s="1"/>
  <c r="AG88" i="57" a="1"/>
  <c r="AG88" i="57" s="1"/>
  <c r="S88" i="57"/>
  <c r="R88" i="57"/>
  <c r="V89" i="57" s="1"/>
  <c r="AG87" i="57" a="1"/>
  <c r="AG87" i="57" s="1"/>
  <c r="S87" i="57"/>
  <c r="R87" i="57"/>
  <c r="V88" i="57" s="1"/>
  <c r="AG86" i="57" a="1"/>
  <c r="AG86" i="57" s="1"/>
  <c r="S86" i="57"/>
  <c r="R86" i="57"/>
  <c r="V87" i="57" s="1"/>
  <c r="AG85" i="57" a="1"/>
  <c r="AG85" i="57" s="1"/>
  <c r="S85" i="57"/>
  <c r="R85" i="57"/>
  <c r="V86" i="57" s="1"/>
  <c r="AG84" i="57" a="1"/>
  <c r="AG84" i="57" s="1"/>
  <c r="S84" i="57"/>
  <c r="R84" i="57"/>
  <c r="V85" i="57" s="1"/>
  <c r="AG83" i="57" a="1"/>
  <c r="AG83" i="57" s="1"/>
  <c r="F63" i="58"/>
  <c r="L63" i="58" s="1"/>
  <c r="J63" i="58" s="1"/>
  <c r="F64" i="58"/>
  <c r="L64" i="58" s="1"/>
  <c r="J64" i="58" s="1"/>
  <c r="F65" i="58"/>
  <c r="L65" i="58" s="1"/>
  <c r="F66" i="58"/>
  <c r="L66" i="58" s="1"/>
  <c r="J66" i="58" s="1"/>
  <c r="F67" i="58"/>
  <c r="L67" i="58" s="1"/>
  <c r="J67" i="58" s="1"/>
  <c r="F68" i="58"/>
  <c r="L68" i="58" s="1"/>
  <c r="J68" i="58" s="1"/>
  <c r="F69" i="58"/>
  <c r="F70" i="58"/>
  <c r="L70" i="58" s="1"/>
  <c r="J70" i="58" s="1"/>
  <c r="F71" i="58"/>
  <c r="L71" i="58" s="1"/>
  <c r="J71" i="58" s="1"/>
  <c r="AG92" i="56" a="1"/>
  <c r="AG92" i="56" s="1"/>
  <c r="AG91" i="56" a="1"/>
  <c r="AG91" i="56" s="1"/>
  <c r="S91" i="56"/>
  <c r="R91" i="56"/>
  <c r="V92" i="56" s="1"/>
  <c r="AG90" i="56" a="1"/>
  <c r="AG90" i="56" s="1"/>
  <c r="S90" i="56"/>
  <c r="R90" i="56"/>
  <c r="V91" i="56" s="1"/>
  <c r="AG89" i="56" a="1"/>
  <c r="AG89" i="56" s="1"/>
  <c r="S89" i="56"/>
  <c r="R89" i="56"/>
  <c r="V90" i="56" s="1"/>
  <c r="AG88" i="56" a="1"/>
  <c r="AG88" i="56" s="1"/>
  <c r="S88" i="56"/>
  <c r="R88" i="56"/>
  <c r="V89" i="56" s="1"/>
  <c r="AG87" i="56" a="1"/>
  <c r="AG87" i="56" s="1"/>
  <c r="S87" i="56"/>
  <c r="R87" i="56"/>
  <c r="V88" i="56" s="1"/>
  <c r="AG86" i="56" a="1"/>
  <c r="AG86" i="56" s="1"/>
  <c r="S86" i="56"/>
  <c r="R86" i="56"/>
  <c r="V87" i="56" s="1"/>
  <c r="AG85" i="56" a="1"/>
  <c r="AG85" i="56" s="1"/>
  <c r="S85" i="56"/>
  <c r="R85" i="56"/>
  <c r="V86" i="56" s="1"/>
  <c r="AG84" i="56" a="1"/>
  <c r="AG84" i="56" s="1"/>
  <c r="AG83" i="56" a="1"/>
  <c r="AG83" i="56" s="1"/>
  <c r="AG84" i="52" a="1"/>
  <c r="AG84" i="52" s="1"/>
  <c r="AG85" i="52" a="1"/>
  <c r="AG85" i="52" s="1"/>
  <c r="AG86" i="52" a="1"/>
  <c r="AG86" i="52" s="1"/>
  <c r="AG87" i="52" a="1"/>
  <c r="AG87" i="52" s="1"/>
  <c r="AG88" i="52" a="1"/>
  <c r="AG88" i="52" s="1"/>
  <c r="AG89" i="52" a="1"/>
  <c r="AG89" i="52" s="1"/>
  <c r="AG90" i="52" a="1"/>
  <c r="AG90" i="52" s="1"/>
  <c r="AG91" i="52" a="1"/>
  <c r="AG91" i="52" s="1"/>
  <c r="AG92" i="52" a="1"/>
  <c r="AG92" i="52" s="1"/>
  <c r="AG83" i="52" a="1"/>
  <c r="AG83" i="52" s="1"/>
  <c r="S91" i="52"/>
  <c r="R91" i="52"/>
  <c r="V92" i="52" s="1"/>
  <c r="S90" i="52"/>
  <c r="R90" i="52"/>
  <c r="V91" i="52" s="1"/>
  <c r="S89" i="52"/>
  <c r="R89" i="52"/>
  <c r="V90" i="52" s="1"/>
  <c r="S88" i="52"/>
  <c r="R88" i="52"/>
  <c r="V89" i="52" s="1"/>
  <c r="S87" i="52"/>
  <c r="R87" i="52"/>
  <c r="V88" i="52" s="1"/>
  <c r="S86" i="52"/>
  <c r="R86" i="52"/>
  <c r="V87" i="52" s="1"/>
  <c r="S85" i="52"/>
  <c r="R85" i="52"/>
  <c r="V86" i="52" s="1"/>
  <c r="H78" i="58"/>
  <c r="H79" i="58"/>
  <c r="H80" i="58"/>
  <c r="H81" i="58"/>
  <c r="H82" i="58"/>
  <c r="H83" i="58"/>
  <c r="H84" i="58"/>
  <c r="H85" i="58"/>
  <c r="H86" i="58"/>
  <c r="H77" i="58"/>
  <c r="F78" i="58"/>
  <c r="L78" i="58" s="1"/>
  <c r="F79" i="58"/>
  <c r="F80" i="58"/>
  <c r="L80" i="58" s="1"/>
  <c r="F81" i="58"/>
  <c r="F82" i="58"/>
  <c r="L82" i="58" s="1"/>
  <c r="F83" i="58"/>
  <c r="L83" i="58" s="1"/>
  <c r="F84" i="58"/>
  <c r="L84" i="58" s="1"/>
  <c r="F85" i="58"/>
  <c r="F86" i="58"/>
  <c r="L86" i="58" s="1"/>
  <c r="F77" i="58"/>
  <c r="L77" i="58" s="1"/>
  <c r="C78" i="58"/>
  <c r="D78" i="58"/>
  <c r="C79" i="58"/>
  <c r="D79" i="58"/>
  <c r="C80" i="58"/>
  <c r="D80" i="58"/>
  <c r="C81" i="58"/>
  <c r="D81" i="58"/>
  <c r="C82" i="58"/>
  <c r="S82" i="58" s="1"/>
  <c r="D82" i="58"/>
  <c r="C83" i="58"/>
  <c r="S83" i="58" s="1"/>
  <c r="D83" i="58"/>
  <c r="C84" i="58"/>
  <c r="D84" i="58"/>
  <c r="C85" i="58"/>
  <c r="D85" i="58"/>
  <c r="C86" i="58"/>
  <c r="D86" i="58"/>
  <c r="D77" i="58"/>
  <c r="C77" i="58"/>
  <c r="AG77" i="57" a="1"/>
  <c r="AG77" i="57" s="1"/>
  <c r="AG76" i="57" a="1"/>
  <c r="AG76" i="57" s="1"/>
  <c r="S76" i="57"/>
  <c r="R76" i="57"/>
  <c r="V77" i="57" s="1"/>
  <c r="AG75" i="57" a="1"/>
  <c r="AG75" i="57" s="1"/>
  <c r="S75" i="57"/>
  <c r="R75" i="57"/>
  <c r="V76" i="57" s="1"/>
  <c r="AG74" i="57" a="1"/>
  <c r="AG74" i="57" s="1"/>
  <c r="S74" i="57"/>
  <c r="R74" i="57"/>
  <c r="V75" i="57" s="1"/>
  <c r="AG73" i="57" a="1"/>
  <c r="AG73" i="57" s="1"/>
  <c r="S73" i="57"/>
  <c r="R73" i="57"/>
  <c r="V74" i="57" s="1"/>
  <c r="AG72" i="57" a="1"/>
  <c r="AG72" i="57" s="1"/>
  <c r="S72" i="57"/>
  <c r="R72" i="57"/>
  <c r="V73" i="57" s="1"/>
  <c r="AG71" i="57" a="1"/>
  <c r="AG71" i="57" s="1"/>
  <c r="S71" i="57"/>
  <c r="R71" i="57"/>
  <c r="V72" i="57" s="1"/>
  <c r="AG70" i="57" a="1"/>
  <c r="AG70" i="57" s="1"/>
  <c r="S70" i="57"/>
  <c r="R70" i="57"/>
  <c r="V71" i="57" s="1"/>
  <c r="AG69" i="57" a="1"/>
  <c r="AG69" i="57" s="1"/>
  <c r="S69" i="57"/>
  <c r="R69" i="57"/>
  <c r="V70" i="57" s="1"/>
  <c r="AG68" i="57" a="1"/>
  <c r="AG68" i="57" s="1"/>
  <c r="AG77" i="56" a="1"/>
  <c r="AG77" i="56" s="1"/>
  <c r="AG76" i="56" a="1"/>
  <c r="AG76" i="56" s="1"/>
  <c r="S76" i="56"/>
  <c r="R76" i="56"/>
  <c r="V77" i="56" s="1"/>
  <c r="AG75" i="56" a="1"/>
  <c r="AG75" i="56" s="1"/>
  <c r="S75" i="56"/>
  <c r="R75" i="56"/>
  <c r="V76" i="56" s="1"/>
  <c r="AG74" i="56" a="1"/>
  <c r="AG74" i="56" s="1"/>
  <c r="S74" i="56"/>
  <c r="R74" i="56"/>
  <c r="V75" i="56" s="1"/>
  <c r="AG73" i="56" a="1"/>
  <c r="AG73" i="56" s="1"/>
  <c r="S73" i="56"/>
  <c r="R73" i="56"/>
  <c r="V74" i="56" s="1"/>
  <c r="AG72" i="56" a="1"/>
  <c r="AG72" i="56" s="1"/>
  <c r="S72" i="56"/>
  <c r="R72" i="56"/>
  <c r="V73" i="56" s="1"/>
  <c r="AG71" i="56" a="1"/>
  <c r="AG71" i="56" s="1"/>
  <c r="S71" i="56"/>
  <c r="R71" i="56"/>
  <c r="V72" i="56" s="1"/>
  <c r="AG70" i="56" a="1"/>
  <c r="AG70" i="56" s="1"/>
  <c r="S70" i="56"/>
  <c r="R70" i="56"/>
  <c r="V71" i="56" s="1"/>
  <c r="AG69" i="56" a="1"/>
  <c r="AG69" i="56" s="1"/>
  <c r="AG68" i="56" a="1"/>
  <c r="AG68" i="56" s="1"/>
  <c r="AG77" i="52" a="1"/>
  <c r="AG77" i="52" s="1"/>
  <c r="AG76" i="52" a="1"/>
  <c r="AG76" i="52" s="1"/>
  <c r="AG75" i="52" a="1"/>
  <c r="AG75" i="52" s="1"/>
  <c r="AG74" i="52" a="1"/>
  <c r="AG74" i="52" s="1"/>
  <c r="AG73" i="52" a="1"/>
  <c r="AG73" i="52" s="1"/>
  <c r="AG72" i="52" a="1"/>
  <c r="AG72" i="52" s="1"/>
  <c r="AG71" i="52" a="1"/>
  <c r="AG71" i="52" s="1"/>
  <c r="AG70" i="52" a="1"/>
  <c r="AG70" i="52" s="1"/>
  <c r="AG69" i="52" a="1"/>
  <c r="AG69" i="52" s="1"/>
  <c r="AG68" i="52" a="1"/>
  <c r="AG68" i="52" s="1"/>
  <c r="R70" i="52"/>
  <c r="V71" i="52" s="1"/>
  <c r="R71" i="52"/>
  <c r="V72" i="52" s="1"/>
  <c r="R72" i="52"/>
  <c r="V73" i="52" s="1"/>
  <c r="R73" i="52"/>
  <c r="V74" i="52" s="1"/>
  <c r="R74" i="52"/>
  <c r="V75" i="52" s="1"/>
  <c r="R75" i="52"/>
  <c r="V76" i="52" s="1"/>
  <c r="R76" i="52"/>
  <c r="V77" i="52" s="1"/>
  <c r="H63" i="58"/>
  <c r="H64" i="58"/>
  <c r="H65" i="58"/>
  <c r="H66" i="58"/>
  <c r="H67" i="58"/>
  <c r="H68" i="58"/>
  <c r="H69" i="58"/>
  <c r="H70" i="58"/>
  <c r="H71" i="58"/>
  <c r="H62" i="58"/>
  <c r="F62" i="58"/>
  <c r="L62" i="58" s="1"/>
  <c r="J62" i="58" s="1"/>
  <c r="C63" i="58"/>
  <c r="D63" i="58"/>
  <c r="C64" i="58"/>
  <c r="D64" i="58"/>
  <c r="C65" i="58"/>
  <c r="D65" i="58"/>
  <c r="C66" i="58"/>
  <c r="D66" i="58"/>
  <c r="C67" i="58"/>
  <c r="D67" i="58"/>
  <c r="C68" i="58"/>
  <c r="D68" i="58"/>
  <c r="C69" i="58"/>
  <c r="D69" i="58"/>
  <c r="C70" i="58"/>
  <c r="D70" i="58"/>
  <c r="C71" i="58"/>
  <c r="D71" i="58"/>
  <c r="D62" i="58"/>
  <c r="C62" i="58"/>
  <c r="A61" i="55"/>
  <c r="A62" i="55" s="1"/>
  <c r="A63" i="55" s="1"/>
  <c r="A64" i="55" s="1"/>
  <c r="A65" i="55" s="1"/>
  <c r="A66" i="55" s="1"/>
  <c r="A67" i="55" s="1"/>
  <c r="A68" i="55" s="1"/>
  <c r="A69" i="55" s="1"/>
  <c r="S76" i="52"/>
  <c r="S75" i="52"/>
  <c r="S74" i="52"/>
  <c r="S73" i="52"/>
  <c r="S72" i="52"/>
  <c r="S71" i="52"/>
  <c r="S70" i="52"/>
  <c r="L85" i="58" l="1"/>
  <c r="J85" i="58" s="1"/>
  <c r="L81" i="58"/>
  <c r="J81" i="58" s="1"/>
  <c r="L79" i="58"/>
  <c r="J79" i="58" s="1"/>
  <c r="E77" i="58"/>
  <c r="D47" i="11"/>
  <c r="S84" i="58"/>
  <c r="S80" i="58"/>
  <c r="S77" i="58"/>
  <c r="S79" i="58"/>
  <c r="S86" i="58"/>
  <c r="S78" i="58"/>
  <c r="S85" i="58"/>
  <c r="S81" i="58"/>
  <c r="G129" i="55"/>
  <c r="G13" i="58"/>
  <c r="G50" i="58"/>
  <c r="G32" i="58"/>
  <c r="G49" i="58"/>
  <c r="G41" i="58"/>
  <c r="G68" i="58"/>
  <c r="E68" i="58" s="1"/>
  <c r="G23" i="58"/>
  <c r="G40" i="58"/>
  <c r="G67" i="58"/>
  <c r="E67" i="58" s="1"/>
  <c r="G22" i="58"/>
  <c r="G34" i="58"/>
  <c r="G66" i="58"/>
  <c r="E66" i="58" s="1"/>
  <c r="G21" i="58"/>
  <c r="G33" i="58"/>
  <c r="G84" i="58"/>
  <c r="E84" i="58" s="1"/>
  <c r="G15" i="58"/>
  <c r="G47" i="58"/>
  <c r="G83" i="58"/>
  <c r="E83" i="58" s="1"/>
  <c r="G14" i="58"/>
  <c r="G51" i="58"/>
  <c r="G82" i="58"/>
  <c r="E82" i="58" s="1"/>
  <c r="L69" i="58"/>
  <c r="J69" i="58" s="1"/>
  <c r="G20" i="58"/>
  <c r="G12" i="58"/>
  <c r="G39" i="58"/>
  <c r="G56" i="58"/>
  <c r="G48" i="58"/>
  <c r="G65" i="58"/>
  <c r="E65" i="58" s="1"/>
  <c r="G81" i="58"/>
  <c r="E81" i="58" s="1"/>
  <c r="G8" i="58"/>
  <c r="G19" i="58"/>
  <c r="G11" i="58"/>
  <c r="G38" i="58"/>
  <c r="G55" i="58"/>
  <c r="G62" i="58"/>
  <c r="E62" i="58" s="1"/>
  <c r="G64" i="58"/>
  <c r="E64" i="58" s="1"/>
  <c r="G80" i="58"/>
  <c r="E80" i="58" s="1"/>
  <c r="G26" i="58"/>
  <c r="G18" i="58"/>
  <c r="G10" i="58"/>
  <c r="G37" i="58"/>
  <c r="G54" i="58"/>
  <c r="G71" i="58"/>
  <c r="E71" i="58" s="1"/>
  <c r="G63" i="58"/>
  <c r="E63" i="58" s="1"/>
  <c r="G79" i="58"/>
  <c r="E79" i="58" s="1"/>
  <c r="G25" i="58"/>
  <c r="G17" i="58"/>
  <c r="G9" i="58"/>
  <c r="G36" i="58"/>
  <c r="G53" i="58"/>
  <c r="G70" i="58"/>
  <c r="E70" i="58" s="1"/>
  <c r="G86" i="58"/>
  <c r="E86" i="58" s="1"/>
  <c r="G78" i="58"/>
  <c r="E78" i="58" s="1"/>
  <c r="G24" i="58"/>
  <c r="G16" i="58"/>
  <c r="G35" i="58"/>
  <c r="G52" i="58"/>
  <c r="G69" i="58"/>
  <c r="E69" i="58" s="1"/>
  <c r="G85" i="58"/>
  <c r="E85" i="58" s="1"/>
  <c r="J83" i="58"/>
  <c r="J77" i="58"/>
  <c r="J84" i="58"/>
  <c r="R83" i="57"/>
  <c r="V84" i="57" s="1"/>
  <c r="S83" i="57"/>
  <c r="J80" i="58"/>
  <c r="J78" i="58"/>
  <c r="J82" i="58"/>
  <c r="J86" i="58"/>
  <c r="R68" i="57"/>
  <c r="V69" i="57" s="1"/>
  <c r="S68" i="57"/>
  <c r="J65" i="58"/>
  <c r="N82" i="56" l="1" a="1"/>
  <c r="N82" i="57" a="1"/>
  <c r="W82" i="57" s="1" a="1"/>
  <c r="W82" i="57" s="1"/>
  <c r="N82" i="52" a="1"/>
  <c r="N82" i="52" s="1"/>
  <c r="S82" i="52" s="1"/>
  <c r="N67" i="57" a="1"/>
  <c r="N67" i="56" a="1"/>
  <c r="N67" i="52" a="1"/>
  <c r="N67" i="52" s="1"/>
  <c r="R67" i="52" s="1"/>
  <c r="R69" i="56" l="1"/>
  <c r="V70" i="56" s="1"/>
  <c r="S69" i="56"/>
  <c r="N82" i="56"/>
  <c r="S82" i="56" s="1"/>
  <c r="R84" i="56"/>
  <c r="V85" i="56" s="1"/>
  <c r="S84" i="56"/>
  <c r="W82" i="56" a="1"/>
  <c r="W82" i="56" s="1"/>
  <c r="S83" i="56"/>
  <c r="R83" i="56"/>
  <c r="V84" i="56" s="1"/>
  <c r="N82" i="57"/>
  <c r="W82" i="52" a="1"/>
  <c r="W82" i="52" s="1"/>
  <c r="R84" i="52"/>
  <c r="V85" i="52" s="1"/>
  <c r="R83" i="52"/>
  <c r="V84" i="52" s="1"/>
  <c r="R82" i="52"/>
  <c r="V83" i="52" s="1"/>
  <c r="S83" i="52"/>
  <c r="S84" i="52"/>
  <c r="R69" i="52"/>
  <c r="S67" i="52"/>
  <c r="R68" i="52"/>
  <c r="N67" i="56"/>
  <c r="W67" i="56" a="1"/>
  <c r="W67" i="56" s="1"/>
  <c r="R68" i="56"/>
  <c r="V69" i="56" s="1"/>
  <c r="S68" i="56"/>
  <c r="N67" i="57"/>
  <c r="W67" i="57" a="1"/>
  <c r="W67" i="57" s="1"/>
  <c r="R82" i="56" l="1"/>
  <c r="V83" i="56" s="1"/>
  <c r="S82" i="57"/>
  <c r="R82" i="57"/>
  <c r="V83" i="57" s="1"/>
  <c r="Y178" i="58" a="1"/>
  <c r="Y178" i="58" s="1"/>
  <c r="R67" i="57"/>
  <c r="V68" i="57" s="1"/>
  <c r="S67" i="57"/>
  <c r="R67" i="56"/>
  <c r="S67" i="56"/>
  <c r="Y188" i="58" l="1" a="1"/>
  <c r="Y188" i="58" s="1"/>
  <c r="Y198" i="58" a="1"/>
  <c r="Y198" i="58" s="1"/>
  <c r="Y163" i="58" a="1"/>
  <c r="Y163" i="58" s="1"/>
  <c r="V68" i="56"/>
  <c r="Y153" i="58" a="1"/>
  <c r="Y153" i="58" s="1"/>
  <c r="N77" i="58" l="1"/>
  <c r="N84" i="58"/>
  <c r="N78" i="58"/>
  <c r="N79" i="58"/>
  <c r="N80" i="58"/>
  <c r="N82" i="58"/>
  <c r="N85" i="58"/>
  <c r="N86" i="58"/>
  <c r="N83" i="58"/>
  <c r="N81" i="58"/>
  <c r="G79" i="57"/>
  <c r="G79" i="56"/>
  <c r="G79" i="52"/>
  <c r="C30" i="4"/>
  <c r="Q45" i="53"/>
  <c r="H79" i="56" l="1"/>
  <c r="I79" i="56" s="1"/>
  <c r="H79" i="52"/>
  <c r="I79" i="52" s="1"/>
  <c r="J79" i="52" s="1"/>
  <c r="K79" i="52" s="1"/>
  <c r="R55" i="56" l="1"/>
  <c r="R56" i="56"/>
  <c r="R57" i="56"/>
  <c r="R58" i="56"/>
  <c r="R59" i="56"/>
  <c r="R60" i="56"/>
  <c r="R61" i="56"/>
  <c r="R55" i="52"/>
  <c r="R56" i="52"/>
  <c r="R57" i="52"/>
  <c r="R58" i="52"/>
  <c r="R59" i="52"/>
  <c r="R60" i="52"/>
  <c r="R61" i="52"/>
  <c r="C26" i="14"/>
  <c r="G64" i="52" l="1"/>
  <c r="C37" i="9"/>
  <c r="M11" i="53"/>
  <c r="N12" i="53"/>
  <c r="O16" i="53"/>
  <c r="O15" i="53"/>
  <c r="N21" i="53"/>
  <c r="M20" i="53"/>
  <c r="L11" i="53"/>
  <c r="K17" i="53"/>
  <c r="J22" i="53"/>
  <c r="J10" i="53"/>
  <c r="J9" i="53"/>
  <c r="H118" i="28"/>
  <c r="E82" i="28"/>
  <c r="G24" i="15"/>
  <c r="D25" i="28" l="1"/>
  <c r="D27" i="28" l="1"/>
  <c r="E8" i="52"/>
  <c r="C71" i="11" l="1"/>
  <c r="D26" i="15"/>
  <c r="C73" i="11" l="1"/>
  <c r="C72" i="11"/>
  <c r="AQ13" i="52" a="1"/>
  <c r="AQ13" i="52" s="1"/>
  <c r="C15" i="4"/>
  <c r="C14" i="4"/>
  <c r="C10" i="4"/>
  <c r="C9" i="4"/>
  <c r="C8" i="4"/>
  <c r="C7" i="4"/>
  <c r="F21" i="55" l="1"/>
  <c r="G21" i="55"/>
  <c r="H21" i="55"/>
  <c r="E21" i="55"/>
  <c r="I17" i="55" l="1"/>
  <c r="I18" i="55"/>
  <c r="I20" i="55"/>
  <c r="I19" i="55"/>
  <c r="K9" i="53"/>
  <c r="J11" i="53"/>
  <c r="I21" i="55" l="1"/>
  <c r="S8" i="58"/>
  <c r="T8" i="58" s="1"/>
  <c r="S9" i="58"/>
  <c r="T9" i="58" s="1"/>
  <c r="S10" i="58"/>
  <c r="T10" i="58" s="1"/>
  <c r="S11" i="58"/>
  <c r="T11" i="58" s="1"/>
  <c r="S12" i="58"/>
  <c r="T12" i="58" s="1"/>
  <c r="S13" i="58"/>
  <c r="T13" i="58" s="1"/>
  <c r="S14" i="58"/>
  <c r="T14" i="58" s="1"/>
  <c r="S15" i="58"/>
  <c r="T15" i="58" s="1"/>
  <c r="S16" i="58"/>
  <c r="T16" i="58" s="1"/>
  <c r="S17" i="58"/>
  <c r="T17" i="58" s="1"/>
  <c r="S18" i="58"/>
  <c r="T18" i="58" s="1"/>
  <c r="S19" i="58"/>
  <c r="T19" i="58" s="1"/>
  <c r="S20" i="58"/>
  <c r="T20" i="58" s="1"/>
  <c r="S21" i="58"/>
  <c r="T21" i="58" s="1"/>
  <c r="S22" i="58"/>
  <c r="T22" i="58" s="1"/>
  <c r="S23" i="58"/>
  <c r="T23" i="58" s="1"/>
  <c r="S24" i="58"/>
  <c r="T24" i="58" s="1"/>
  <c r="S25" i="58"/>
  <c r="T25" i="58" s="1"/>
  <c r="S26" i="58"/>
  <c r="T26" i="58" s="1"/>
  <c r="S7" i="58"/>
  <c r="T7" i="58" s="1"/>
  <c r="C77" i="9" a="1"/>
  <c r="C77" i="9" s="1"/>
  <c r="C72" i="9" a="1"/>
  <c r="C72" i="9" s="1"/>
  <c r="C67" i="9" a="1"/>
  <c r="C67" i="9" s="1"/>
  <c r="C62" i="9" a="1"/>
  <c r="C62" i="9" s="1"/>
  <c r="C57" i="9" a="1"/>
  <c r="C57" i="9" s="1"/>
  <c r="C52" i="9" a="1"/>
  <c r="C52" i="9" s="1"/>
  <c r="C47" i="9"/>
  <c r="C48" i="9"/>
  <c r="C46" i="9"/>
  <c r="C44" i="9"/>
  <c r="C45" i="9"/>
  <c r="C43" i="9"/>
  <c r="C41" i="9"/>
  <c r="C42" i="9"/>
  <c r="C40" i="9"/>
  <c r="C38" i="9"/>
  <c r="C39" i="9"/>
  <c r="P125" i="55" l="1"/>
  <c r="P130" i="55" s="1"/>
  <c r="H25" i="66" s="1"/>
  <c r="I65" i="15"/>
  <c r="K64" i="15"/>
  <c r="K65" i="15" s="1"/>
  <c r="M64" i="15"/>
  <c r="M65" i="15" s="1"/>
  <c r="X21" i="59"/>
  <c r="Y21" i="59"/>
  <c r="Z21" i="59"/>
  <c r="AA21" i="59"/>
  <c r="AB21" i="59"/>
  <c r="AC21" i="59"/>
  <c r="AD21" i="59"/>
  <c r="AE21" i="59"/>
  <c r="L21" i="59"/>
  <c r="M21" i="59"/>
  <c r="N21" i="59"/>
  <c r="O21" i="59"/>
  <c r="P21" i="59"/>
  <c r="Q21" i="59"/>
  <c r="R21" i="59"/>
  <c r="S21" i="59"/>
  <c r="T21" i="59"/>
  <c r="U21" i="59"/>
  <c r="V21" i="59"/>
  <c r="W21" i="59"/>
  <c r="R38" i="57"/>
  <c r="V39" i="57" s="1"/>
  <c r="R39" i="57"/>
  <c r="V40" i="57" s="1"/>
  <c r="R40" i="57"/>
  <c r="V41" i="57" s="1"/>
  <c r="R41" i="57"/>
  <c r="V42" i="57" s="1"/>
  <c r="R42" i="57"/>
  <c r="V43" i="57" s="1"/>
  <c r="R43" i="57"/>
  <c r="V44" i="57" s="1"/>
  <c r="R44" i="57"/>
  <c r="V45" i="57" s="1"/>
  <c r="R45" i="57"/>
  <c r="V46" i="57" s="1"/>
  <c r="R46" i="57"/>
  <c r="V47" i="57" s="1"/>
  <c r="AG47" i="57" a="1"/>
  <c r="AG47" i="57" s="1"/>
  <c r="AG40" i="57" a="1"/>
  <c r="AG40" i="57" s="1"/>
  <c r="AG41" i="57" a="1"/>
  <c r="AG41" i="57" s="1"/>
  <c r="AG42" i="57" a="1"/>
  <c r="AG42" i="57" s="1"/>
  <c r="AG43" i="57" a="1"/>
  <c r="AG43" i="57" s="1"/>
  <c r="AG44" i="57" a="1"/>
  <c r="AG44" i="57" s="1"/>
  <c r="AG45" i="57" a="1"/>
  <c r="AG45" i="57" s="1"/>
  <c r="AG46" i="57" a="1"/>
  <c r="AG46" i="57" s="1"/>
  <c r="AG39" i="57" a="1"/>
  <c r="AG39" i="57" s="1"/>
  <c r="AG38" i="57" a="1"/>
  <c r="AG38" i="57" s="1"/>
  <c r="AG53" i="57" a="1"/>
  <c r="AG53" i="57" s="1"/>
  <c r="S46" i="57"/>
  <c r="S45" i="57"/>
  <c r="S44" i="57"/>
  <c r="S43" i="57"/>
  <c r="S42" i="57"/>
  <c r="S41" i="57"/>
  <c r="S40" i="57"/>
  <c r="S39" i="57"/>
  <c r="S38" i="57"/>
  <c r="AG39" i="56" a="1"/>
  <c r="AG39" i="56" s="1"/>
  <c r="AG47" i="56" a="1"/>
  <c r="AG47" i="56" s="1"/>
  <c r="AG40" i="56" a="1"/>
  <c r="AG40" i="56" s="1"/>
  <c r="AG41" i="56" a="1"/>
  <c r="AG41" i="56" s="1"/>
  <c r="AG42" i="56" a="1"/>
  <c r="AG42" i="56" s="1"/>
  <c r="AG43" i="56" a="1"/>
  <c r="AG43" i="56" s="1"/>
  <c r="AG44" i="56" a="1"/>
  <c r="AG44" i="56" s="1"/>
  <c r="AG45" i="56" a="1"/>
  <c r="AG45" i="56" s="1"/>
  <c r="AG46" i="56" a="1"/>
  <c r="AG46" i="56" s="1"/>
  <c r="AG38" i="56" a="1"/>
  <c r="AG38" i="56" s="1"/>
  <c r="R40" i="56"/>
  <c r="V41" i="56" s="1"/>
  <c r="R41" i="56"/>
  <c r="V42" i="56" s="1"/>
  <c r="R42" i="56"/>
  <c r="V43" i="56" s="1"/>
  <c r="R43" i="56"/>
  <c r="V44" i="56" s="1"/>
  <c r="R44" i="56"/>
  <c r="V45" i="56" s="1"/>
  <c r="R45" i="56"/>
  <c r="V46" i="56" s="1"/>
  <c r="R46" i="56"/>
  <c r="V47" i="56" s="1"/>
  <c r="S46" i="56"/>
  <c r="S45" i="56"/>
  <c r="S44" i="56"/>
  <c r="S43" i="56"/>
  <c r="S42" i="56"/>
  <c r="S41" i="56"/>
  <c r="S40" i="56"/>
  <c r="AG47" i="52" a="1"/>
  <c r="AG47" i="52" s="1"/>
  <c r="AG46" i="52" a="1"/>
  <c r="AG46" i="52" s="1"/>
  <c r="AG40" i="52" a="1"/>
  <c r="AG40" i="52" s="1"/>
  <c r="AG41" i="52" a="1"/>
  <c r="AG41" i="52" s="1"/>
  <c r="AG42" i="52" a="1"/>
  <c r="AG42" i="52" s="1"/>
  <c r="AG43" i="52" a="1"/>
  <c r="AG43" i="52" s="1"/>
  <c r="AG44" i="52" a="1"/>
  <c r="AG44" i="52" s="1"/>
  <c r="AG45" i="52" a="1"/>
  <c r="AG45" i="52" s="1"/>
  <c r="AG39" i="52" a="1"/>
  <c r="AG39" i="52" s="1"/>
  <c r="AG38" i="52" a="1"/>
  <c r="AG38" i="52" s="1"/>
  <c r="R40" i="52"/>
  <c r="V41" i="52" s="1"/>
  <c r="R41" i="52"/>
  <c r="V42" i="52" s="1"/>
  <c r="R42" i="52"/>
  <c r="V43" i="52" s="1"/>
  <c r="R43" i="52"/>
  <c r="V44" i="52" s="1"/>
  <c r="R44" i="52"/>
  <c r="V45" i="52" s="1"/>
  <c r="R45" i="52"/>
  <c r="V46" i="52" s="1"/>
  <c r="R46" i="52"/>
  <c r="V47" i="52" s="1"/>
  <c r="S46" i="52"/>
  <c r="S45" i="52"/>
  <c r="S44" i="52"/>
  <c r="S43" i="52"/>
  <c r="S42" i="52"/>
  <c r="S41" i="52"/>
  <c r="S40" i="52"/>
  <c r="H33" i="58"/>
  <c r="H34" i="58"/>
  <c r="H35" i="58"/>
  <c r="H36" i="58"/>
  <c r="H37" i="58"/>
  <c r="H38" i="58"/>
  <c r="H39" i="58"/>
  <c r="H40" i="58"/>
  <c r="H41" i="58"/>
  <c r="H32" i="58"/>
  <c r="C33" i="58"/>
  <c r="D33" i="58"/>
  <c r="F33" i="58"/>
  <c r="E33" i="58" s="1"/>
  <c r="C34" i="58"/>
  <c r="D34" i="58"/>
  <c r="F34" i="58"/>
  <c r="E34" i="58" s="1"/>
  <c r="C35" i="58"/>
  <c r="D35" i="58"/>
  <c r="F35" i="58"/>
  <c r="E35" i="58" s="1"/>
  <c r="C36" i="58"/>
  <c r="D36" i="58"/>
  <c r="F36" i="58"/>
  <c r="E36" i="58" s="1"/>
  <c r="C37" i="58"/>
  <c r="D37" i="58"/>
  <c r="F37" i="58"/>
  <c r="E37" i="58" s="1"/>
  <c r="C38" i="58"/>
  <c r="D38" i="58"/>
  <c r="F38" i="58"/>
  <c r="E38" i="58" s="1"/>
  <c r="C39" i="58"/>
  <c r="D39" i="58"/>
  <c r="F39" i="58"/>
  <c r="E39" i="58" s="1"/>
  <c r="C40" i="58"/>
  <c r="D40" i="58"/>
  <c r="F40" i="58"/>
  <c r="E40" i="58" s="1"/>
  <c r="C41" i="58"/>
  <c r="D41" i="58"/>
  <c r="F41" i="58"/>
  <c r="E41" i="58" s="1"/>
  <c r="F32" i="58"/>
  <c r="E32" i="58" s="1"/>
  <c r="D32" i="58"/>
  <c r="C32" i="58"/>
  <c r="A75" i="55"/>
  <c r="A76" i="55" s="1"/>
  <c r="A77" i="55" s="1"/>
  <c r="A78" i="55" s="1"/>
  <c r="A79" i="55" s="1"/>
  <c r="A80" i="55" s="1"/>
  <c r="A81" i="55" s="1"/>
  <c r="A82" i="55" s="1"/>
  <c r="A83" i="55" s="1"/>
  <c r="K66" i="15" l="1"/>
  <c r="G71" i="15"/>
  <c r="D11" i="66" s="1"/>
  <c r="M66" i="15"/>
  <c r="M67" i="15"/>
  <c r="M71" i="15" s="1"/>
  <c r="K67" i="15"/>
  <c r="K71" i="15" s="1"/>
  <c r="I67" i="15"/>
  <c r="I85" i="15" s="1" a="1"/>
  <c r="I85" i="15" s="1"/>
  <c r="M85" i="15" l="1" a="1"/>
  <c r="M85" i="15" s="1"/>
  <c r="K85" i="15" a="1"/>
  <c r="K85" i="15" s="1"/>
  <c r="F29" i="66" s="1"/>
  <c r="I83" i="15" a="1"/>
  <c r="I83" i="15" s="1"/>
  <c r="K83" i="15" a="1"/>
  <c r="K83" i="15" s="1"/>
  <c r="F27" i="66" s="1"/>
  <c r="M83" i="15" a="1"/>
  <c r="M83" i="15" s="1"/>
  <c r="G27" i="66" s="1"/>
  <c r="E27" i="66"/>
  <c r="F28" i="66"/>
  <c r="I71" i="15"/>
  <c r="E11" i="66" s="1"/>
  <c r="E28" i="66"/>
  <c r="G28" i="66"/>
  <c r="F11" i="66"/>
  <c r="G11" i="66"/>
  <c r="M107" i="15"/>
  <c r="K72" i="15"/>
  <c r="D28" i="66"/>
  <c r="D30" i="66" s="1"/>
  <c r="M72" i="15"/>
  <c r="G72" i="15"/>
  <c r="I72" i="15"/>
  <c r="E29" i="66"/>
  <c r="G29" i="66"/>
  <c r="D27" i="66"/>
  <c r="D29" i="66"/>
  <c r="N37" i="52" a="1"/>
  <c r="N37" i="52" s="1"/>
  <c r="S37" i="52" s="1"/>
  <c r="N37" i="57" a="1"/>
  <c r="N37" i="57" s="1"/>
  <c r="S37" i="57" s="1"/>
  <c r="N37" i="56" a="1"/>
  <c r="D248" i="28"/>
  <c r="L32" i="58" s="1"/>
  <c r="V57" i="52"/>
  <c r="V58" i="52"/>
  <c r="V59" i="52"/>
  <c r="V60" i="52"/>
  <c r="V61" i="52"/>
  <c r="V62" i="52"/>
  <c r="R53" i="57"/>
  <c r="V54" i="57" s="1"/>
  <c r="R54" i="57"/>
  <c r="V55" i="57" s="1"/>
  <c r="R55" i="57"/>
  <c r="V56" i="57" s="1"/>
  <c r="R56" i="57"/>
  <c r="V57" i="57" s="1"/>
  <c r="R57" i="57"/>
  <c r="V58" i="57" s="1"/>
  <c r="R58" i="57"/>
  <c r="V59" i="57" s="1"/>
  <c r="R59" i="57"/>
  <c r="V60" i="57" s="1"/>
  <c r="R60" i="57"/>
  <c r="V61" i="57" s="1"/>
  <c r="R61" i="57"/>
  <c r="V62" i="57" s="1"/>
  <c r="V56" i="56"/>
  <c r="V57" i="56"/>
  <c r="V58" i="56"/>
  <c r="V59" i="56"/>
  <c r="V60" i="56"/>
  <c r="V61" i="56"/>
  <c r="V62" i="56"/>
  <c r="S56" i="52"/>
  <c r="S57" i="52"/>
  <c r="S58" i="52"/>
  <c r="S59" i="52"/>
  <c r="S60" i="52"/>
  <c r="S61" i="52"/>
  <c r="AG54" i="52" a="1"/>
  <c r="AG54" i="52" s="1"/>
  <c r="AG55" i="52" a="1"/>
  <c r="AG55" i="52" s="1"/>
  <c r="AG56" i="52" a="1"/>
  <c r="AG56" i="52" s="1"/>
  <c r="AG57" i="52" a="1"/>
  <c r="AG57" i="52" s="1"/>
  <c r="AG58" i="52" a="1"/>
  <c r="AG58" i="52" s="1"/>
  <c r="AG59" i="52" a="1"/>
  <c r="AG59" i="52" s="1"/>
  <c r="AG60" i="52" a="1"/>
  <c r="AG60" i="52" s="1"/>
  <c r="AG61" i="52" a="1"/>
  <c r="AG61" i="52" s="1"/>
  <c r="AG62" i="52" a="1"/>
  <c r="AG62" i="52" s="1"/>
  <c r="AG53" i="52" a="1"/>
  <c r="AG53" i="52" s="1"/>
  <c r="AG54" i="57" a="1"/>
  <c r="AG54" i="57" s="1"/>
  <c r="AG54" i="56" a="1"/>
  <c r="AG54" i="56" s="1"/>
  <c r="AG55" i="56" a="1"/>
  <c r="AG55" i="56" s="1"/>
  <c r="AG56" i="56" a="1"/>
  <c r="AG56" i="56" s="1"/>
  <c r="AG57" i="56" a="1"/>
  <c r="AG57" i="56" s="1"/>
  <c r="AG58" i="56" a="1"/>
  <c r="AG58" i="56" s="1"/>
  <c r="AG59" i="56" a="1"/>
  <c r="AG59" i="56" s="1"/>
  <c r="AG60" i="56" a="1"/>
  <c r="AG60" i="56" s="1"/>
  <c r="AG61" i="56" a="1"/>
  <c r="AG61" i="56" s="1"/>
  <c r="AG62" i="56" a="1"/>
  <c r="AG62" i="56" s="1"/>
  <c r="AG53" i="56" a="1"/>
  <c r="AG53" i="56" s="1"/>
  <c r="AQ13" i="56" a="1"/>
  <c r="AQ13" i="56" s="1"/>
  <c r="S61" i="56"/>
  <c r="S60" i="56"/>
  <c r="S59" i="56"/>
  <c r="S58" i="56"/>
  <c r="S57" i="56"/>
  <c r="S56" i="56"/>
  <c r="S55" i="56"/>
  <c r="S53" i="57"/>
  <c r="S54" i="57"/>
  <c r="S55" i="57"/>
  <c r="S56" i="57"/>
  <c r="S57" i="57"/>
  <c r="S58" i="57"/>
  <c r="S59" i="57"/>
  <c r="S60" i="57"/>
  <c r="S61" i="57"/>
  <c r="AG62" i="57" a="1"/>
  <c r="AG62" i="57" s="1"/>
  <c r="AG55" i="57" a="1"/>
  <c r="AG55" i="57" s="1"/>
  <c r="AG56" i="57" a="1"/>
  <c r="AG56" i="57" s="1"/>
  <c r="AG57" i="57" a="1"/>
  <c r="AG57" i="57" s="1"/>
  <c r="AG58" i="57" a="1"/>
  <c r="AG58" i="57" s="1"/>
  <c r="AG59" i="57" a="1"/>
  <c r="AG59" i="57" s="1"/>
  <c r="AG60" i="57" a="1"/>
  <c r="AG60" i="57" s="1"/>
  <c r="AG61" i="57" a="1"/>
  <c r="AG61" i="57" s="1"/>
  <c r="C48" i="58"/>
  <c r="D48" i="58"/>
  <c r="F48" i="58"/>
  <c r="H48" i="58"/>
  <c r="C49" i="58"/>
  <c r="D49" i="58"/>
  <c r="F49" i="58"/>
  <c r="H49" i="58"/>
  <c r="C50" i="58"/>
  <c r="D50" i="58"/>
  <c r="F50" i="58"/>
  <c r="H50" i="58"/>
  <c r="C51" i="58"/>
  <c r="D51" i="58"/>
  <c r="F51" i="58"/>
  <c r="H51" i="58"/>
  <c r="C52" i="58"/>
  <c r="D52" i="58"/>
  <c r="F52" i="58"/>
  <c r="H52" i="58"/>
  <c r="C53" i="58"/>
  <c r="D53" i="58"/>
  <c r="F53" i="58"/>
  <c r="H53" i="58"/>
  <c r="C54" i="58"/>
  <c r="D54" i="58"/>
  <c r="F54" i="58"/>
  <c r="H54" i="58"/>
  <c r="C55" i="58"/>
  <c r="D55" i="58"/>
  <c r="F55" i="58"/>
  <c r="H55" i="58"/>
  <c r="C56" i="58"/>
  <c r="D56" i="58"/>
  <c r="F56" i="58"/>
  <c r="H56" i="58"/>
  <c r="H47" i="58"/>
  <c r="F47" i="58"/>
  <c r="D47" i="58"/>
  <c r="C47" i="58"/>
  <c r="R71" i="15" l="1"/>
  <c r="T54" i="58"/>
  <c r="E54" i="58"/>
  <c r="T53" i="58"/>
  <c r="E53" i="58"/>
  <c r="T51" i="58"/>
  <c r="E51" i="58"/>
  <c r="T49" i="58"/>
  <c r="E49" i="58"/>
  <c r="T52" i="58"/>
  <c r="E52" i="58"/>
  <c r="T55" i="58"/>
  <c r="E55" i="58"/>
  <c r="T50" i="58"/>
  <c r="E50" i="58"/>
  <c r="T56" i="58"/>
  <c r="E56" i="58"/>
  <c r="T48" i="58"/>
  <c r="E48" i="58"/>
  <c r="T47" i="58"/>
  <c r="E47" i="58"/>
  <c r="E26" i="66"/>
  <c r="E30" i="66" s="1"/>
  <c r="I86" i="15"/>
  <c r="G26" i="66"/>
  <c r="G30" i="66" s="1"/>
  <c r="M86" i="15"/>
  <c r="G86" i="15"/>
  <c r="F26" i="66"/>
  <c r="F30" i="66" s="1"/>
  <c r="K86" i="15"/>
  <c r="R72" i="15"/>
  <c r="E12" i="66"/>
  <c r="D12" i="66"/>
  <c r="N11" i="66" s="1"/>
  <c r="C14" i="66" s="1"/>
  <c r="F12" i="66"/>
  <c r="G12" i="66"/>
  <c r="H54" i="60"/>
  <c r="J54" i="60" s="1"/>
  <c r="O54" i="60" s="1"/>
  <c r="I28" i="66"/>
  <c r="S38" i="56"/>
  <c r="S39" i="56"/>
  <c r="L48" i="58"/>
  <c r="J48" i="58" s="1"/>
  <c r="L51" i="58"/>
  <c r="J51" i="58" s="1"/>
  <c r="L56" i="58"/>
  <c r="J56" i="58" s="1"/>
  <c r="L54" i="58"/>
  <c r="J54" i="58" s="1"/>
  <c r="L47" i="58"/>
  <c r="J47" i="58" s="1"/>
  <c r="L53" i="58"/>
  <c r="J53" i="58" s="1"/>
  <c r="L49" i="58"/>
  <c r="J49" i="58" s="1"/>
  <c r="L52" i="58"/>
  <c r="J52" i="58" s="1"/>
  <c r="L55" i="58"/>
  <c r="J55" i="58" s="1"/>
  <c r="L50" i="58"/>
  <c r="J50" i="58" s="1"/>
  <c r="W37" i="57" a="1"/>
  <c r="W37" i="57" s="1"/>
  <c r="J32" i="58"/>
  <c r="L39" i="58"/>
  <c r="J39" i="58" s="1"/>
  <c r="L41" i="58"/>
  <c r="J41" i="58" s="1"/>
  <c r="L35" i="58"/>
  <c r="J35" i="58" s="1"/>
  <c r="R39" i="52" s="1"/>
  <c r="V40" i="52" s="1"/>
  <c r="L36" i="58"/>
  <c r="J36" i="58" s="1"/>
  <c r="L38" i="58"/>
  <c r="J38" i="58" s="1"/>
  <c r="L33" i="58"/>
  <c r="J33" i="58" s="1"/>
  <c r="L40" i="58"/>
  <c r="J40" i="58" s="1"/>
  <c r="L37" i="58"/>
  <c r="J37" i="58" s="1"/>
  <c r="R39" i="56" s="1"/>
  <c r="V40" i="56" s="1"/>
  <c r="L34" i="58"/>
  <c r="J34" i="58" s="1"/>
  <c r="R38" i="52" s="1"/>
  <c r="V39" i="52" s="1"/>
  <c r="N37" i="56"/>
  <c r="W37" i="56" a="1"/>
  <c r="W37" i="56" s="1"/>
  <c r="S38" i="52"/>
  <c r="S39" i="52"/>
  <c r="W37" i="52" a="1"/>
  <c r="W37" i="52" s="1"/>
  <c r="H53" i="60" l="1"/>
  <c r="J53" i="60" s="1"/>
  <c r="O53" i="60" s="1"/>
  <c r="R37" i="57"/>
  <c r="V38" i="57" s="1"/>
  <c r="I26" i="66"/>
  <c r="G88" i="15"/>
  <c r="F58" i="66"/>
  <c r="F61" i="66" s="1"/>
  <c r="R38" i="56"/>
  <c r="V39" i="56" s="1"/>
  <c r="S47" i="58"/>
  <c r="U47" i="58" s="1"/>
  <c r="G128" i="55" s="1"/>
  <c r="S55" i="58"/>
  <c r="U55" i="58" s="1"/>
  <c r="S56" i="58"/>
  <c r="U56" i="58" s="1"/>
  <c r="S51" i="58"/>
  <c r="U51" i="58" s="1"/>
  <c r="S52" i="58"/>
  <c r="U52" i="58" s="1"/>
  <c r="S54" i="58"/>
  <c r="U54" i="58" s="1"/>
  <c r="N52" i="52" a="1"/>
  <c r="N52" i="52" s="1"/>
  <c r="S50" i="58"/>
  <c r="U50" i="58" s="1"/>
  <c r="S49" i="58"/>
  <c r="U49" i="58" s="1"/>
  <c r="S48" i="58"/>
  <c r="U48" i="58" s="1"/>
  <c r="S53" i="58"/>
  <c r="U53" i="58" s="1"/>
  <c r="V69" i="52"/>
  <c r="N52" i="57" a="1"/>
  <c r="N52" i="57" s="1"/>
  <c r="R52" i="57" s="1"/>
  <c r="V53" i="57" s="1"/>
  <c r="S68" i="52"/>
  <c r="V70" i="52"/>
  <c r="S69" i="52"/>
  <c r="W67" i="52" a="1"/>
  <c r="W67" i="52" s="1"/>
  <c r="S37" i="56"/>
  <c r="R37" i="56"/>
  <c r="R37" i="52"/>
  <c r="V38" i="52" s="1"/>
  <c r="N52" i="56" a="1"/>
  <c r="V56" i="52"/>
  <c r="S55" i="52"/>
  <c r="Y93" i="58" l="1" a="1"/>
  <c r="Y93" i="58" s="1"/>
  <c r="E58" i="66"/>
  <c r="E61" i="66" s="1"/>
  <c r="O11" i="66"/>
  <c r="R54" i="56"/>
  <c r="V55" i="56" s="1"/>
  <c r="S54" i="56"/>
  <c r="W52" i="52" a="1"/>
  <c r="W52" i="52" s="1"/>
  <c r="N52" i="56"/>
  <c r="R52" i="56" s="1"/>
  <c r="V53" i="56" s="1"/>
  <c r="R53" i="56"/>
  <c r="V54" i="56" s="1"/>
  <c r="S53" i="56"/>
  <c r="Y143" i="58" a="1"/>
  <c r="Y143" i="58" s="1"/>
  <c r="N62" i="58" s="1"/>
  <c r="V68" i="52"/>
  <c r="R52" i="52"/>
  <c r="V53" i="52" s="1"/>
  <c r="R53" i="52"/>
  <c r="V54" i="52" s="1"/>
  <c r="R54" i="52"/>
  <c r="V55" i="52" s="1"/>
  <c r="V38" i="56"/>
  <c r="Y83" i="58" a="1"/>
  <c r="Y83" i="58" s="1"/>
  <c r="Y73" i="58" a="1"/>
  <c r="Y73" i="58" s="1"/>
  <c r="S53" i="52"/>
  <c r="S54" i="52"/>
  <c r="W52" i="56" a="1"/>
  <c r="W52" i="56" s="1"/>
  <c r="S52" i="57"/>
  <c r="Y128" i="58" s="1" a="1"/>
  <c r="Y128" i="58" s="1"/>
  <c r="W52" i="57" a="1"/>
  <c r="W52" i="57" s="1"/>
  <c r="N32" i="58" l="1"/>
  <c r="O32" i="58" s="1"/>
  <c r="P32" i="58" s="1"/>
  <c r="N33" i="58"/>
  <c r="O33" i="58" s="1"/>
  <c r="S52" i="56"/>
  <c r="Y118" i="58" s="1" a="1"/>
  <c r="Y118" i="58" s="1"/>
  <c r="O84" i="58"/>
  <c r="P84" i="58" s="1"/>
  <c r="Q84" i="58" s="1"/>
  <c r="R84" i="58" s="1"/>
  <c r="O80" i="58"/>
  <c r="P80" i="58" s="1"/>
  <c r="Q80" i="58" s="1"/>
  <c r="R80" i="58" s="1"/>
  <c r="O85" i="58"/>
  <c r="P85" i="58" s="1"/>
  <c r="Q85" i="58" s="1"/>
  <c r="R85" i="58" s="1"/>
  <c r="O81" i="58"/>
  <c r="P81" i="58" s="1"/>
  <c r="Q81" i="58" s="1"/>
  <c r="R81" i="58" s="1"/>
  <c r="O86" i="58"/>
  <c r="P86" i="58" s="1"/>
  <c r="Q86" i="58" s="1"/>
  <c r="R86" i="58" s="1"/>
  <c r="O82" i="58"/>
  <c r="P82" i="58" s="1"/>
  <c r="Q82" i="58" s="1"/>
  <c r="R82" i="58" s="1"/>
  <c r="O78" i="58"/>
  <c r="P78" i="58" s="1"/>
  <c r="Q78" i="58" s="1"/>
  <c r="R78" i="58" s="1"/>
  <c r="O83" i="58"/>
  <c r="P83" i="58" s="1"/>
  <c r="Q83" i="58" s="1"/>
  <c r="R83" i="58" s="1"/>
  <c r="O79" i="58"/>
  <c r="P79" i="58" s="1"/>
  <c r="Q79" i="58" s="1"/>
  <c r="R79" i="58" s="1"/>
  <c r="O62" i="58"/>
  <c r="N63" i="58"/>
  <c r="N71" i="58"/>
  <c r="N64" i="58"/>
  <c r="N65" i="58"/>
  <c r="N66" i="58"/>
  <c r="N67" i="58"/>
  <c r="N68" i="58"/>
  <c r="N70" i="58"/>
  <c r="N69" i="58"/>
  <c r="S52" i="52"/>
  <c r="Y108" i="58" s="1" a="1"/>
  <c r="Y108" i="58" s="1"/>
  <c r="N38" i="58"/>
  <c r="O38" i="58" s="1"/>
  <c r="N41" i="58"/>
  <c r="O41" i="58" s="1"/>
  <c r="N37" i="58"/>
  <c r="O37" i="58" s="1"/>
  <c r="N34" i="58"/>
  <c r="O34" i="58" s="1"/>
  <c r="N39" i="58"/>
  <c r="O39" i="58" s="1"/>
  <c r="N35" i="58"/>
  <c r="O35" i="58" s="1"/>
  <c r="N36" i="58"/>
  <c r="O36" i="58" s="1"/>
  <c r="N40" i="58"/>
  <c r="O40" i="58" s="1"/>
  <c r="AQ15" i="57" a="1"/>
  <c r="AQ15" i="57" s="1"/>
  <c r="AQ16" i="57" a="1"/>
  <c r="AQ16" i="57" s="1"/>
  <c r="AQ17" i="57" a="1"/>
  <c r="AQ17" i="57" s="1"/>
  <c r="AQ18" i="57" a="1"/>
  <c r="AQ18" i="57" s="1"/>
  <c r="AQ19" i="57" a="1"/>
  <c r="AQ19" i="57" s="1"/>
  <c r="AQ20" i="57" a="1"/>
  <c r="AQ20" i="57" s="1"/>
  <c r="AQ21" i="57" a="1"/>
  <c r="AQ21" i="57" s="1"/>
  <c r="AQ22" i="57" a="1"/>
  <c r="AQ22" i="57" s="1"/>
  <c r="AQ23" i="57" a="1"/>
  <c r="AQ23" i="57" s="1"/>
  <c r="AQ24" i="57" a="1"/>
  <c r="AQ24" i="57" s="1"/>
  <c r="AQ25" i="57" a="1"/>
  <c r="AQ25" i="57" s="1"/>
  <c r="AQ26" i="57" a="1"/>
  <c r="AQ26" i="57" s="1"/>
  <c r="AQ27" i="57" a="1"/>
  <c r="AQ27" i="57" s="1"/>
  <c r="AQ28" i="57" a="1"/>
  <c r="AQ28" i="57" s="1"/>
  <c r="AQ29" i="57" a="1"/>
  <c r="AQ29" i="57" s="1"/>
  <c r="AQ30" i="57" a="1"/>
  <c r="AQ30" i="57" s="1"/>
  <c r="AQ31" i="57" a="1"/>
  <c r="AQ31" i="57" s="1"/>
  <c r="AQ32" i="57" a="1"/>
  <c r="AQ32" i="57" s="1"/>
  <c r="AQ14" i="57" a="1"/>
  <c r="AQ14" i="57" s="1"/>
  <c r="AQ17" i="56" a="1"/>
  <c r="AQ17" i="56" s="1"/>
  <c r="AQ14" i="56" a="1"/>
  <c r="AQ14" i="56" s="1"/>
  <c r="AQ15" i="56" a="1"/>
  <c r="AQ15" i="56" s="1"/>
  <c r="AQ16" i="56" a="1"/>
  <c r="AQ16" i="56" s="1"/>
  <c r="AQ18" i="56" a="1"/>
  <c r="AQ18" i="56" s="1"/>
  <c r="AQ19" i="56" a="1"/>
  <c r="AQ19" i="56" s="1"/>
  <c r="AQ20" i="56" a="1"/>
  <c r="AQ20" i="56" s="1"/>
  <c r="AQ21" i="56" a="1"/>
  <c r="AQ21" i="56" s="1"/>
  <c r="AQ22" i="56" a="1"/>
  <c r="AQ22" i="56" s="1"/>
  <c r="AQ23" i="56" a="1"/>
  <c r="AQ23" i="56" s="1"/>
  <c r="AQ24" i="56" a="1"/>
  <c r="AQ24" i="56" s="1"/>
  <c r="AQ25" i="56" a="1"/>
  <c r="AQ25" i="56" s="1"/>
  <c r="AQ26" i="56" a="1"/>
  <c r="AQ26" i="56" s="1"/>
  <c r="AQ27" i="56" a="1"/>
  <c r="AQ27" i="56" s="1"/>
  <c r="AQ28" i="56" a="1"/>
  <c r="AQ28" i="56" s="1"/>
  <c r="AQ29" i="56" a="1"/>
  <c r="AQ29" i="56" s="1"/>
  <c r="AQ30" i="56" a="1"/>
  <c r="AQ30" i="56" s="1"/>
  <c r="AQ31" i="56" a="1"/>
  <c r="AQ31" i="56" s="1"/>
  <c r="AQ32" i="56" a="1"/>
  <c r="AQ32" i="56" s="1"/>
  <c r="AQ16" i="52" a="1"/>
  <c r="AQ16" i="52" s="1"/>
  <c r="AQ17" i="52" a="1"/>
  <c r="AQ17" i="52" s="1"/>
  <c r="AQ18" i="52" a="1"/>
  <c r="AQ18" i="52" s="1"/>
  <c r="AQ19" i="52" a="1"/>
  <c r="AQ19" i="52" s="1"/>
  <c r="AQ20" i="52" a="1"/>
  <c r="AQ20" i="52" s="1"/>
  <c r="AQ21" i="52" a="1"/>
  <c r="AQ21" i="52" s="1"/>
  <c r="AQ22" i="52" a="1"/>
  <c r="AQ22" i="52" s="1"/>
  <c r="AQ23" i="52" a="1"/>
  <c r="AQ23" i="52" s="1"/>
  <c r="AQ24" i="52" a="1"/>
  <c r="AQ24" i="52" s="1"/>
  <c r="AQ25" i="52" a="1"/>
  <c r="AQ25" i="52" s="1"/>
  <c r="AQ26" i="52" a="1"/>
  <c r="AQ26" i="52" s="1"/>
  <c r="AQ27" i="52" a="1"/>
  <c r="AQ27" i="52" s="1"/>
  <c r="AQ28" i="52" a="1"/>
  <c r="AQ28" i="52" s="1"/>
  <c r="AQ29" i="52" a="1"/>
  <c r="AQ29" i="52" s="1"/>
  <c r="AQ30" i="52" a="1"/>
  <c r="AQ30" i="52" s="1"/>
  <c r="AQ31" i="52" a="1"/>
  <c r="AQ31" i="52" s="1"/>
  <c r="AQ32" i="52" a="1"/>
  <c r="AQ32" i="52" s="1"/>
  <c r="AQ15" i="52" a="1"/>
  <c r="AQ15" i="52" s="1"/>
  <c r="AQ14" i="52" a="1"/>
  <c r="AQ14" i="52" s="1"/>
  <c r="E17" i="57"/>
  <c r="E18" i="57" s="1"/>
  <c r="E17" i="56"/>
  <c r="E18" i="56" s="1"/>
  <c r="A89" i="55"/>
  <c r="A90" i="55" s="1"/>
  <c r="A91" i="55" s="1"/>
  <c r="A92" i="55" s="1"/>
  <c r="A93" i="55" s="1"/>
  <c r="A94" i="55" s="1"/>
  <c r="A95" i="55" s="1"/>
  <c r="A96" i="55" s="1"/>
  <c r="A97" i="55" s="1"/>
  <c r="C8" i="58"/>
  <c r="D8" i="58"/>
  <c r="F8" i="58"/>
  <c r="E8" i="58" s="1"/>
  <c r="H8" i="58"/>
  <c r="C9" i="58"/>
  <c r="U9" i="58" s="1"/>
  <c r="V9" i="58" s="1"/>
  <c r="D9" i="58"/>
  <c r="F9" i="58"/>
  <c r="E9" i="58" s="1"/>
  <c r="H9" i="58"/>
  <c r="C10" i="58"/>
  <c r="U10" i="58" s="1"/>
  <c r="V10" i="58" s="1"/>
  <c r="D10" i="58"/>
  <c r="F10" i="58"/>
  <c r="E10" i="58" s="1"/>
  <c r="H10" i="58"/>
  <c r="C11" i="58"/>
  <c r="U11" i="58" s="1"/>
  <c r="V11" i="58" s="1"/>
  <c r="D11" i="58"/>
  <c r="F11" i="58"/>
  <c r="E11" i="58" s="1"/>
  <c r="H11" i="58"/>
  <c r="C12" i="58"/>
  <c r="U12" i="58" s="1"/>
  <c r="V12" i="58" s="1"/>
  <c r="D12" i="58"/>
  <c r="F12" i="58"/>
  <c r="E12" i="58" s="1"/>
  <c r="H12" i="58"/>
  <c r="C13" i="58"/>
  <c r="J13" i="58" s="1"/>
  <c r="D13" i="58"/>
  <c r="F13" i="58"/>
  <c r="E13" i="58" s="1"/>
  <c r="H13" i="58"/>
  <c r="C14" i="58"/>
  <c r="D14" i="58"/>
  <c r="F14" i="58"/>
  <c r="E14" i="58" s="1"/>
  <c r="H14" i="58"/>
  <c r="C15" i="58"/>
  <c r="D15" i="58"/>
  <c r="F15" i="58"/>
  <c r="E15" i="58" s="1"/>
  <c r="H15" i="58"/>
  <c r="C16" i="58"/>
  <c r="D16" i="58"/>
  <c r="F16" i="58"/>
  <c r="E16" i="58" s="1"/>
  <c r="H16" i="58"/>
  <c r="C17" i="58"/>
  <c r="D17" i="58"/>
  <c r="F17" i="58"/>
  <c r="E17" i="58" s="1"/>
  <c r="H17" i="58"/>
  <c r="C18" i="58"/>
  <c r="D18" i="58"/>
  <c r="F18" i="58"/>
  <c r="E18" i="58" s="1"/>
  <c r="H18" i="58"/>
  <c r="C19" i="58"/>
  <c r="D19" i="58"/>
  <c r="F19" i="58"/>
  <c r="E19" i="58" s="1"/>
  <c r="H19" i="58"/>
  <c r="C20" i="58"/>
  <c r="D20" i="58"/>
  <c r="F20" i="58"/>
  <c r="E20" i="58" s="1"/>
  <c r="H20" i="58"/>
  <c r="C21" i="58"/>
  <c r="D21" i="58"/>
  <c r="F21" i="58"/>
  <c r="E21" i="58" s="1"/>
  <c r="H21" i="58"/>
  <c r="C22" i="58"/>
  <c r="D22" i="58"/>
  <c r="F22" i="58"/>
  <c r="E22" i="58" s="1"/>
  <c r="H22" i="58"/>
  <c r="C23" i="58"/>
  <c r="D23" i="58"/>
  <c r="F23" i="58"/>
  <c r="E23" i="58" s="1"/>
  <c r="H23" i="58"/>
  <c r="C24" i="58"/>
  <c r="D24" i="58"/>
  <c r="F24" i="58"/>
  <c r="E24" i="58" s="1"/>
  <c r="H24" i="58"/>
  <c r="C25" i="58"/>
  <c r="D25" i="58"/>
  <c r="F25" i="58"/>
  <c r="E25" i="58" s="1"/>
  <c r="H25" i="58"/>
  <c r="C26" i="58"/>
  <c r="D26" i="58"/>
  <c r="F26" i="58"/>
  <c r="E26" i="58" s="1"/>
  <c r="H26" i="58"/>
  <c r="D7" i="58"/>
  <c r="F7" i="58"/>
  <c r="E7" i="58" s="1"/>
  <c r="H7" i="58"/>
  <c r="C7" i="58"/>
  <c r="U7" i="58" s="1"/>
  <c r="E215" i="28"/>
  <c r="E216" i="28"/>
  <c r="E217" i="28"/>
  <c r="E218" i="28"/>
  <c r="E219" i="28"/>
  <c r="E220" i="28"/>
  <c r="E221" i="28"/>
  <c r="E222" i="28"/>
  <c r="E223" i="28"/>
  <c r="E224" i="28"/>
  <c r="E225" i="28"/>
  <c r="E226" i="28"/>
  <c r="E227" i="28"/>
  <c r="E228" i="28"/>
  <c r="E229" i="28"/>
  <c r="E230" i="28"/>
  <c r="E231" i="28"/>
  <c r="E232" i="28"/>
  <c r="E233" i="28"/>
  <c r="E234" i="28"/>
  <c r="E214" i="28"/>
  <c r="G198" i="28" a="1"/>
  <c r="G198" i="28" s="1"/>
  <c r="C223" i="28"/>
  <c r="C221" i="28"/>
  <c r="C220" i="28"/>
  <c r="C218" i="28"/>
  <c r="C217" i="28"/>
  <c r="C216" i="28"/>
  <c r="C215" i="28"/>
  <c r="C214" i="28"/>
  <c r="T6" i="57"/>
  <c r="E12" i="57" s="1"/>
  <c r="T6" i="56"/>
  <c r="E12" i="56" s="1"/>
  <c r="K105" i="57"/>
  <c r="J105" i="57"/>
  <c r="I105" i="57"/>
  <c r="H105" i="57"/>
  <c r="G105" i="57"/>
  <c r="H79" i="57"/>
  <c r="I79" i="57" s="1"/>
  <c r="J79" i="57" s="1"/>
  <c r="K79" i="57" s="1"/>
  <c r="K64" i="57"/>
  <c r="J64" i="57"/>
  <c r="I64" i="57"/>
  <c r="H64" i="57"/>
  <c r="G64" i="57"/>
  <c r="G38" i="57"/>
  <c r="AQ13" i="57" a="1"/>
  <c r="AQ13" i="57" s="1"/>
  <c r="E8" i="57"/>
  <c r="K105" i="56"/>
  <c r="J105" i="56"/>
  <c r="I105" i="56"/>
  <c r="H105" i="56"/>
  <c r="G105" i="56"/>
  <c r="J79" i="56"/>
  <c r="K79" i="56" s="1"/>
  <c r="K64" i="56"/>
  <c r="J64" i="56"/>
  <c r="I64" i="56"/>
  <c r="H64" i="56"/>
  <c r="G64" i="56"/>
  <c r="G38" i="56"/>
  <c r="E8" i="56"/>
  <c r="S18" i="52"/>
  <c r="S19" i="52"/>
  <c r="S20" i="52"/>
  <c r="S21" i="52"/>
  <c r="S22" i="52"/>
  <c r="S23" i="52"/>
  <c r="S24" i="52"/>
  <c r="S25" i="52"/>
  <c r="S26" i="52"/>
  <c r="S27" i="52"/>
  <c r="S28" i="52"/>
  <c r="S29" i="52"/>
  <c r="S30" i="52"/>
  <c r="S31" i="52"/>
  <c r="E17" i="52"/>
  <c r="E12" i="52"/>
  <c r="D172" i="28"/>
  <c r="T7" i="52" s="1"/>
  <c r="E11" i="52" s="1"/>
  <c r="A37" i="55"/>
  <c r="A38" i="55" s="1"/>
  <c r="A39" i="55" s="1"/>
  <c r="A40" i="55" s="1"/>
  <c r="A41" i="55" s="1"/>
  <c r="A42" i="55" s="1"/>
  <c r="A43" i="55" s="1"/>
  <c r="A44" i="55" s="1"/>
  <c r="A45" i="55" s="1"/>
  <c r="A46" i="55" s="1"/>
  <c r="A47" i="55" s="1"/>
  <c r="A48" i="55" s="1"/>
  <c r="A49" i="55" s="1"/>
  <c r="A50" i="55" s="1"/>
  <c r="A51" i="55" s="1"/>
  <c r="A52" i="55" s="1"/>
  <c r="A53" i="55" s="1"/>
  <c r="A54" i="55" s="1"/>
  <c r="A55" i="55" s="1"/>
  <c r="D9" i="54"/>
  <c r="N47" i="58" l="1"/>
  <c r="O47" i="58" s="1"/>
  <c r="W11" i="58"/>
  <c r="W9" i="58"/>
  <c r="W12" i="58"/>
  <c r="W10" i="58"/>
  <c r="N48" i="58"/>
  <c r="E18" i="52"/>
  <c r="G65" i="52" s="1"/>
  <c r="N52" i="58"/>
  <c r="N49" i="58"/>
  <c r="N50" i="58"/>
  <c r="N51" i="58"/>
  <c r="N54" i="58"/>
  <c r="N53" i="58"/>
  <c r="O53" i="58" s="1"/>
  <c r="N55" i="58"/>
  <c r="N56" i="58"/>
  <c r="O77" i="58"/>
  <c r="P77" i="58" s="1"/>
  <c r="Q32" i="58"/>
  <c r="L7" i="58"/>
  <c r="U8" i="58"/>
  <c r="V8" i="58" s="1"/>
  <c r="W8" i="58" s="1"/>
  <c r="L8" i="58"/>
  <c r="V7" i="58"/>
  <c r="W7" i="58" s="1"/>
  <c r="L13" i="58"/>
  <c r="U13" i="58"/>
  <c r="V13" i="58" s="1"/>
  <c r="W13" i="58" s="1"/>
  <c r="U24" i="58"/>
  <c r="V24" i="58" s="1"/>
  <c r="W24" i="58" s="1"/>
  <c r="L20" i="58"/>
  <c r="U20" i="58"/>
  <c r="V20" i="58" s="1"/>
  <c r="W20" i="58" s="1"/>
  <c r="U16" i="58"/>
  <c r="V16" i="58" s="1"/>
  <c r="W16" i="58" s="1"/>
  <c r="U17" i="58"/>
  <c r="V17" i="58" s="1"/>
  <c r="W17" i="58" s="1"/>
  <c r="U26" i="58"/>
  <c r="V26" i="58" s="1"/>
  <c r="W26" i="58" s="1"/>
  <c r="L22" i="58"/>
  <c r="U22" i="58"/>
  <c r="V22" i="58" s="1"/>
  <c r="W22" i="58" s="1"/>
  <c r="U18" i="58"/>
  <c r="V18" i="58" s="1"/>
  <c r="W18" i="58" s="1"/>
  <c r="L14" i="58"/>
  <c r="U14" i="58"/>
  <c r="V14" i="58" s="1"/>
  <c r="W14" i="58" s="1"/>
  <c r="U25" i="58"/>
  <c r="V25" i="58" s="1"/>
  <c r="W25" i="58" s="1"/>
  <c r="L21" i="58"/>
  <c r="U21" i="58"/>
  <c r="V21" i="58" s="1"/>
  <c r="W21" i="58" s="1"/>
  <c r="L23" i="58"/>
  <c r="U23" i="58"/>
  <c r="V23" i="58" s="1"/>
  <c r="W23" i="58" s="1"/>
  <c r="U19" i="58"/>
  <c r="V19" i="58" s="1"/>
  <c r="W19" i="58" s="1"/>
  <c r="L15" i="58"/>
  <c r="U15" i="58"/>
  <c r="V15" i="58" s="1"/>
  <c r="W15" i="58" s="1"/>
  <c r="L12" i="58"/>
  <c r="R23" i="52"/>
  <c r="V24" i="52" s="1"/>
  <c r="J9" i="58"/>
  <c r="R31" i="52"/>
  <c r="V32" i="52" s="1"/>
  <c r="R30" i="52"/>
  <c r="V31" i="52" s="1"/>
  <c r="R22" i="52"/>
  <c r="V23" i="52" s="1"/>
  <c r="R29" i="52"/>
  <c r="V30" i="52" s="1"/>
  <c r="R21" i="52"/>
  <c r="V22" i="52" s="1"/>
  <c r="L11" i="58"/>
  <c r="R28" i="52"/>
  <c r="V29" i="52" s="1"/>
  <c r="R20" i="52"/>
  <c r="V21" i="52" s="1"/>
  <c r="R27" i="52"/>
  <c r="V28" i="52" s="1"/>
  <c r="R19" i="52"/>
  <c r="V20" i="52" s="1"/>
  <c r="R26" i="52"/>
  <c r="V27" i="52" s="1"/>
  <c r="R18" i="52"/>
  <c r="V19" i="52" s="1"/>
  <c r="R25" i="52"/>
  <c r="V26" i="52" s="1"/>
  <c r="R24" i="52"/>
  <c r="V25" i="52" s="1"/>
  <c r="J11" i="58"/>
  <c r="K23" i="58"/>
  <c r="K15" i="58"/>
  <c r="L19" i="58"/>
  <c r="K21" i="58"/>
  <c r="L9" i="58"/>
  <c r="J7" i="58"/>
  <c r="L17" i="58"/>
  <c r="J25" i="58"/>
  <c r="K13" i="58"/>
  <c r="J19" i="58"/>
  <c r="J17" i="58"/>
  <c r="L25" i="58"/>
  <c r="J26" i="58"/>
  <c r="J18" i="58"/>
  <c r="J10" i="58"/>
  <c r="K22" i="58"/>
  <c r="K14" i="58"/>
  <c r="L26" i="58"/>
  <c r="L18" i="58"/>
  <c r="L10" i="58"/>
  <c r="J24" i="58"/>
  <c r="J16" i="58"/>
  <c r="J8" i="58"/>
  <c r="K20" i="58"/>
  <c r="K12" i="58"/>
  <c r="L24" i="58"/>
  <c r="L16" i="58"/>
  <c r="J23" i="58"/>
  <c r="J15" i="58"/>
  <c r="K7" i="58"/>
  <c r="K19" i="58"/>
  <c r="K11" i="58"/>
  <c r="J22" i="58"/>
  <c r="J14" i="58"/>
  <c r="K26" i="58"/>
  <c r="K18" i="58"/>
  <c r="K10" i="58"/>
  <c r="J21" i="58"/>
  <c r="K25" i="58"/>
  <c r="K17" i="58"/>
  <c r="K9" i="58"/>
  <c r="J20" i="58"/>
  <c r="J12" i="58"/>
  <c r="K24" i="58"/>
  <c r="K16" i="58"/>
  <c r="K8" i="58"/>
  <c r="G106" i="56"/>
  <c r="G106" i="57"/>
  <c r="G65" i="57"/>
  <c r="H65" i="57"/>
  <c r="H106" i="57"/>
  <c r="I65" i="57"/>
  <c r="I106" i="57"/>
  <c r="J106" i="57"/>
  <c r="J65" i="57"/>
  <c r="K106" i="57"/>
  <c r="K65" i="57"/>
  <c r="H65" i="56"/>
  <c r="I106" i="56"/>
  <c r="J65" i="56"/>
  <c r="K106" i="56"/>
  <c r="J106" i="56"/>
  <c r="K65" i="56"/>
  <c r="I65" i="56"/>
  <c r="G65" i="56"/>
  <c r="H106" i="56"/>
  <c r="G9" i="54" a="1"/>
  <c r="H10" i="54" s="1"/>
  <c r="G18" i="54" a="1"/>
  <c r="K18" i="54" s="1"/>
  <c r="Q4" i="53" a="1"/>
  <c r="Q4" i="53" s="1"/>
  <c r="Q10" i="53" a="1"/>
  <c r="U10" i="53" s="1"/>
  <c r="Q16" i="53" a="1"/>
  <c r="Q16" i="53" s="1"/>
  <c r="Q22" i="53" a="1"/>
  <c r="U22" i="53" s="1"/>
  <c r="Q28" i="53" a="1"/>
  <c r="R29" i="53" s="1"/>
  <c r="Q34" i="53" a="1"/>
  <c r="R35" i="53" s="1"/>
  <c r="S34" i="53"/>
  <c r="Q36" i="53"/>
  <c r="G78" i="52"/>
  <c r="G95" i="52" s="1"/>
  <c r="G125" i="55" l="1"/>
  <c r="M20" i="58"/>
  <c r="M22" i="58"/>
  <c r="M15" i="58"/>
  <c r="M25" i="58"/>
  <c r="M24" i="58"/>
  <c r="M18" i="58"/>
  <c r="M19" i="58"/>
  <c r="M14" i="58"/>
  <c r="M16" i="58"/>
  <c r="M23" i="58"/>
  <c r="M13" i="58"/>
  <c r="M17" i="58"/>
  <c r="M21" i="58"/>
  <c r="Q77" i="58"/>
  <c r="R77" i="58" s="1"/>
  <c r="G147" i="55" s="1"/>
  <c r="I147" i="55"/>
  <c r="M26" i="58"/>
  <c r="N12" i="56" a="1"/>
  <c r="M7" i="58"/>
  <c r="N12" i="57" a="1"/>
  <c r="S13" i="57" s="1"/>
  <c r="N12" i="52" a="1"/>
  <c r="R12" i="52" s="1"/>
  <c r="G81" i="52"/>
  <c r="G82" i="52" s="1"/>
  <c r="G87" i="52" s="1"/>
  <c r="M12" i="58"/>
  <c r="M11" i="58"/>
  <c r="M9" i="58"/>
  <c r="M10" i="58"/>
  <c r="M8" i="58"/>
  <c r="J11" i="54"/>
  <c r="H9" i="54"/>
  <c r="J19" i="54"/>
  <c r="J9" i="54"/>
  <c r="K20" i="54"/>
  <c r="I19" i="54"/>
  <c r="G18" i="54"/>
  <c r="G11" i="54"/>
  <c r="I9" i="54"/>
  <c r="J20" i="54"/>
  <c r="H19" i="54"/>
  <c r="I20" i="54"/>
  <c r="G19" i="54"/>
  <c r="J10" i="54"/>
  <c r="G9" i="54"/>
  <c r="J18" i="54"/>
  <c r="G10" i="54"/>
  <c r="K19" i="54"/>
  <c r="I18" i="54"/>
  <c r="I11" i="54"/>
  <c r="H18" i="54"/>
  <c r="H11" i="54"/>
  <c r="H20" i="54"/>
  <c r="I10" i="54"/>
  <c r="G20" i="54"/>
  <c r="L20" i="53"/>
  <c r="L26" i="53"/>
  <c r="J23" i="53"/>
  <c r="J21" i="53"/>
  <c r="S36" i="53"/>
  <c r="S30" i="53"/>
  <c r="U28" i="53"/>
  <c r="U24" i="53"/>
  <c r="S22" i="53"/>
  <c r="Q18" i="53"/>
  <c r="T17" i="53"/>
  <c r="U12" i="53"/>
  <c r="S10" i="53"/>
  <c r="U6" i="53"/>
  <c r="R5" i="53"/>
  <c r="Q30" i="53"/>
  <c r="S28" i="53"/>
  <c r="S24" i="53"/>
  <c r="Q22" i="53"/>
  <c r="R17" i="53"/>
  <c r="U16" i="53"/>
  <c r="S12" i="53"/>
  <c r="Q10" i="53"/>
  <c r="S6" i="53"/>
  <c r="U4" i="53"/>
  <c r="U35" i="53"/>
  <c r="R34" i="53"/>
  <c r="U29" i="53"/>
  <c r="R28" i="53"/>
  <c r="R24" i="53"/>
  <c r="U23" i="53"/>
  <c r="S35" i="53"/>
  <c r="T36" i="53"/>
  <c r="Q35" i="53"/>
  <c r="T30" i="53"/>
  <c r="Q29" i="53"/>
  <c r="Q23" i="53"/>
  <c r="T22" i="53"/>
  <c r="R18" i="53"/>
  <c r="U17" i="53"/>
  <c r="Q11" i="53"/>
  <c r="T10" i="53"/>
  <c r="S5" i="53"/>
  <c r="U34" i="53"/>
  <c r="R36" i="53"/>
  <c r="T34" i="53"/>
  <c r="R30" i="53"/>
  <c r="T28" i="53"/>
  <c r="T24" i="53"/>
  <c r="R22" i="53"/>
  <c r="S17" i="53"/>
  <c r="T12" i="53"/>
  <c r="R10" i="53"/>
  <c r="T6" i="53"/>
  <c r="Q5" i="53"/>
  <c r="Q17" i="53"/>
  <c r="T16" i="53"/>
  <c r="R12" i="53"/>
  <c r="U11" i="53"/>
  <c r="R6" i="53"/>
  <c r="T4" i="53"/>
  <c r="J18" i="53" s="1"/>
  <c r="T35" i="53"/>
  <c r="Q34" i="53"/>
  <c r="T29" i="53"/>
  <c r="Q28" i="53"/>
  <c r="Q24" i="53"/>
  <c r="T23" i="53"/>
  <c r="U18" i="53"/>
  <c r="S16" i="53"/>
  <c r="L16" i="53" s="1"/>
  <c r="Q12" i="53"/>
  <c r="T11" i="53"/>
  <c r="Q6" i="53"/>
  <c r="S4" i="53"/>
  <c r="S23" i="53"/>
  <c r="T18" i="53"/>
  <c r="R16" i="53"/>
  <c r="L9" i="53" s="1"/>
  <c r="S11" i="53"/>
  <c r="U5" i="53"/>
  <c r="R4" i="53"/>
  <c r="J15" i="53" s="1"/>
  <c r="S29" i="53"/>
  <c r="U36" i="53"/>
  <c r="U30" i="53"/>
  <c r="R23" i="53"/>
  <c r="S18" i="53"/>
  <c r="R11" i="53"/>
  <c r="T5" i="53"/>
  <c r="G37" i="52"/>
  <c r="G54" i="52" s="1"/>
  <c r="G130" i="55" l="1"/>
  <c r="H24" i="66" s="1"/>
  <c r="N12" i="57"/>
  <c r="S12" i="57" s="1"/>
  <c r="S18" i="57"/>
  <c r="S23" i="57"/>
  <c r="S17" i="57"/>
  <c r="S16" i="57"/>
  <c r="S15" i="57"/>
  <c r="S14" i="57"/>
  <c r="S31" i="57"/>
  <c r="S29" i="57"/>
  <c r="S25" i="57"/>
  <c r="R14" i="57"/>
  <c r="V15" i="57" s="1"/>
  <c r="R31" i="57"/>
  <c r="V32" i="57" s="1"/>
  <c r="R29" i="57"/>
  <c r="V30" i="57" s="1"/>
  <c r="R22" i="57"/>
  <c r="V23" i="57" s="1"/>
  <c r="S21" i="57"/>
  <c r="S24" i="57"/>
  <c r="R21" i="57"/>
  <c r="V22" i="57" s="1"/>
  <c r="R27" i="57"/>
  <c r="V28" i="57" s="1"/>
  <c r="R25" i="57"/>
  <c r="V26" i="57" s="1"/>
  <c r="R23" i="57"/>
  <c r="V24" i="57" s="1"/>
  <c r="S28" i="57"/>
  <c r="S22" i="57"/>
  <c r="R17" i="57"/>
  <c r="V18" i="57" s="1"/>
  <c r="R15" i="57"/>
  <c r="V16" i="57" s="1"/>
  <c r="R30" i="57"/>
  <c r="V31" i="57" s="1"/>
  <c r="R24" i="57"/>
  <c r="V25" i="57" s="1"/>
  <c r="S20" i="57"/>
  <c r="S30" i="57"/>
  <c r="S27" i="57"/>
  <c r="R28" i="57"/>
  <c r="V29" i="57" s="1"/>
  <c r="R26" i="57"/>
  <c r="V27" i="57" s="1"/>
  <c r="S19" i="57"/>
  <c r="R19" i="57"/>
  <c r="V20" i="57" s="1"/>
  <c r="S26" i="57"/>
  <c r="R20" i="57"/>
  <c r="V21" i="57" s="1"/>
  <c r="R18" i="57"/>
  <c r="V19" i="57" s="1"/>
  <c r="R16" i="57"/>
  <c r="V17" i="57" s="1"/>
  <c r="R13" i="57"/>
  <c r="V14" i="57" s="1"/>
  <c r="N12" i="56"/>
  <c r="S19" i="56"/>
  <c r="S31" i="56"/>
  <c r="S16" i="56"/>
  <c r="S15" i="56"/>
  <c r="S28" i="56"/>
  <c r="S26" i="56"/>
  <c r="S21" i="56"/>
  <c r="R19" i="56"/>
  <c r="V20" i="56" s="1"/>
  <c r="R15" i="56"/>
  <c r="V16" i="56" s="1"/>
  <c r="R24" i="56"/>
  <c r="V25" i="56" s="1"/>
  <c r="S18" i="56"/>
  <c r="S20" i="56"/>
  <c r="R26" i="56"/>
  <c r="V27" i="56" s="1"/>
  <c r="R27" i="56"/>
  <c r="V28" i="56" s="1"/>
  <c r="R23" i="56"/>
  <c r="V24" i="56" s="1"/>
  <c r="R30" i="56"/>
  <c r="V31" i="56" s="1"/>
  <c r="R20" i="56"/>
  <c r="V21" i="56" s="1"/>
  <c r="S24" i="56"/>
  <c r="S17" i="56"/>
  <c r="R18" i="56"/>
  <c r="V19" i="56" s="1"/>
  <c r="R22" i="56"/>
  <c r="V23" i="56" s="1"/>
  <c r="R31" i="56"/>
  <c r="V32" i="56" s="1"/>
  <c r="R16" i="56"/>
  <c r="V17" i="56" s="1"/>
  <c r="S23" i="56"/>
  <c r="S27" i="56"/>
  <c r="S29" i="56"/>
  <c r="S30" i="56"/>
  <c r="R21" i="56"/>
  <c r="V22" i="56" s="1"/>
  <c r="R17" i="56"/>
  <c r="V18" i="56" s="1"/>
  <c r="S25" i="56"/>
  <c r="S22" i="56"/>
  <c r="R29" i="56"/>
  <c r="V30" i="56" s="1"/>
  <c r="R25" i="56"/>
  <c r="V26" i="56" s="1"/>
  <c r="R28" i="56"/>
  <c r="V29" i="56" s="1"/>
  <c r="P62" i="58"/>
  <c r="N12" i="52"/>
  <c r="S12" i="52" s="1"/>
  <c r="G40" i="52"/>
  <c r="G41" i="52" s="1"/>
  <c r="G46" i="52" s="1"/>
  <c r="S14" i="56"/>
  <c r="R14" i="56"/>
  <c r="V15" i="56" s="1"/>
  <c r="S13" i="56"/>
  <c r="R13" i="56"/>
  <c r="V14" i="56" s="1"/>
  <c r="W12" i="52" a="1"/>
  <c r="W12" i="52" s="1"/>
  <c r="V13" i="52"/>
  <c r="S17" i="52"/>
  <c r="R17" i="52"/>
  <c r="V18" i="52" s="1"/>
  <c r="S15" i="52"/>
  <c r="S16" i="52"/>
  <c r="R16" i="52"/>
  <c r="V17" i="52" s="1"/>
  <c r="R15" i="52"/>
  <c r="V16" i="52" s="1"/>
  <c r="R12" i="57"/>
  <c r="V13" i="57" s="1"/>
  <c r="S13" i="52"/>
  <c r="W12" i="57" a="1"/>
  <c r="W12" i="57" s="1"/>
  <c r="S14" i="52"/>
  <c r="R14" i="52"/>
  <c r="V15" i="52" s="1"/>
  <c r="R13" i="52"/>
  <c r="V14" i="52" s="1"/>
  <c r="W12" i="56" a="1"/>
  <c r="W12" i="56" s="1"/>
  <c r="R12" i="56"/>
  <c r="V13" i="56" s="1"/>
  <c r="D17" i="54"/>
  <c r="D19" i="54"/>
  <c r="D21" i="54"/>
  <c r="D18" i="54"/>
  <c r="D22" i="54"/>
  <c r="D20" i="54"/>
  <c r="D12" i="54"/>
  <c r="D10" i="54"/>
  <c r="D11" i="54"/>
  <c r="J26" i="53"/>
  <c r="L22" i="53"/>
  <c r="J13" i="53"/>
  <c r="J16" i="53"/>
  <c r="L17" i="53"/>
  <c r="M10" i="53"/>
  <c r="M14" i="53"/>
  <c r="M17" i="53"/>
  <c r="M22" i="53"/>
  <c r="M26" i="53"/>
  <c r="M9" i="53"/>
  <c r="M13" i="53"/>
  <c r="M21" i="53"/>
  <c r="M25" i="53"/>
  <c r="M18" i="53"/>
  <c r="M27" i="53"/>
  <c r="M12" i="53"/>
  <c r="M24" i="53"/>
  <c r="M16" i="53"/>
  <c r="M23" i="53"/>
  <c r="M15" i="53"/>
  <c r="M19" i="53"/>
  <c r="J17" i="53"/>
  <c r="L14" i="53"/>
  <c r="L18" i="53"/>
  <c r="L10" i="53"/>
  <c r="J14" i="53"/>
  <c r="N24" i="53"/>
  <c r="N10" i="53"/>
  <c r="N14" i="53"/>
  <c r="N17" i="53"/>
  <c r="N22" i="53"/>
  <c r="N26" i="53"/>
  <c r="N9" i="53"/>
  <c r="N13" i="53"/>
  <c r="N11" i="53"/>
  <c r="N16" i="53"/>
  <c r="N20" i="53"/>
  <c r="N23" i="53"/>
  <c r="N15" i="53"/>
  <c r="N19" i="53"/>
  <c r="N27" i="53"/>
  <c r="N25" i="53"/>
  <c r="N18" i="53"/>
  <c r="J12" i="53"/>
  <c r="L24" i="53"/>
  <c r="L27" i="53"/>
  <c r="L21" i="53"/>
  <c r="L25" i="53"/>
  <c r="J27" i="53"/>
  <c r="J19" i="53"/>
  <c r="L12" i="53"/>
  <c r="L19" i="53"/>
  <c r="L13" i="53"/>
  <c r="J20" i="53"/>
  <c r="J24" i="53"/>
  <c r="O19" i="53"/>
  <c r="O27" i="53"/>
  <c r="O12" i="53"/>
  <c r="O24" i="53"/>
  <c r="O10" i="53"/>
  <c r="O14" i="53"/>
  <c r="O17" i="53"/>
  <c r="O22" i="53"/>
  <c r="O26" i="53"/>
  <c r="O18" i="53"/>
  <c r="O9" i="53"/>
  <c r="O13" i="53"/>
  <c r="O21" i="53"/>
  <c r="O25" i="53"/>
  <c r="O11" i="53"/>
  <c r="O20" i="53"/>
  <c r="O23" i="53"/>
  <c r="K13" i="53"/>
  <c r="K21" i="53"/>
  <c r="K25" i="53"/>
  <c r="K18" i="53"/>
  <c r="K11" i="53"/>
  <c r="K16" i="53"/>
  <c r="K20" i="53"/>
  <c r="K23" i="53"/>
  <c r="K12" i="53"/>
  <c r="K24" i="53"/>
  <c r="K15" i="53"/>
  <c r="K19" i="53"/>
  <c r="K27" i="53"/>
  <c r="K10" i="53"/>
  <c r="K14" i="53"/>
  <c r="K22" i="53"/>
  <c r="K26" i="53"/>
  <c r="J25" i="53"/>
  <c r="L23" i="53"/>
  <c r="L15" i="53"/>
  <c r="G86" i="52"/>
  <c r="G90" i="52"/>
  <c r="G85" i="52"/>
  <c r="G89" i="52"/>
  <c r="G84" i="52"/>
  <c r="G88" i="52"/>
  <c r="G91" i="52" s="1"/>
  <c r="G83" i="52"/>
  <c r="I24" i="66" l="1"/>
  <c r="I30" i="66" s="1"/>
  <c r="H30" i="66"/>
  <c r="Q62" i="58"/>
  <c r="R62" i="58" s="1"/>
  <c r="G97" i="52"/>
  <c r="G98" i="52" s="1"/>
  <c r="G45" i="52"/>
  <c r="G47" i="52"/>
  <c r="G50" i="52" s="1"/>
  <c r="G92" i="52"/>
  <c r="G99" i="52" s="1"/>
  <c r="G100" i="52" s="1"/>
  <c r="R32" i="58"/>
  <c r="Y48" i="58" a="1"/>
  <c r="Y48" i="58" s="1"/>
  <c r="Y8" i="58" a="1"/>
  <c r="Y8" i="58" s="1"/>
  <c r="S12" i="56"/>
  <c r="Y28" i="58" s="1" a="1"/>
  <c r="Y28" i="58" s="1"/>
  <c r="G43" i="52"/>
  <c r="G48" i="52"/>
  <c r="G49" i="52"/>
  <c r="G42" i="52"/>
  <c r="G44" i="52"/>
  <c r="D58" i="66" l="1"/>
  <c r="G58" i="66" s="1"/>
  <c r="N26" i="58"/>
  <c r="O26" i="58" s="1"/>
  <c r="N9" i="58"/>
  <c r="N10" i="58"/>
  <c r="N11" i="58"/>
  <c r="N12" i="58"/>
  <c r="O12" i="58" s="1"/>
  <c r="N17" i="58"/>
  <c r="O17" i="58" s="1"/>
  <c r="N25" i="58"/>
  <c r="O25" i="58" s="1"/>
  <c r="N18" i="58"/>
  <c r="O18" i="58" s="1"/>
  <c r="N16" i="58"/>
  <c r="O16" i="58" s="1"/>
  <c r="N19" i="58"/>
  <c r="O19" i="58" s="1"/>
  <c r="N20" i="58"/>
  <c r="O20" i="58" s="1"/>
  <c r="N24" i="58"/>
  <c r="O24" i="58" s="1"/>
  <c r="N13" i="58"/>
  <c r="O13" i="58" s="1"/>
  <c r="N21" i="58"/>
  <c r="O21" i="58" s="1"/>
  <c r="N23" i="58"/>
  <c r="O23" i="58" s="1"/>
  <c r="N14" i="58"/>
  <c r="O14" i="58" s="1"/>
  <c r="P14" i="58" s="1"/>
  <c r="N22" i="58"/>
  <c r="O22" i="58" s="1"/>
  <c r="N15" i="58"/>
  <c r="O15" i="58" s="1"/>
  <c r="N7" i="58"/>
  <c r="O7" i="58" s="1"/>
  <c r="P7" i="58" s="1"/>
  <c r="N8" i="58"/>
  <c r="O8" i="58" s="1"/>
  <c r="O71" i="58"/>
  <c r="P71" i="58" s="1"/>
  <c r="Q71" i="58" s="1"/>
  <c r="R71" i="58" s="1"/>
  <c r="O65" i="58"/>
  <c r="P65" i="58" s="1"/>
  <c r="Q65" i="58" s="1"/>
  <c r="R65" i="58" s="1"/>
  <c r="O66" i="58"/>
  <c r="P66" i="58" s="1"/>
  <c r="Q66" i="58" s="1"/>
  <c r="R66" i="58" s="1"/>
  <c r="O63" i="58"/>
  <c r="P63" i="58" s="1"/>
  <c r="O64" i="58"/>
  <c r="P64" i="58" s="1"/>
  <c r="Q64" i="58" s="1"/>
  <c r="R64" i="58" s="1"/>
  <c r="O69" i="58"/>
  <c r="P69" i="58" s="1"/>
  <c r="Q69" i="58" s="1"/>
  <c r="R69" i="58" s="1"/>
  <c r="O68" i="58"/>
  <c r="P68" i="58" s="1"/>
  <c r="Q68" i="58" s="1"/>
  <c r="R68" i="58" s="1"/>
  <c r="O67" i="58"/>
  <c r="P67" i="58" s="1"/>
  <c r="Q67" i="58" s="1"/>
  <c r="R67" i="58" s="1"/>
  <c r="O70" i="58"/>
  <c r="P70" i="58" s="1"/>
  <c r="Q70" i="58" s="1"/>
  <c r="R70" i="58" s="1"/>
  <c r="G56" i="52"/>
  <c r="G57" i="52" s="1"/>
  <c r="G101" i="52"/>
  <c r="G102" i="52" s="1"/>
  <c r="G103" i="52" s="1"/>
  <c r="G51" i="52"/>
  <c r="G58" i="52" s="1"/>
  <c r="G59" i="52" s="1"/>
  <c r="P33" i="58"/>
  <c r="P35" i="58"/>
  <c r="Q35" i="58" s="1"/>
  <c r="R35" i="58" s="1"/>
  <c r="P34" i="58"/>
  <c r="Q34" i="58" s="1"/>
  <c r="R34" i="58" s="1"/>
  <c r="P36" i="58"/>
  <c r="Q36" i="58" s="1"/>
  <c r="R36" i="58" s="1"/>
  <c r="P37" i="58"/>
  <c r="Q37" i="58" s="1"/>
  <c r="R37" i="58" s="1"/>
  <c r="P40" i="58"/>
  <c r="Q40" i="58" s="1"/>
  <c r="R40" i="58" s="1"/>
  <c r="P39" i="58"/>
  <c r="Q39" i="58" s="1"/>
  <c r="R39" i="58" s="1"/>
  <c r="P41" i="58"/>
  <c r="Q41" i="58" s="1"/>
  <c r="R41" i="58" s="1"/>
  <c r="O55" i="58"/>
  <c r="O50" i="58"/>
  <c r="O52" i="58"/>
  <c r="O51" i="58"/>
  <c r="P47" i="58"/>
  <c r="O48" i="58"/>
  <c r="O54" i="58"/>
  <c r="O49" i="58"/>
  <c r="O56" i="58"/>
  <c r="D59" i="66" l="1"/>
  <c r="D61" i="66" s="1"/>
  <c r="G61" i="66" s="1"/>
  <c r="G63" i="66" s="1"/>
  <c r="I144" i="55"/>
  <c r="Q33" i="58"/>
  <c r="R33" i="58" s="1"/>
  <c r="Q63" i="58"/>
  <c r="R63" i="58" s="1"/>
  <c r="G144" i="55" s="1"/>
  <c r="Q7" i="58"/>
  <c r="P16" i="58"/>
  <c r="Q16" i="58" s="1"/>
  <c r="R16" i="58" s="1"/>
  <c r="P21" i="58"/>
  <c r="Q21" i="58" s="1"/>
  <c r="R21" i="58" s="1"/>
  <c r="P13" i="58"/>
  <c r="Q13" i="58" s="1"/>
  <c r="R13" i="58" s="1"/>
  <c r="P22" i="58"/>
  <c r="Q22" i="58" s="1"/>
  <c r="R22" i="58" s="1"/>
  <c r="P25" i="58"/>
  <c r="Q25" i="58" s="1"/>
  <c r="R25" i="58" s="1"/>
  <c r="P15" i="58"/>
  <c r="Q15" i="58" s="1"/>
  <c r="R15" i="58" s="1"/>
  <c r="P18" i="58"/>
  <c r="Q18" i="58" s="1"/>
  <c r="R18" i="58" s="1"/>
  <c r="Q14" i="58"/>
  <c r="R14" i="58" s="1"/>
  <c r="P17" i="58"/>
  <c r="Q17" i="58" s="1"/>
  <c r="R17" i="58" s="1"/>
  <c r="P20" i="58"/>
  <c r="Q20" i="58" s="1"/>
  <c r="R20" i="58" s="1"/>
  <c r="P26" i="58"/>
  <c r="Q26" i="58" s="1"/>
  <c r="R26" i="58" s="1"/>
  <c r="P23" i="58"/>
  <c r="Q23" i="58" s="1"/>
  <c r="R23" i="58" s="1"/>
  <c r="P19" i="58"/>
  <c r="Q19" i="58" s="1"/>
  <c r="R19" i="58" s="1"/>
  <c r="P24" i="58"/>
  <c r="Q24" i="58" s="1"/>
  <c r="R24" i="58" s="1"/>
  <c r="G60" i="52"/>
  <c r="G61" i="52" s="1"/>
  <c r="G62" i="52" s="1"/>
  <c r="P38" i="58"/>
  <c r="Q38" i="58" s="1"/>
  <c r="R38" i="58" s="1"/>
  <c r="P12" i="58"/>
  <c r="Q12" i="58" s="1"/>
  <c r="R12" i="58" s="1"/>
  <c r="O9" i="58"/>
  <c r="P9" i="58" s="1"/>
  <c r="Q9" i="58" s="1"/>
  <c r="R9" i="58" s="1"/>
  <c r="O11" i="58"/>
  <c r="P11" i="58" s="1"/>
  <c r="Q11" i="58" s="1"/>
  <c r="R11" i="58" s="1"/>
  <c r="O10" i="58"/>
  <c r="P10" i="58" s="1"/>
  <c r="Q10" i="58" s="1"/>
  <c r="R10" i="58" s="1"/>
  <c r="P8" i="58"/>
  <c r="Q8" i="58" s="1"/>
  <c r="R8" i="58" s="1"/>
  <c r="Q47" i="58"/>
  <c r="R47" i="58" s="1"/>
  <c r="P54" i="58"/>
  <c r="Q54" i="58" s="1"/>
  <c r="R54" i="58" s="1"/>
  <c r="P48" i="58"/>
  <c r="Q48" i="58" s="1"/>
  <c r="R48" i="58" s="1"/>
  <c r="P49" i="58"/>
  <c r="Q49" i="58" s="1"/>
  <c r="R49" i="58" s="1"/>
  <c r="P52" i="58"/>
  <c r="Q52" i="58" s="1"/>
  <c r="R52" i="58" s="1"/>
  <c r="P53" i="58"/>
  <c r="Q53" i="58" s="1"/>
  <c r="R53" i="58" s="1"/>
  <c r="P50" i="58"/>
  <c r="Q50" i="58" s="1"/>
  <c r="R50" i="58" s="1"/>
  <c r="P51" i="58"/>
  <c r="Q51" i="58" s="1"/>
  <c r="R51" i="58" s="1"/>
  <c r="P56" i="58"/>
  <c r="Q56" i="58" s="1"/>
  <c r="R56" i="58" s="1"/>
  <c r="P55" i="58"/>
  <c r="Q55" i="58" s="1"/>
  <c r="R55" i="58" s="1"/>
  <c r="G64" i="66" l="1"/>
  <c r="E37" i="60" s="1"/>
  <c r="I143" i="55"/>
  <c r="I145" i="55"/>
  <c r="I146" i="55"/>
  <c r="G146" i="55"/>
  <c r="G145" i="55"/>
  <c r="D80" i="47"/>
  <c r="H120" i="28"/>
  <c r="H121" i="28"/>
  <c r="H122" i="28"/>
  <c r="H123" i="28"/>
  <c r="H124" i="28"/>
  <c r="H125" i="28"/>
  <c r="H126" i="28"/>
  <c r="H127" i="28"/>
  <c r="H128" i="28"/>
  <c r="H129" i="28"/>
  <c r="H130" i="28"/>
  <c r="H131" i="28"/>
  <c r="H132" i="28"/>
  <c r="H133" i="28"/>
  <c r="H134" i="28"/>
  <c r="H135" i="28"/>
  <c r="H136" i="28"/>
  <c r="H137" i="28"/>
  <c r="H138" i="28"/>
  <c r="H139" i="28"/>
  <c r="H140" i="28"/>
  <c r="H141" i="28"/>
  <c r="H119" i="28"/>
  <c r="AE11" i="49"/>
  <c r="AE10" i="49"/>
  <c r="AE11" i="48"/>
  <c r="AE10" i="48"/>
  <c r="AE23" i="47"/>
  <c r="AE11" i="45"/>
  <c r="AE10" i="45"/>
  <c r="I148" i="55" l="1"/>
  <c r="R7" i="58"/>
  <c r="G143" i="55" s="1"/>
  <c r="G148" i="55" s="1"/>
  <c r="N17" i="45"/>
  <c r="L17" i="45" s="1"/>
  <c r="L27" i="45" s="1"/>
  <c r="L66" i="60" l="1"/>
  <c r="D52" i="28"/>
  <c r="E35" i="28"/>
  <c r="C24" i="38" l="1"/>
  <c r="C13" i="26"/>
  <c r="F27" i="60"/>
  <c r="F102" i="60" s="1"/>
  <c r="H102" i="60" s="1" a="1"/>
  <c r="H102" i="60" s="1"/>
  <c r="L68" i="60"/>
  <c r="O66" i="60" s="1"/>
  <c r="M66" i="60"/>
  <c r="D24" i="28"/>
  <c r="D36" i="28" s="1"/>
  <c r="I102" i="60" l="1"/>
  <c r="I27" i="60"/>
  <c r="G27" i="60" a="1"/>
  <c r="G27" i="60" s="1"/>
  <c r="D33" i="28"/>
  <c r="C32" i="26"/>
  <c r="D26" i="28"/>
  <c r="D34" i="28"/>
  <c r="D30" i="28"/>
  <c r="D32" i="28"/>
  <c r="D31" i="28"/>
  <c r="D35" i="28"/>
  <c r="C23" i="38" l="1"/>
  <c r="C25" i="38" s="1"/>
  <c r="C12" i="26"/>
  <c r="C14" i="26" s="1"/>
  <c r="C34" i="38"/>
  <c r="D7" i="38"/>
  <c r="D8" i="38" s="1"/>
  <c r="D124" i="28"/>
  <c r="D174" i="28" s="1"/>
  <c r="T7" i="57" s="1"/>
  <c r="E11" i="57" s="1"/>
  <c r="D123" i="28"/>
  <c r="D175" i="28" s="1"/>
  <c r="D120" i="28"/>
  <c r="B8" i="3"/>
  <c r="D15" i="26" l="1"/>
  <c r="D21" i="38" s="1"/>
  <c r="D26" i="38" s="1"/>
  <c r="D47" i="38" s="1"/>
  <c r="D126" i="28"/>
  <c r="D130" i="28" s="1"/>
  <c r="D133" i="28" s="1"/>
  <c r="D127" i="28"/>
  <c r="D131" i="28" s="1"/>
  <c r="G37" i="57"/>
  <c r="G54" i="57" s="1"/>
  <c r="G78" i="57"/>
  <c r="G95" i="57" s="1"/>
  <c r="T7" i="56"/>
  <c r="E11" i="56" s="1"/>
  <c r="R7" i="49"/>
  <c r="R20" i="49" s="1"/>
  <c r="S20" i="49" s="1"/>
  <c r="O7" i="49"/>
  <c r="O26" i="49" s="1"/>
  <c r="P26" i="49" s="1"/>
  <c r="R7" i="48"/>
  <c r="R18" i="48" s="1"/>
  <c r="S18" i="48" s="1"/>
  <c r="O7" i="48"/>
  <c r="O13" i="48" s="1"/>
  <c r="P13" i="48" s="1"/>
  <c r="H192" i="49"/>
  <c r="H191" i="49"/>
  <c r="H190" i="49"/>
  <c r="H189" i="49"/>
  <c r="H188" i="49"/>
  <c r="H187" i="49"/>
  <c r="H186" i="49"/>
  <c r="H185" i="49"/>
  <c r="H184" i="49"/>
  <c r="H183" i="49"/>
  <c r="H182" i="49"/>
  <c r="H181" i="49"/>
  <c r="H180" i="49"/>
  <c r="H179" i="49"/>
  <c r="H178" i="49"/>
  <c r="H177" i="49"/>
  <c r="H176" i="49"/>
  <c r="H175" i="49"/>
  <c r="H174" i="49"/>
  <c r="H173" i="49"/>
  <c r="H172" i="49"/>
  <c r="H171" i="49"/>
  <c r="H170" i="49"/>
  <c r="H169" i="49"/>
  <c r="H168" i="49"/>
  <c r="H167" i="49"/>
  <c r="H166" i="49"/>
  <c r="H165" i="49"/>
  <c r="H164" i="49"/>
  <c r="H163" i="49"/>
  <c r="H162" i="49"/>
  <c r="H161" i="49"/>
  <c r="H160" i="49"/>
  <c r="H159" i="49"/>
  <c r="H158" i="49"/>
  <c r="H157" i="49"/>
  <c r="H156" i="49"/>
  <c r="H155" i="49"/>
  <c r="H154" i="49"/>
  <c r="H153" i="49"/>
  <c r="H152" i="49"/>
  <c r="H151" i="49"/>
  <c r="H150" i="49"/>
  <c r="H149" i="49"/>
  <c r="H148" i="49"/>
  <c r="H147" i="49"/>
  <c r="H146" i="49"/>
  <c r="H145" i="49"/>
  <c r="H144" i="49"/>
  <c r="H143" i="49"/>
  <c r="H142" i="49"/>
  <c r="H141" i="49"/>
  <c r="H140" i="49"/>
  <c r="H139" i="49"/>
  <c r="H138" i="49"/>
  <c r="H137" i="49"/>
  <c r="H136" i="49"/>
  <c r="H135" i="49"/>
  <c r="H134" i="49"/>
  <c r="H133" i="49"/>
  <c r="H132" i="49"/>
  <c r="H131" i="49"/>
  <c r="H130" i="49"/>
  <c r="H129" i="49"/>
  <c r="H128" i="49"/>
  <c r="H127" i="49"/>
  <c r="H126" i="49"/>
  <c r="H125" i="49"/>
  <c r="H124" i="49"/>
  <c r="H123" i="49"/>
  <c r="H122" i="49"/>
  <c r="C122" i="49"/>
  <c r="F215" i="49" s="1"/>
  <c r="F214" i="49" s="1"/>
  <c r="H121" i="49"/>
  <c r="H120" i="49"/>
  <c r="H119" i="49"/>
  <c r="H118" i="49"/>
  <c r="H117" i="49"/>
  <c r="H116" i="49"/>
  <c r="H115" i="49"/>
  <c r="H114" i="49"/>
  <c r="H113" i="49"/>
  <c r="H112" i="49"/>
  <c r="H111" i="49"/>
  <c r="H110" i="49"/>
  <c r="H109" i="49"/>
  <c r="H108" i="49"/>
  <c r="H107" i="49"/>
  <c r="H106" i="49"/>
  <c r="H105" i="49"/>
  <c r="D92" i="49"/>
  <c r="C110" i="49" s="1"/>
  <c r="L87" i="49"/>
  <c r="F74" i="49"/>
  <c r="E74" i="49"/>
  <c r="G74" i="49" s="1"/>
  <c r="D74" i="49"/>
  <c r="H67" i="49"/>
  <c r="F67" i="49"/>
  <c r="G66" i="49"/>
  <c r="H66" i="49" s="1"/>
  <c r="I65" i="49"/>
  <c r="H65" i="49"/>
  <c r="E65" i="49"/>
  <c r="D65" i="49"/>
  <c r="E64" i="49"/>
  <c r="D64" i="49"/>
  <c r="I64" i="49" s="1"/>
  <c r="I63" i="49"/>
  <c r="E63" i="49"/>
  <c r="D63" i="49"/>
  <c r="H63" i="49" s="1"/>
  <c r="E62" i="49"/>
  <c r="I62" i="49" s="1"/>
  <c r="D62" i="49"/>
  <c r="E61" i="49"/>
  <c r="D61" i="49"/>
  <c r="I61" i="49" s="1"/>
  <c r="I60" i="49"/>
  <c r="H60" i="49"/>
  <c r="E60" i="49"/>
  <c r="D60" i="49"/>
  <c r="E59" i="49"/>
  <c r="D59" i="49"/>
  <c r="D51" i="49" s="1"/>
  <c r="E58" i="49"/>
  <c r="D58" i="49"/>
  <c r="I58" i="49" s="1"/>
  <c r="E57" i="49"/>
  <c r="E51" i="49" s="1"/>
  <c r="H56" i="49"/>
  <c r="E56" i="49"/>
  <c r="I56" i="49" s="1"/>
  <c r="H55" i="49"/>
  <c r="D55" i="49"/>
  <c r="D54" i="49"/>
  <c r="I54" i="49" s="1"/>
  <c r="I53" i="49"/>
  <c r="H53" i="49"/>
  <c r="G51" i="49"/>
  <c r="F51" i="49"/>
  <c r="L80" i="49" s="1"/>
  <c r="C51" i="49"/>
  <c r="F42" i="49"/>
  <c r="E29" i="49"/>
  <c r="B29" i="49"/>
  <c r="C106" i="49" s="1"/>
  <c r="U26" i="49"/>
  <c r="N26" i="49"/>
  <c r="M26" i="49" s="1"/>
  <c r="L26" i="49"/>
  <c r="J26" i="49"/>
  <c r="U25" i="49"/>
  <c r="N25" i="49"/>
  <c r="L25" i="49" s="1"/>
  <c r="M25" i="49"/>
  <c r="J25" i="49"/>
  <c r="U24" i="49"/>
  <c r="V24" i="49" s="1"/>
  <c r="N24" i="49"/>
  <c r="K24" i="49"/>
  <c r="U23" i="49"/>
  <c r="V23" i="49" s="1"/>
  <c r="N23" i="49"/>
  <c r="L23" i="49" s="1"/>
  <c r="M23" i="49"/>
  <c r="K23" i="49"/>
  <c r="J23" i="49"/>
  <c r="C23" i="49"/>
  <c r="N22" i="49"/>
  <c r="M22" i="49"/>
  <c r="L22" i="49"/>
  <c r="K22" i="49"/>
  <c r="J22" i="49"/>
  <c r="I22" i="49"/>
  <c r="H22" i="49"/>
  <c r="G22" i="49"/>
  <c r="F22" i="49"/>
  <c r="U21" i="49"/>
  <c r="V21" i="49" s="1"/>
  <c r="N21" i="49"/>
  <c r="M21" i="49"/>
  <c r="L21" i="49"/>
  <c r="K21" i="49"/>
  <c r="J21" i="49"/>
  <c r="C21" i="49"/>
  <c r="U20" i="49"/>
  <c r="V20" i="49" s="1"/>
  <c r="N20" i="49"/>
  <c r="M20" i="49"/>
  <c r="L20" i="49"/>
  <c r="K20" i="49"/>
  <c r="J20" i="49"/>
  <c r="U19" i="49"/>
  <c r="V19" i="49" s="1"/>
  <c r="N19" i="49"/>
  <c r="J19" i="49" s="1"/>
  <c r="M19" i="49"/>
  <c r="L19" i="49"/>
  <c r="K19" i="49"/>
  <c r="U18" i="49"/>
  <c r="V18" i="49" s="1"/>
  <c r="N18" i="49"/>
  <c r="M18" i="49"/>
  <c r="L18" i="49"/>
  <c r="K18" i="49"/>
  <c r="J18" i="49"/>
  <c r="U17" i="49"/>
  <c r="V17" i="49" s="1"/>
  <c r="N17" i="49"/>
  <c r="J17" i="49" s="1"/>
  <c r="M17" i="49"/>
  <c r="L17" i="49"/>
  <c r="K17" i="49"/>
  <c r="U16" i="49"/>
  <c r="M16" i="49"/>
  <c r="L16" i="49"/>
  <c r="C16" i="49"/>
  <c r="K16" i="49" s="1"/>
  <c r="U15" i="49"/>
  <c r="N15" i="49"/>
  <c r="M15" i="49" s="1"/>
  <c r="U14" i="49"/>
  <c r="V14" i="49" s="1"/>
  <c r="N14" i="49"/>
  <c r="L14" i="49"/>
  <c r="J14" i="49"/>
  <c r="U13" i="49"/>
  <c r="N13" i="49"/>
  <c r="J13" i="49" s="1"/>
  <c r="M13" i="49"/>
  <c r="L13" i="49"/>
  <c r="K13" i="49"/>
  <c r="U12" i="49"/>
  <c r="V12" i="49" s="1"/>
  <c r="N12" i="49"/>
  <c r="M12" i="49"/>
  <c r="L12" i="49"/>
  <c r="K12" i="49"/>
  <c r="J12" i="49"/>
  <c r="U11" i="49"/>
  <c r="N11" i="49"/>
  <c r="K11" i="49"/>
  <c r="H192" i="48"/>
  <c r="H191" i="48"/>
  <c r="H190" i="48"/>
  <c r="H189" i="48"/>
  <c r="H188" i="48"/>
  <c r="H187" i="48"/>
  <c r="H186" i="48"/>
  <c r="H185" i="48"/>
  <c r="H184" i="48"/>
  <c r="H183" i="48"/>
  <c r="H182" i="48"/>
  <c r="H181" i="48"/>
  <c r="H180" i="48"/>
  <c r="H179" i="48"/>
  <c r="H178" i="48"/>
  <c r="H177" i="48"/>
  <c r="H176" i="48"/>
  <c r="H175" i="48"/>
  <c r="H174" i="48"/>
  <c r="H173" i="48"/>
  <c r="H172" i="48"/>
  <c r="H171" i="48"/>
  <c r="H170" i="48"/>
  <c r="H169" i="48"/>
  <c r="H168" i="48"/>
  <c r="H167" i="48"/>
  <c r="H166" i="48"/>
  <c r="H165" i="48"/>
  <c r="H164" i="48"/>
  <c r="H163" i="48"/>
  <c r="H162" i="48"/>
  <c r="H161" i="48"/>
  <c r="H160" i="48"/>
  <c r="H159" i="48"/>
  <c r="H158" i="48"/>
  <c r="H157" i="48"/>
  <c r="H156" i="48"/>
  <c r="H155" i="48"/>
  <c r="H154" i="48"/>
  <c r="H153" i="48"/>
  <c r="H152" i="48"/>
  <c r="H151" i="48"/>
  <c r="H150" i="48"/>
  <c r="H149" i="48"/>
  <c r="H148" i="48"/>
  <c r="H147" i="48"/>
  <c r="H146" i="48"/>
  <c r="H145" i="48"/>
  <c r="H144" i="48"/>
  <c r="H143" i="48"/>
  <c r="H142" i="48"/>
  <c r="H141" i="48"/>
  <c r="H140" i="48"/>
  <c r="H139" i="48"/>
  <c r="H138" i="48"/>
  <c r="H137" i="48"/>
  <c r="H136" i="48"/>
  <c r="H135" i="48"/>
  <c r="H134" i="48"/>
  <c r="H133" i="48"/>
  <c r="H132" i="48"/>
  <c r="H131" i="48"/>
  <c r="H130" i="48"/>
  <c r="H129" i="48"/>
  <c r="H128" i="48"/>
  <c r="H127" i="48"/>
  <c r="H126" i="48"/>
  <c r="H125" i="48"/>
  <c r="H124" i="48"/>
  <c r="H123" i="48"/>
  <c r="H122" i="48"/>
  <c r="C122" i="48"/>
  <c r="F215" i="48" s="1"/>
  <c r="F214" i="48" s="1"/>
  <c r="H121" i="48"/>
  <c r="H120" i="48"/>
  <c r="H119" i="48"/>
  <c r="H118" i="48"/>
  <c r="H117" i="48"/>
  <c r="H116" i="48"/>
  <c r="H115" i="48"/>
  <c r="H114" i="48"/>
  <c r="H113" i="48"/>
  <c r="H112" i="48"/>
  <c r="H111" i="48"/>
  <c r="H110" i="48"/>
  <c r="H109" i="48"/>
  <c r="H108" i="48"/>
  <c r="H107" i="48"/>
  <c r="H106" i="48"/>
  <c r="H105" i="48"/>
  <c r="D92" i="48"/>
  <c r="C110" i="48" s="1"/>
  <c r="L87" i="48"/>
  <c r="F74" i="48"/>
  <c r="E74" i="48"/>
  <c r="G74" i="48" s="1"/>
  <c r="D74" i="48"/>
  <c r="H67" i="48"/>
  <c r="F67" i="48"/>
  <c r="H66" i="48"/>
  <c r="G66" i="48"/>
  <c r="I65" i="48"/>
  <c r="H65" i="48"/>
  <c r="E65" i="48"/>
  <c r="D65" i="48"/>
  <c r="E64" i="48"/>
  <c r="I64" i="48" s="1"/>
  <c r="D64" i="48"/>
  <c r="H64" i="48" s="1"/>
  <c r="E63" i="48"/>
  <c r="D63" i="48"/>
  <c r="I63" i="48" s="1"/>
  <c r="E62" i="48"/>
  <c r="I62" i="48" s="1"/>
  <c r="D62" i="48"/>
  <c r="E61" i="48"/>
  <c r="D61" i="48"/>
  <c r="I61" i="48" s="1"/>
  <c r="I60" i="48"/>
  <c r="H60" i="48"/>
  <c r="E60" i="48"/>
  <c r="D60" i="48"/>
  <c r="E59" i="48"/>
  <c r="D59" i="48"/>
  <c r="H59" i="48" s="1"/>
  <c r="E58" i="48"/>
  <c r="D58" i="48"/>
  <c r="I58" i="48" s="1"/>
  <c r="E57" i="48"/>
  <c r="H57" i="48" s="1"/>
  <c r="E56" i="48"/>
  <c r="I56" i="48" s="1"/>
  <c r="H55" i="48"/>
  <c r="D55" i="48"/>
  <c r="I54" i="48"/>
  <c r="D54" i="48"/>
  <c r="H54" i="48" s="1"/>
  <c r="I53" i="48"/>
  <c r="H53" i="48"/>
  <c r="G51" i="48"/>
  <c r="F51" i="48"/>
  <c r="L80" i="48" s="1"/>
  <c r="C51" i="48"/>
  <c r="F42" i="48"/>
  <c r="E29" i="48"/>
  <c r="B29" i="48"/>
  <c r="C106" i="48" s="1"/>
  <c r="U26" i="48"/>
  <c r="N26" i="48"/>
  <c r="M26" i="48"/>
  <c r="L26" i="48"/>
  <c r="K26" i="48"/>
  <c r="J26" i="48"/>
  <c r="U25" i="48"/>
  <c r="N25" i="48"/>
  <c r="L25" i="48" s="1"/>
  <c r="M25" i="48"/>
  <c r="J25" i="48"/>
  <c r="U24" i="48"/>
  <c r="V24" i="48" s="1"/>
  <c r="N24" i="48"/>
  <c r="K24" i="48"/>
  <c r="U23" i="48"/>
  <c r="V23" i="48" s="1"/>
  <c r="N23" i="48"/>
  <c r="L23" i="48" s="1"/>
  <c r="M23" i="48"/>
  <c r="J23" i="48"/>
  <c r="C23" i="48"/>
  <c r="N22" i="48"/>
  <c r="M22" i="48" s="1"/>
  <c r="L22" i="48"/>
  <c r="K22" i="48"/>
  <c r="J22" i="48"/>
  <c r="I22" i="48"/>
  <c r="H22" i="48"/>
  <c r="G22" i="48"/>
  <c r="F22" i="48"/>
  <c r="U21" i="48"/>
  <c r="V21" i="48" s="1"/>
  <c r="N21" i="48"/>
  <c r="M21" i="48" s="1"/>
  <c r="L21" i="48"/>
  <c r="K21" i="48"/>
  <c r="J21" i="48"/>
  <c r="C21" i="48"/>
  <c r="U20" i="48"/>
  <c r="V20" i="48" s="1"/>
  <c r="N20" i="48"/>
  <c r="M20" i="48"/>
  <c r="L20" i="48"/>
  <c r="K20" i="48"/>
  <c r="J20" i="48"/>
  <c r="U19" i="48"/>
  <c r="V19" i="48" s="1"/>
  <c r="N19" i="48"/>
  <c r="M19" i="48"/>
  <c r="L19" i="48"/>
  <c r="K19" i="48"/>
  <c r="J19" i="48"/>
  <c r="U18" i="48"/>
  <c r="V18" i="48" s="1"/>
  <c r="N18" i="48"/>
  <c r="M18" i="48"/>
  <c r="L18" i="48"/>
  <c r="K18" i="48"/>
  <c r="J18" i="48"/>
  <c r="U17" i="48"/>
  <c r="V17" i="48" s="1"/>
  <c r="N17" i="48"/>
  <c r="J17" i="48" s="1"/>
  <c r="M17" i="48"/>
  <c r="L17" i="48"/>
  <c r="K17" i="48"/>
  <c r="U16" i="48"/>
  <c r="M16" i="48"/>
  <c r="L16" i="48"/>
  <c r="C16" i="48"/>
  <c r="K16" i="48" s="1"/>
  <c r="U15" i="48"/>
  <c r="N15" i="48"/>
  <c r="M15" i="48" s="1"/>
  <c r="U14" i="48"/>
  <c r="V14" i="48" s="1"/>
  <c r="N14" i="48"/>
  <c r="L14" i="48"/>
  <c r="K14" i="48"/>
  <c r="J14" i="48"/>
  <c r="U13" i="48"/>
  <c r="N13" i="48"/>
  <c r="J13" i="48" s="1"/>
  <c r="M13" i="48"/>
  <c r="L13" i="48"/>
  <c r="K13" i="48"/>
  <c r="U12" i="48"/>
  <c r="V12" i="48" s="1"/>
  <c r="N12" i="48"/>
  <c r="M12" i="48"/>
  <c r="L12" i="48"/>
  <c r="K12" i="48"/>
  <c r="J12" i="48"/>
  <c r="U11" i="48"/>
  <c r="N11" i="48"/>
  <c r="M11" i="48"/>
  <c r="K11" i="48"/>
  <c r="J11" i="48"/>
  <c r="R7" i="47"/>
  <c r="R24" i="47" s="1"/>
  <c r="S24" i="47" s="1"/>
  <c r="O7" i="47"/>
  <c r="O25" i="47" s="1"/>
  <c r="H192" i="47"/>
  <c r="H191" i="47"/>
  <c r="H190" i="47"/>
  <c r="H189" i="47"/>
  <c r="H188" i="47"/>
  <c r="H187" i="47"/>
  <c r="H186" i="47"/>
  <c r="H185" i="47"/>
  <c r="H184" i="47"/>
  <c r="H183" i="47"/>
  <c r="H182" i="47"/>
  <c r="H181" i="47"/>
  <c r="H180" i="47"/>
  <c r="H179" i="47"/>
  <c r="H178" i="47"/>
  <c r="H177" i="47"/>
  <c r="H176" i="47"/>
  <c r="H175" i="47"/>
  <c r="H174" i="47"/>
  <c r="H173" i="47"/>
  <c r="H172" i="47"/>
  <c r="H171" i="47"/>
  <c r="H170" i="47"/>
  <c r="H169" i="47"/>
  <c r="H168" i="47"/>
  <c r="H167" i="47"/>
  <c r="H166" i="47"/>
  <c r="H165" i="47"/>
  <c r="H164" i="47"/>
  <c r="H163" i="47"/>
  <c r="H162" i="47"/>
  <c r="H161" i="47"/>
  <c r="H160" i="47"/>
  <c r="H159" i="47"/>
  <c r="H158" i="47"/>
  <c r="H157" i="47"/>
  <c r="H156" i="47"/>
  <c r="H155" i="47"/>
  <c r="H154" i="47"/>
  <c r="H153" i="47"/>
  <c r="H152" i="47"/>
  <c r="H151" i="47"/>
  <c r="H150" i="47"/>
  <c r="H149" i="47"/>
  <c r="H148" i="47"/>
  <c r="H147" i="47"/>
  <c r="H146" i="47"/>
  <c r="H145" i="47"/>
  <c r="H144" i="47"/>
  <c r="H143" i="47"/>
  <c r="H142" i="47"/>
  <c r="H141" i="47"/>
  <c r="H140" i="47"/>
  <c r="H139" i="47"/>
  <c r="H138" i="47"/>
  <c r="H137" i="47"/>
  <c r="H136" i="47"/>
  <c r="H135" i="47"/>
  <c r="H134" i="47"/>
  <c r="H133" i="47"/>
  <c r="H132" i="47"/>
  <c r="H131" i="47"/>
  <c r="H130" i="47"/>
  <c r="H129" i="47"/>
  <c r="H128" i="47"/>
  <c r="H127" i="47"/>
  <c r="H126" i="47"/>
  <c r="H125" i="47"/>
  <c r="H124" i="47"/>
  <c r="H123" i="47"/>
  <c r="H122" i="47"/>
  <c r="C122" i="47"/>
  <c r="H121" i="47"/>
  <c r="H120" i="47"/>
  <c r="H119" i="47"/>
  <c r="H118" i="47"/>
  <c r="H117" i="47"/>
  <c r="H116" i="47"/>
  <c r="H115" i="47"/>
  <c r="H114" i="47"/>
  <c r="H113" i="47"/>
  <c r="H112" i="47"/>
  <c r="H111" i="47"/>
  <c r="H110" i="47"/>
  <c r="H109" i="47"/>
  <c r="H108" i="47"/>
  <c r="H107" i="47"/>
  <c r="H106" i="47"/>
  <c r="H105" i="47"/>
  <c r="D92" i="47"/>
  <c r="C110" i="47" s="1"/>
  <c r="L87" i="47"/>
  <c r="F74" i="47"/>
  <c r="E74" i="47"/>
  <c r="G74" i="47" s="1"/>
  <c r="D74" i="47"/>
  <c r="F67" i="47"/>
  <c r="H67" i="47" s="1"/>
  <c r="G66" i="47"/>
  <c r="G51" i="47" s="1"/>
  <c r="I65" i="47"/>
  <c r="H65" i="47"/>
  <c r="E65" i="47"/>
  <c r="D65" i="47"/>
  <c r="E64" i="47"/>
  <c r="D64" i="47"/>
  <c r="H63" i="47"/>
  <c r="E63" i="47"/>
  <c r="D63" i="47"/>
  <c r="I63" i="47" s="1"/>
  <c r="I62" i="47"/>
  <c r="H62" i="47"/>
  <c r="E62" i="47"/>
  <c r="D62" i="47"/>
  <c r="E61" i="47"/>
  <c r="D61" i="47"/>
  <c r="I60" i="47"/>
  <c r="E60" i="47"/>
  <c r="D60" i="47"/>
  <c r="H60" i="47" s="1"/>
  <c r="H59" i="47"/>
  <c r="E59" i="47"/>
  <c r="D59" i="47"/>
  <c r="E58" i="47"/>
  <c r="D58" i="47"/>
  <c r="I58" i="47" s="1"/>
  <c r="E57" i="47"/>
  <c r="E51" i="47" s="1"/>
  <c r="I56" i="47"/>
  <c r="H56" i="47"/>
  <c r="E56" i="47"/>
  <c r="D55" i="47"/>
  <c r="H55" i="47" s="1"/>
  <c r="H54" i="47"/>
  <c r="D54" i="47"/>
  <c r="I54" i="47" s="1"/>
  <c r="I53" i="47"/>
  <c r="H53" i="47"/>
  <c r="F51" i="47"/>
  <c r="L80" i="47" s="1"/>
  <c r="T26" i="47" s="1"/>
  <c r="D51" i="47"/>
  <c r="L78" i="47" s="1"/>
  <c r="T13" i="47" s="1"/>
  <c r="C51" i="47"/>
  <c r="F42" i="47"/>
  <c r="E29" i="47"/>
  <c r="B29" i="47"/>
  <c r="C106" i="47" s="1"/>
  <c r="U26" i="47"/>
  <c r="N26" i="47"/>
  <c r="M26" i="47" s="1"/>
  <c r="L26" i="47"/>
  <c r="J26" i="47"/>
  <c r="U25" i="47"/>
  <c r="N25" i="47"/>
  <c r="M25" i="47" s="1"/>
  <c r="U24" i="47"/>
  <c r="V24" i="47" s="1"/>
  <c r="N24" i="47"/>
  <c r="L24" i="47"/>
  <c r="K24" i="47"/>
  <c r="J24" i="47"/>
  <c r="U23" i="47"/>
  <c r="V23" i="47" s="1"/>
  <c r="N23" i="47"/>
  <c r="M23" i="47"/>
  <c r="C23" i="47"/>
  <c r="U22" i="47"/>
  <c r="V22" i="47" s="1"/>
  <c r="N22" i="47"/>
  <c r="M22" i="47"/>
  <c r="L22" i="47"/>
  <c r="K22" i="47"/>
  <c r="J22" i="47"/>
  <c r="I22" i="47"/>
  <c r="H22" i="47"/>
  <c r="G22" i="47"/>
  <c r="F22" i="47"/>
  <c r="U21" i="47"/>
  <c r="V21" i="47" s="1"/>
  <c r="N21" i="47"/>
  <c r="M21" i="47"/>
  <c r="L21" i="47"/>
  <c r="K21" i="47"/>
  <c r="J21" i="47"/>
  <c r="C21" i="47"/>
  <c r="U20" i="47"/>
  <c r="V20" i="47" s="1"/>
  <c r="N20" i="47"/>
  <c r="M20" i="47"/>
  <c r="L20" i="47"/>
  <c r="K20" i="47"/>
  <c r="J20" i="47"/>
  <c r="U19" i="47"/>
  <c r="V19" i="47" s="1"/>
  <c r="N19" i="47"/>
  <c r="J19" i="47" s="1"/>
  <c r="M19" i="47"/>
  <c r="L19" i="47"/>
  <c r="K19" i="47"/>
  <c r="U18" i="47"/>
  <c r="V18" i="47" s="1"/>
  <c r="N18" i="47"/>
  <c r="M18" i="47"/>
  <c r="L18" i="47"/>
  <c r="K18" i="47"/>
  <c r="J18" i="47"/>
  <c r="U17" i="47"/>
  <c r="V17" i="47" s="1"/>
  <c r="N17" i="47"/>
  <c r="J17" i="47" s="1"/>
  <c r="M17" i="47"/>
  <c r="L17" i="47"/>
  <c r="K17" i="47"/>
  <c r="U16" i="47"/>
  <c r="M16" i="47"/>
  <c r="L16" i="47"/>
  <c r="C16" i="47"/>
  <c r="U15" i="47"/>
  <c r="N15" i="47"/>
  <c r="U14" i="47"/>
  <c r="V14" i="47" s="1"/>
  <c r="N14" i="47"/>
  <c r="M14" i="47"/>
  <c r="L14" i="47"/>
  <c r="K14" i="47"/>
  <c r="J14" i="47"/>
  <c r="U13" i="47"/>
  <c r="N13" i="47"/>
  <c r="M13" i="47"/>
  <c r="L13" i="47"/>
  <c r="K13" i="47"/>
  <c r="J13" i="47"/>
  <c r="AA12" i="47"/>
  <c r="AA13" i="47" s="1"/>
  <c r="AA14" i="47" s="1"/>
  <c r="AA15" i="47" s="1"/>
  <c r="AA16" i="47" s="1"/>
  <c r="AA17" i="47" s="1"/>
  <c r="AA18" i="47" s="1"/>
  <c r="AA19" i="47" s="1"/>
  <c r="AA20" i="47" s="1"/>
  <c r="AA21" i="47" s="1"/>
  <c r="AA22" i="47" s="1"/>
  <c r="AA23" i="47" s="1"/>
  <c r="AA24" i="47" s="1"/>
  <c r="AA25" i="47" s="1"/>
  <c r="AA26" i="47" s="1"/>
  <c r="AA27" i="47" s="1"/>
  <c r="AA28" i="47" s="1"/>
  <c r="AA29" i="47" s="1"/>
  <c r="AA30" i="47" s="1"/>
  <c r="AA31" i="47" s="1"/>
  <c r="AA32" i="47" s="1"/>
  <c r="AA33" i="47" s="1"/>
  <c r="AA34" i="47" s="1"/>
  <c r="AA35" i="47" s="1"/>
  <c r="AA36" i="47" s="1"/>
  <c r="AA37" i="47" s="1"/>
  <c r="AA38" i="47" s="1"/>
  <c r="AA39" i="47" s="1"/>
  <c r="AA40" i="47" s="1"/>
  <c r="AA41" i="47" s="1"/>
  <c r="AA42" i="47" s="1"/>
  <c r="AA43" i="47" s="1"/>
  <c r="AA44" i="47" s="1"/>
  <c r="AA45" i="47" s="1"/>
  <c r="AA46" i="47" s="1"/>
  <c r="AA47" i="47" s="1"/>
  <c r="AA48" i="47" s="1"/>
  <c r="AA49" i="47" s="1"/>
  <c r="AA50" i="47" s="1"/>
  <c r="AA51" i="47" s="1"/>
  <c r="AA52" i="47" s="1"/>
  <c r="AA53" i="47" s="1"/>
  <c r="AA54" i="47" s="1"/>
  <c r="AA55" i="47" s="1"/>
  <c r="AA56" i="47" s="1"/>
  <c r="AA57" i="47" s="1"/>
  <c r="AA58" i="47" s="1"/>
  <c r="AA59" i="47" s="1"/>
  <c r="AA60" i="47" s="1"/>
  <c r="AA61" i="47" s="1"/>
  <c r="AA62" i="47" s="1"/>
  <c r="AA63" i="47" s="1"/>
  <c r="AA64" i="47" s="1"/>
  <c r="AA65" i="47" s="1"/>
  <c r="AA66" i="47" s="1"/>
  <c r="AA67" i="47" s="1"/>
  <c r="AA68" i="47" s="1"/>
  <c r="AA69" i="47" s="1"/>
  <c r="AA70" i="47" s="1"/>
  <c r="AA71" i="47" s="1"/>
  <c r="AA72" i="47" s="1"/>
  <c r="AA73" i="47" s="1"/>
  <c r="AA74" i="47" s="1"/>
  <c r="AA75" i="47" s="1"/>
  <c r="AA76" i="47" s="1"/>
  <c r="AA77" i="47" s="1"/>
  <c r="AA78" i="47" s="1"/>
  <c r="AA79" i="47" s="1"/>
  <c r="AA80" i="47" s="1"/>
  <c r="AA81" i="47" s="1"/>
  <c r="AA82" i="47" s="1"/>
  <c r="AA83" i="47" s="1"/>
  <c r="AA84" i="47" s="1"/>
  <c r="AA85" i="47" s="1"/>
  <c r="AA86" i="47" s="1"/>
  <c r="AA87" i="47" s="1"/>
  <c r="AA88" i="47" s="1"/>
  <c r="AA89" i="47" s="1"/>
  <c r="AA90" i="47" s="1"/>
  <c r="AA91" i="47" s="1"/>
  <c r="AA92" i="47" s="1"/>
  <c r="AA93" i="47" s="1"/>
  <c r="AA94" i="47" s="1"/>
  <c r="AA95" i="47" s="1"/>
  <c r="AA96" i="47" s="1"/>
  <c r="AA97" i="47" s="1"/>
  <c r="AA98" i="47" s="1"/>
  <c r="AA99" i="47" s="1"/>
  <c r="AA100" i="47" s="1"/>
  <c r="U12" i="47"/>
  <c r="V12" i="47" s="1"/>
  <c r="N12" i="47"/>
  <c r="J12" i="47" s="1"/>
  <c r="M12" i="47"/>
  <c r="L12" i="47"/>
  <c r="K12" i="47"/>
  <c r="AA11" i="47"/>
  <c r="U11" i="47"/>
  <c r="N11" i="47"/>
  <c r="L11" i="47"/>
  <c r="K11" i="47"/>
  <c r="J11" i="47"/>
  <c r="D25" i="26" l="1"/>
  <c r="D27" i="26" s="1"/>
  <c r="D29" i="26" s="1"/>
  <c r="D42" i="26" s="1"/>
  <c r="D16" i="26"/>
  <c r="D26" i="26" s="1"/>
  <c r="D28" i="26" s="1"/>
  <c r="F215" i="47"/>
  <c r="F214" i="47" s="1"/>
  <c r="H214" i="47" s="1"/>
  <c r="H216" i="47" s="1"/>
  <c r="F216" i="47" s="1"/>
  <c r="G216" i="47" s="1"/>
  <c r="G37" i="56"/>
  <c r="G54" i="56" s="1"/>
  <c r="G78" i="56"/>
  <c r="G95" i="56" s="1"/>
  <c r="G81" i="57"/>
  <c r="G82" i="57" s="1"/>
  <c r="G87" i="57" s="1"/>
  <c r="G67" i="57"/>
  <c r="G68" i="57" s="1"/>
  <c r="G69" i="57" s="1"/>
  <c r="G40" i="57"/>
  <c r="G41" i="57" s="1"/>
  <c r="G46" i="57" s="1"/>
  <c r="M110" i="15"/>
  <c r="M108" i="15"/>
  <c r="M112" i="15"/>
  <c r="R11" i="49"/>
  <c r="R24" i="49"/>
  <c r="S24" i="49" s="1"/>
  <c r="R15" i="49"/>
  <c r="R18" i="49"/>
  <c r="S18" i="49" s="1"/>
  <c r="O25" i="49"/>
  <c r="P25" i="49" s="1"/>
  <c r="O20" i="49"/>
  <c r="P20" i="49" s="1"/>
  <c r="R11" i="48"/>
  <c r="R13" i="48"/>
  <c r="S13" i="48" s="1"/>
  <c r="O12" i="47"/>
  <c r="P12" i="47" s="1"/>
  <c r="O13" i="47"/>
  <c r="P13" i="47" s="1"/>
  <c r="R16" i="48"/>
  <c r="S16" i="48" s="1"/>
  <c r="O20" i="48"/>
  <c r="P20" i="48" s="1"/>
  <c r="R24" i="48"/>
  <c r="S24" i="48" s="1"/>
  <c r="R20" i="48"/>
  <c r="S20" i="48" s="1"/>
  <c r="O22" i="47"/>
  <c r="P22" i="47" s="1"/>
  <c r="R21" i="48"/>
  <c r="S21" i="48" s="1"/>
  <c r="R22" i="48"/>
  <c r="S22" i="48" s="1"/>
  <c r="R13" i="49"/>
  <c r="S13" i="49" s="1"/>
  <c r="R26" i="48"/>
  <c r="S26" i="48" s="1"/>
  <c r="R12" i="49"/>
  <c r="S12" i="49" s="1"/>
  <c r="R16" i="47"/>
  <c r="S16" i="47" s="1"/>
  <c r="O15" i="48"/>
  <c r="P15" i="48" s="1"/>
  <c r="O22" i="48"/>
  <c r="P22" i="48" s="1"/>
  <c r="O18" i="48"/>
  <c r="P18" i="48" s="1"/>
  <c r="O26" i="48"/>
  <c r="P26" i="48" s="1"/>
  <c r="O23" i="48"/>
  <c r="P23" i="48" s="1"/>
  <c r="O23" i="49"/>
  <c r="P23" i="49" s="1"/>
  <c r="R22" i="49"/>
  <c r="S22" i="49" s="1"/>
  <c r="O12" i="49"/>
  <c r="P12" i="49" s="1"/>
  <c r="O13" i="49"/>
  <c r="P13" i="49" s="1"/>
  <c r="O18" i="49"/>
  <c r="P18" i="49" s="1"/>
  <c r="R26" i="49"/>
  <c r="S26" i="49" s="1"/>
  <c r="R21" i="49"/>
  <c r="S21" i="49" s="1"/>
  <c r="O22" i="49"/>
  <c r="P22" i="49" s="1"/>
  <c r="O16" i="49"/>
  <c r="P16" i="49" s="1"/>
  <c r="O16" i="48"/>
  <c r="P16" i="48" s="1"/>
  <c r="O25" i="48"/>
  <c r="P25" i="48" s="1"/>
  <c r="H214" i="49"/>
  <c r="H216" i="49" s="1"/>
  <c r="F216" i="49" s="1"/>
  <c r="G216" i="49" s="1"/>
  <c r="G214" i="49"/>
  <c r="L78" i="49"/>
  <c r="T26" i="49"/>
  <c r="V26" i="49" s="1"/>
  <c r="J11" i="49"/>
  <c r="K14" i="49"/>
  <c r="K27" i="49" s="1"/>
  <c r="O15" i="49"/>
  <c r="P15" i="49" s="1"/>
  <c r="R16" i="49"/>
  <c r="S16" i="49" s="1"/>
  <c r="U22" i="49"/>
  <c r="V22" i="49" s="1"/>
  <c r="J24" i="49"/>
  <c r="H57" i="49"/>
  <c r="H62" i="49"/>
  <c r="L11" i="49"/>
  <c r="M14" i="49"/>
  <c r="J16" i="49"/>
  <c r="L24" i="49"/>
  <c r="I59" i="49"/>
  <c r="I51" i="49" s="1"/>
  <c r="H64" i="49"/>
  <c r="C109" i="49"/>
  <c r="H59" i="49"/>
  <c r="M11" i="49"/>
  <c r="M27" i="49" s="1"/>
  <c r="J15" i="49"/>
  <c r="O17" i="49"/>
  <c r="P17" i="49" s="1"/>
  <c r="O19" i="49"/>
  <c r="P19" i="49" s="1"/>
  <c r="R23" i="49"/>
  <c r="S23" i="49" s="1"/>
  <c r="M24" i="49"/>
  <c r="K26" i="49"/>
  <c r="N27" i="49"/>
  <c r="H61" i="49"/>
  <c r="O14" i="49"/>
  <c r="P14" i="49" s="1"/>
  <c r="K15" i="49"/>
  <c r="O21" i="49"/>
  <c r="P21" i="49" s="1"/>
  <c r="R25" i="49"/>
  <c r="H58" i="49"/>
  <c r="O11" i="49"/>
  <c r="P11" i="49" s="1"/>
  <c r="L15" i="49"/>
  <c r="R17" i="49"/>
  <c r="S17" i="49" s="1"/>
  <c r="R19" i="49"/>
  <c r="S19" i="49" s="1"/>
  <c r="O24" i="49"/>
  <c r="P24" i="49" s="1"/>
  <c r="K25" i="49"/>
  <c r="H54" i="49"/>
  <c r="H51" i="49" s="1"/>
  <c r="R14" i="49"/>
  <c r="S14" i="49" s="1"/>
  <c r="K27" i="48"/>
  <c r="H214" i="48"/>
  <c r="H216" i="48" s="1"/>
  <c r="F216" i="48" s="1"/>
  <c r="G216" i="48" s="1"/>
  <c r="G214" i="48"/>
  <c r="M27" i="48"/>
  <c r="T26" i="48"/>
  <c r="V26" i="48" s="1"/>
  <c r="U22" i="48"/>
  <c r="V22" i="48" s="1"/>
  <c r="J24" i="48"/>
  <c r="J27" i="48" s="1"/>
  <c r="H62" i="48"/>
  <c r="D51" i="48"/>
  <c r="L11" i="48"/>
  <c r="M14" i="48"/>
  <c r="J16" i="48"/>
  <c r="L24" i="48"/>
  <c r="E51" i="48"/>
  <c r="I59" i="48"/>
  <c r="I51" i="48" s="1"/>
  <c r="C109" i="48"/>
  <c r="O12" i="48"/>
  <c r="P12" i="48" s="1"/>
  <c r="J15" i="48"/>
  <c r="R15" i="48"/>
  <c r="O17" i="48"/>
  <c r="P17" i="48" s="1"/>
  <c r="O19" i="48"/>
  <c r="P19" i="48" s="1"/>
  <c r="R23" i="48"/>
  <c r="S23" i="48" s="1"/>
  <c r="M24" i="48"/>
  <c r="N27" i="48"/>
  <c r="H61" i="48"/>
  <c r="O14" i="48"/>
  <c r="P14" i="48" s="1"/>
  <c r="K15" i="48"/>
  <c r="O21" i="48"/>
  <c r="P21" i="48" s="1"/>
  <c r="R25" i="48"/>
  <c r="H56" i="48"/>
  <c r="H51" i="48" s="1"/>
  <c r="H58" i="48"/>
  <c r="O11" i="48"/>
  <c r="P11" i="48" s="1"/>
  <c r="R12" i="48"/>
  <c r="S12" i="48" s="1"/>
  <c r="L15" i="48"/>
  <c r="R17" i="48"/>
  <c r="S17" i="48" s="1"/>
  <c r="R19" i="48"/>
  <c r="S19" i="48" s="1"/>
  <c r="K23" i="48"/>
  <c r="O24" i="48"/>
  <c r="P24" i="48" s="1"/>
  <c r="K25" i="48"/>
  <c r="H63" i="48"/>
  <c r="R14" i="48"/>
  <c r="S14" i="48" s="1"/>
  <c r="V26" i="47"/>
  <c r="R12" i="47"/>
  <c r="S12" i="47" s="1"/>
  <c r="R20" i="47"/>
  <c r="S20" i="47" s="1"/>
  <c r="R15" i="47"/>
  <c r="R22" i="47"/>
  <c r="S22" i="47" s="1"/>
  <c r="C109" i="47"/>
  <c r="R11" i="47"/>
  <c r="R13" i="47"/>
  <c r="S13" i="47" s="1"/>
  <c r="R21" i="47"/>
  <c r="S21" i="47" s="1"/>
  <c r="R26" i="47"/>
  <c r="S26" i="47" s="1"/>
  <c r="R18" i="47"/>
  <c r="S18" i="47" s="1"/>
  <c r="O16" i="47"/>
  <c r="P16" i="47" s="1"/>
  <c r="O14" i="47"/>
  <c r="P14" i="47" s="1"/>
  <c r="O18" i="47"/>
  <c r="P18" i="47" s="1"/>
  <c r="O20" i="47"/>
  <c r="P20" i="47" s="1"/>
  <c r="O26" i="47"/>
  <c r="P26" i="47" s="1"/>
  <c r="O23" i="47"/>
  <c r="P23" i="47" s="1"/>
  <c r="O15" i="47"/>
  <c r="P15" i="47" s="1"/>
  <c r="V13" i="47"/>
  <c r="L27" i="47"/>
  <c r="K31" i="47" s="1"/>
  <c r="H57" i="47"/>
  <c r="J16" i="47"/>
  <c r="K16" i="47"/>
  <c r="L23" i="47"/>
  <c r="K23" i="47"/>
  <c r="J23" i="47"/>
  <c r="M15" i="47"/>
  <c r="L15" i="47"/>
  <c r="K15" i="47"/>
  <c r="K27" i="47" s="1"/>
  <c r="J15" i="47"/>
  <c r="J27" i="47" s="1"/>
  <c r="I61" i="47"/>
  <c r="H61" i="47"/>
  <c r="I59" i="47"/>
  <c r="H64" i="47"/>
  <c r="H51" i="47" s="1"/>
  <c r="I64" i="47"/>
  <c r="L25" i="47"/>
  <c r="K25" i="47"/>
  <c r="J25" i="47"/>
  <c r="P25" i="47"/>
  <c r="I51" i="47"/>
  <c r="M11" i="47"/>
  <c r="M27" i="47" s="1"/>
  <c r="O17" i="47"/>
  <c r="P17" i="47" s="1"/>
  <c r="O19" i="47"/>
  <c r="P19" i="47" s="1"/>
  <c r="R23" i="47"/>
  <c r="S23" i="47" s="1"/>
  <c r="M24" i="47"/>
  <c r="K26" i="47"/>
  <c r="N27" i="47"/>
  <c r="H66" i="47"/>
  <c r="O21" i="47"/>
  <c r="P21" i="47" s="1"/>
  <c r="R25" i="47"/>
  <c r="H58" i="47"/>
  <c r="R17" i="47"/>
  <c r="S17" i="47" s="1"/>
  <c r="R19" i="47"/>
  <c r="S19" i="47" s="1"/>
  <c r="O24" i="47"/>
  <c r="P24" i="47" s="1"/>
  <c r="O11" i="47"/>
  <c r="P11" i="47" s="1"/>
  <c r="R14" i="47"/>
  <c r="S14" i="47" s="1"/>
  <c r="F22" i="45"/>
  <c r="N13" i="45"/>
  <c r="E56" i="45"/>
  <c r="D58" i="45"/>
  <c r="D55" i="45"/>
  <c r="D54" i="45"/>
  <c r="I54" i="45" s="1"/>
  <c r="C51" i="45"/>
  <c r="N11" i="45"/>
  <c r="J11" i="45" s="1"/>
  <c r="G214" i="47" l="1"/>
  <c r="G215" i="47" s="1"/>
  <c r="C138" i="47" s="1"/>
  <c r="M109" i="15"/>
  <c r="G43" i="57"/>
  <c r="G44" i="57"/>
  <c r="G42" i="57"/>
  <c r="G45" i="57"/>
  <c r="G49" i="57"/>
  <c r="G48" i="57"/>
  <c r="G47" i="57"/>
  <c r="G50" i="57" s="1"/>
  <c r="G85" i="57"/>
  <c r="G90" i="57"/>
  <c r="G86" i="57"/>
  <c r="G83" i="57"/>
  <c r="G89" i="57"/>
  <c r="G88" i="57"/>
  <c r="G91" i="57" s="1"/>
  <c r="G84" i="57"/>
  <c r="G81" i="56"/>
  <c r="G82" i="56" s="1"/>
  <c r="G87" i="56" s="1"/>
  <c r="G40" i="56"/>
  <c r="G41" i="56" s="1"/>
  <c r="G46" i="56" s="1"/>
  <c r="G67" i="56"/>
  <c r="G68" i="56" s="1"/>
  <c r="G69" i="56" s="1"/>
  <c r="P27" i="49"/>
  <c r="F79" i="49"/>
  <c r="F82" i="49" s="1"/>
  <c r="E79" i="49"/>
  <c r="D79" i="49"/>
  <c r="F197" i="49"/>
  <c r="F196" i="49"/>
  <c r="L27" i="49"/>
  <c r="K31" i="49" s="1"/>
  <c r="J27" i="49"/>
  <c r="G215" i="49"/>
  <c r="C138" i="49" s="1"/>
  <c r="T13" i="49"/>
  <c r="V13" i="49" s="1"/>
  <c r="G215" i="48"/>
  <c r="C138" i="48" s="1"/>
  <c r="F79" i="48"/>
  <c r="E79" i="48"/>
  <c r="D79" i="48"/>
  <c r="F196" i="48"/>
  <c r="F197" i="48"/>
  <c r="L27" i="48"/>
  <c r="K31" i="48" s="1"/>
  <c r="L78" i="48"/>
  <c r="F82" i="48"/>
  <c r="P27" i="48"/>
  <c r="F196" i="47"/>
  <c r="F197" i="47"/>
  <c r="P27" i="47"/>
  <c r="D79" i="47"/>
  <c r="F79" i="47"/>
  <c r="E79" i="47"/>
  <c r="K32" i="47"/>
  <c r="J31" i="47"/>
  <c r="J32" i="47" s="1"/>
  <c r="E7" i="38"/>
  <c r="E8" i="38" s="1"/>
  <c r="F7" i="38"/>
  <c r="F8" i="38" s="1"/>
  <c r="G7" i="38"/>
  <c r="G8" i="38" s="1"/>
  <c r="C16" i="38"/>
  <c r="C17" i="38" s="1"/>
  <c r="F74" i="45"/>
  <c r="E74" i="45"/>
  <c r="D74" i="45"/>
  <c r="G74" i="42"/>
  <c r="H192" i="45"/>
  <c r="H191" i="45"/>
  <c r="H190" i="45"/>
  <c r="H189" i="45"/>
  <c r="H188" i="45"/>
  <c r="H187" i="45"/>
  <c r="H186" i="45"/>
  <c r="H185" i="45"/>
  <c r="H184" i="45"/>
  <c r="H183" i="45"/>
  <c r="H182" i="45"/>
  <c r="H181" i="45"/>
  <c r="H180" i="45"/>
  <c r="H179" i="45"/>
  <c r="H178" i="45"/>
  <c r="H177" i="45"/>
  <c r="H176" i="45"/>
  <c r="H175" i="45"/>
  <c r="H174" i="45"/>
  <c r="H173" i="45"/>
  <c r="H172" i="45"/>
  <c r="H171" i="45"/>
  <c r="H170" i="45"/>
  <c r="H169" i="45"/>
  <c r="H168" i="45"/>
  <c r="H167" i="45"/>
  <c r="H166" i="45"/>
  <c r="H165" i="45"/>
  <c r="H164" i="45"/>
  <c r="H163" i="45"/>
  <c r="H162" i="45"/>
  <c r="H161" i="45"/>
  <c r="H160" i="45"/>
  <c r="H159" i="45"/>
  <c r="H158" i="45"/>
  <c r="H157" i="45"/>
  <c r="H156" i="45"/>
  <c r="H155" i="45"/>
  <c r="H154" i="45"/>
  <c r="H153" i="45"/>
  <c r="H152" i="45"/>
  <c r="H151" i="45"/>
  <c r="H150" i="45"/>
  <c r="H149" i="45"/>
  <c r="H148" i="45"/>
  <c r="H147" i="45"/>
  <c r="H146" i="45"/>
  <c r="H145" i="45"/>
  <c r="H144" i="45"/>
  <c r="H143" i="45"/>
  <c r="H142" i="45"/>
  <c r="H141" i="45"/>
  <c r="H140" i="45"/>
  <c r="H139" i="45"/>
  <c r="H138" i="45"/>
  <c r="H137" i="45"/>
  <c r="H136" i="45"/>
  <c r="H135" i="45"/>
  <c r="H134" i="45"/>
  <c r="H133" i="45"/>
  <c r="H132" i="45"/>
  <c r="H131" i="45"/>
  <c r="H130" i="45"/>
  <c r="H129" i="45"/>
  <c r="H128" i="45"/>
  <c r="H127" i="45"/>
  <c r="H126" i="45"/>
  <c r="H125" i="45"/>
  <c r="H124" i="45"/>
  <c r="H123" i="45"/>
  <c r="H122" i="45"/>
  <c r="H121" i="45"/>
  <c r="H120" i="45"/>
  <c r="H119" i="45"/>
  <c r="H118" i="45"/>
  <c r="H117" i="45"/>
  <c r="H116" i="45"/>
  <c r="H115" i="45"/>
  <c r="H114" i="45"/>
  <c r="H113" i="45"/>
  <c r="H112" i="45"/>
  <c r="H111" i="45"/>
  <c r="H110" i="45"/>
  <c r="H109" i="45"/>
  <c r="H108" i="45"/>
  <c r="H107" i="45"/>
  <c r="H106" i="45"/>
  <c r="H105" i="45"/>
  <c r="D92" i="45"/>
  <c r="C110" i="45" s="1"/>
  <c r="F67" i="45"/>
  <c r="H67" i="45" s="1"/>
  <c r="G66" i="45"/>
  <c r="H66" i="45" s="1"/>
  <c r="E65" i="45"/>
  <c r="D65" i="45"/>
  <c r="E64" i="45"/>
  <c r="D64" i="45"/>
  <c r="E63" i="45"/>
  <c r="D63" i="45"/>
  <c r="E62" i="45"/>
  <c r="D62" i="45"/>
  <c r="E61" i="45"/>
  <c r="D61" i="45"/>
  <c r="E60" i="45"/>
  <c r="D60" i="45"/>
  <c r="E59" i="45"/>
  <c r="D59" i="45"/>
  <c r="E58" i="45"/>
  <c r="I58" i="45" s="1"/>
  <c r="E57" i="45"/>
  <c r="H57" i="45" s="1"/>
  <c r="I56" i="45"/>
  <c r="H56" i="45"/>
  <c r="H55" i="45"/>
  <c r="I53" i="45"/>
  <c r="H53" i="45"/>
  <c r="F42" i="45"/>
  <c r="E29" i="45"/>
  <c r="B29" i="45"/>
  <c r="N26" i="45"/>
  <c r="M26" i="45" s="1"/>
  <c r="N25" i="45"/>
  <c r="J25" i="45" s="1"/>
  <c r="N24" i="45"/>
  <c r="M24" i="45" s="1"/>
  <c r="N23" i="45"/>
  <c r="C23" i="45"/>
  <c r="N22" i="45"/>
  <c r="L22" i="45" s="1"/>
  <c r="I22" i="45"/>
  <c r="H22" i="45"/>
  <c r="G22" i="45"/>
  <c r="N21" i="45"/>
  <c r="C21" i="45"/>
  <c r="N20" i="45"/>
  <c r="L20" i="45" s="1"/>
  <c r="N19" i="45"/>
  <c r="J19" i="45" s="1"/>
  <c r="N18" i="45"/>
  <c r="M18" i="45" s="1"/>
  <c r="M16" i="45"/>
  <c r="L16" i="45"/>
  <c r="C16" i="45"/>
  <c r="N15" i="45"/>
  <c r="M15" i="45" s="1"/>
  <c r="N14" i="45"/>
  <c r="L14" i="45" s="1"/>
  <c r="M14" i="45"/>
  <c r="M13" i="45"/>
  <c r="L13" i="45"/>
  <c r="N12" i="45"/>
  <c r="J12" i="45" s="1"/>
  <c r="M11" i="45"/>
  <c r="L11" i="45"/>
  <c r="R7" i="45"/>
  <c r="R25" i="45" s="1"/>
  <c r="O7" i="45"/>
  <c r="O14" i="45" s="1"/>
  <c r="P14" i="45" s="1"/>
  <c r="G56" i="57" l="1"/>
  <c r="G57" i="57" s="1"/>
  <c r="G92" i="57"/>
  <c r="G99" i="57" s="1"/>
  <c r="G100" i="57" s="1"/>
  <c r="G97" i="57"/>
  <c r="G45" i="56"/>
  <c r="G43" i="56"/>
  <c r="G44" i="56"/>
  <c r="G42" i="56"/>
  <c r="G47" i="56"/>
  <c r="G50" i="56" s="1"/>
  <c r="G49" i="56"/>
  <c r="G48" i="56"/>
  <c r="G51" i="57"/>
  <c r="G58" i="57" s="1"/>
  <c r="G59" i="57" s="1"/>
  <c r="G90" i="56"/>
  <c r="G85" i="56"/>
  <c r="G88" i="56"/>
  <c r="G91" i="56" s="1"/>
  <c r="G83" i="56"/>
  <c r="G86" i="56"/>
  <c r="G89" i="56"/>
  <c r="G84" i="56"/>
  <c r="F83" i="49"/>
  <c r="F76" i="49"/>
  <c r="F75" i="49"/>
  <c r="H196" i="49"/>
  <c r="H198" i="49" s="1"/>
  <c r="F198" i="49" s="1"/>
  <c r="G198" i="49" s="1"/>
  <c r="G196" i="49"/>
  <c r="D80" i="49"/>
  <c r="G80" i="49" s="1"/>
  <c r="G79" i="49"/>
  <c r="E82" i="49"/>
  <c r="E76" i="49" s="1"/>
  <c r="E80" i="49"/>
  <c r="E83" i="49" s="1"/>
  <c r="E88" i="49"/>
  <c r="E87" i="49" s="1"/>
  <c r="J31" i="49"/>
  <c r="J32" i="49" s="1"/>
  <c r="K32" i="49"/>
  <c r="F80" i="49"/>
  <c r="F88" i="49"/>
  <c r="F87" i="49" s="1"/>
  <c r="F85" i="49" s="1"/>
  <c r="D80" i="48"/>
  <c r="G80" i="48" s="1"/>
  <c r="G79" i="48"/>
  <c r="F83" i="48"/>
  <c r="F76" i="48"/>
  <c r="F75" i="48"/>
  <c r="E82" i="48"/>
  <c r="E76" i="48" s="1"/>
  <c r="E80" i="48"/>
  <c r="E83" i="48" s="1"/>
  <c r="H196" i="48"/>
  <c r="H198" i="48" s="1"/>
  <c r="F198" i="48" s="1"/>
  <c r="G198" i="48" s="1"/>
  <c r="G196" i="48"/>
  <c r="T13" i="48"/>
  <c r="V13" i="48" s="1"/>
  <c r="F80" i="48"/>
  <c r="F88" i="48"/>
  <c r="F87" i="48" s="1"/>
  <c r="F85" i="48" s="1"/>
  <c r="K32" i="48"/>
  <c r="J31" i="48"/>
  <c r="J32" i="48" s="1"/>
  <c r="H196" i="47"/>
  <c r="H198" i="47" s="1"/>
  <c r="F198" i="47" s="1"/>
  <c r="G198" i="47" s="1"/>
  <c r="G196" i="47"/>
  <c r="K33" i="47"/>
  <c r="K35" i="47" s="1"/>
  <c r="K37" i="47" s="1"/>
  <c r="K36" i="47"/>
  <c r="E82" i="47"/>
  <c r="E76" i="47" s="1"/>
  <c r="E80" i="47"/>
  <c r="E83" i="47" s="1"/>
  <c r="F80" i="47"/>
  <c r="F88" i="47"/>
  <c r="F87" i="47" s="1"/>
  <c r="F85" i="47" s="1"/>
  <c r="G80" i="47"/>
  <c r="G79" i="47"/>
  <c r="J33" i="47"/>
  <c r="J35" i="47" s="1"/>
  <c r="J37" i="47" s="1"/>
  <c r="J36" i="47"/>
  <c r="F82" i="47"/>
  <c r="G51" i="45"/>
  <c r="F51" i="45"/>
  <c r="L80" i="45" s="1"/>
  <c r="I62" i="45"/>
  <c r="M19" i="45"/>
  <c r="J20" i="45"/>
  <c r="R11" i="45"/>
  <c r="M20" i="45"/>
  <c r="M22" i="45"/>
  <c r="H61" i="45"/>
  <c r="O15" i="45"/>
  <c r="P15" i="45" s="1"/>
  <c r="R21" i="45"/>
  <c r="S21" i="45" s="1"/>
  <c r="K23" i="45"/>
  <c r="J21" i="45"/>
  <c r="D51" i="45"/>
  <c r="L78" i="45" s="1"/>
  <c r="R13" i="45"/>
  <c r="S13" i="45" s="1"/>
  <c r="R16" i="45"/>
  <c r="S16" i="45" s="1"/>
  <c r="G74" i="45"/>
  <c r="J22" i="45"/>
  <c r="K17" i="45"/>
  <c r="L12" i="45"/>
  <c r="J14" i="45"/>
  <c r="O21" i="45"/>
  <c r="P21" i="45" s="1"/>
  <c r="I60" i="45"/>
  <c r="I64" i="45"/>
  <c r="K12" i="45"/>
  <c r="O12" i="45"/>
  <c r="P12" i="45" s="1"/>
  <c r="R15" i="45"/>
  <c r="K21" i="45"/>
  <c r="H65" i="45"/>
  <c r="I65" i="45"/>
  <c r="R17" i="45"/>
  <c r="S17" i="45" s="1"/>
  <c r="O22" i="45"/>
  <c r="P22" i="45" s="1"/>
  <c r="R23" i="45"/>
  <c r="S23" i="45" s="1"/>
  <c r="R12" i="45"/>
  <c r="S12" i="45" s="1"/>
  <c r="K11" i="45"/>
  <c r="K13" i="45"/>
  <c r="R14" i="45"/>
  <c r="S14" i="45" s="1"/>
  <c r="O20" i="45"/>
  <c r="P20" i="45" s="1"/>
  <c r="O11" i="45"/>
  <c r="P11" i="45" s="1"/>
  <c r="K16" i="45"/>
  <c r="J15" i="45"/>
  <c r="R18" i="45"/>
  <c r="S18" i="45" s="1"/>
  <c r="K25" i="45"/>
  <c r="L15" i="45"/>
  <c r="O16" i="45"/>
  <c r="P16" i="45" s="1"/>
  <c r="K19" i="45"/>
  <c r="L21" i="45"/>
  <c r="M25" i="45"/>
  <c r="I63" i="45"/>
  <c r="T26" i="45"/>
  <c r="C106" i="45"/>
  <c r="M12" i="45"/>
  <c r="J13" i="45"/>
  <c r="K15" i="45"/>
  <c r="J17" i="45"/>
  <c r="O18" i="45"/>
  <c r="P18" i="45" s="1"/>
  <c r="L19" i="45"/>
  <c r="R20" i="45"/>
  <c r="S20" i="45" s="1"/>
  <c r="M21" i="45"/>
  <c r="J23" i="45"/>
  <c r="O24" i="45"/>
  <c r="P24" i="45" s="1"/>
  <c r="L25" i="45"/>
  <c r="O26" i="45"/>
  <c r="P26" i="45" s="1"/>
  <c r="H63" i="45"/>
  <c r="K20" i="45"/>
  <c r="L23" i="45"/>
  <c r="R24" i="45"/>
  <c r="S24" i="45" s="1"/>
  <c r="R26" i="45"/>
  <c r="S26" i="45" s="1"/>
  <c r="E51" i="45"/>
  <c r="H54" i="45"/>
  <c r="I59" i="45"/>
  <c r="I61" i="45"/>
  <c r="H59" i="45"/>
  <c r="M17" i="45"/>
  <c r="J18" i="45"/>
  <c r="O19" i="45"/>
  <c r="P19" i="45" s="1"/>
  <c r="R22" i="45"/>
  <c r="S22" i="45" s="1"/>
  <c r="M23" i="45"/>
  <c r="J24" i="45"/>
  <c r="O25" i="45"/>
  <c r="P25" i="45" s="1"/>
  <c r="J26" i="45"/>
  <c r="N27" i="45"/>
  <c r="C109" i="45"/>
  <c r="K24" i="45"/>
  <c r="K26" i="45"/>
  <c r="K18" i="45"/>
  <c r="O13" i="45"/>
  <c r="P13" i="45" s="1"/>
  <c r="K14" i="45"/>
  <c r="J16" i="45"/>
  <c r="O17" i="45"/>
  <c r="P17" i="45" s="1"/>
  <c r="L18" i="45"/>
  <c r="R19" i="45"/>
  <c r="S19" i="45" s="1"/>
  <c r="K22" i="45"/>
  <c r="O23" i="45"/>
  <c r="P23" i="45" s="1"/>
  <c r="L24" i="45"/>
  <c r="L26" i="45"/>
  <c r="H58" i="45"/>
  <c r="H60" i="45"/>
  <c r="H62" i="45"/>
  <c r="H64" i="45"/>
  <c r="G60" i="57" l="1"/>
  <c r="G61" i="57" s="1"/>
  <c r="G62" i="57" s="1"/>
  <c r="G70" i="57" s="1"/>
  <c r="G71" i="57" s="1"/>
  <c r="G74" i="57" s="1"/>
  <c r="G97" i="56"/>
  <c r="G51" i="56"/>
  <c r="G58" i="56" s="1"/>
  <c r="G59" i="56" s="1"/>
  <c r="G98" i="57"/>
  <c r="G101" i="57"/>
  <c r="G102" i="57" s="1"/>
  <c r="G103" i="57" s="1"/>
  <c r="G107" i="57" s="1"/>
  <c r="G108" i="57" s="1"/>
  <c r="G92" i="56"/>
  <c r="G99" i="56" s="1"/>
  <c r="G100" i="56" s="1"/>
  <c r="G56" i="56"/>
  <c r="K33" i="49"/>
  <c r="K35" i="49" s="1"/>
  <c r="K37" i="49" s="1"/>
  <c r="K36" i="49"/>
  <c r="J33" i="49"/>
  <c r="J35" i="49" s="1"/>
  <c r="J37" i="49" s="1"/>
  <c r="J36" i="49"/>
  <c r="G197" i="49"/>
  <c r="C112" i="49" s="1"/>
  <c r="C113" i="49" s="1"/>
  <c r="G197" i="48"/>
  <c r="C112" i="48" s="1"/>
  <c r="C113" i="48" s="1"/>
  <c r="J33" i="48"/>
  <c r="J35" i="48" s="1"/>
  <c r="J37" i="48" s="1"/>
  <c r="J36" i="48"/>
  <c r="K33" i="48"/>
  <c r="K35" i="48" s="1"/>
  <c r="K37" i="48" s="1"/>
  <c r="K36" i="48"/>
  <c r="E88" i="48"/>
  <c r="E87" i="48" s="1"/>
  <c r="G197" i="47"/>
  <c r="C112" i="47" s="1"/>
  <c r="C113" i="47" s="1"/>
  <c r="E88" i="47"/>
  <c r="E87" i="47" s="1"/>
  <c r="F83" i="47"/>
  <c r="F76" i="47"/>
  <c r="F75" i="47"/>
  <c r="I51" i="45"/>
  <c r="D79" i="45" s="1"/>
  <c r="D80" i="45" s="1"/>
  <c r="K31" i="45"/>
  <c r="H51" i="45"/>
  <c r="K27" i="45"/>
  <c r="M27" i="45"/>
  <c r="P27" i="45"/>
  <c r="F197" i="45"/>
  <c r="F196" i="45"/>
  <c r="J27" i="45"/>
  <c r="T13" i="45"/>
  <c r="G72" i="57" l="1"/>
  <c r="G73" i="57" s="1"/>
  <c r="H37" i="57" s="1"/>
  <c r="H54" i="57" s="1"/>
  <c r="G57" i="56"/>
  <c r="G60" i="56"/>
  <c r="G61" i="56" s="1"/>
  <c r="G62" i="56" s="1"/>
  <c r="G70" i="56" s="1"/>
  <c r="G71" i="56" s="1"/>
  <c r="G109" i="57"/>
  <c r="H78" i="57" s="1"/>
  <c r="H95" i="57" s="1"/>
  <c r="G110" i="57"/>
  <c r="G101" i="56"/>
  <c r="G102" i="56" s="1"/>
  <c r="G103" i="56" s="1"/>
  <c r="G107" i="56" s="1"/>
  <c r="G108" i="56" s="1"/>
  <c r="G98" i="56"/>
  <c r="K32" i="45"/>
  <c r="K36" i="45" s="1"/>
  <c r="J31" i="45"/>
  <c r="J32" i="45" s="1"/>
  <c r="C115" i="49"/>
  <c r="C118" i="49"/>
  <c r="G203" i="49" s="1"/>
  <c r="G202" i="49" s="1"/>
  <c r="F202" i="49" s="1"/>
  <c r="C115" i="48"/>
  <c r="C118" i="48"/>
  <c r="G203" i="48" s="1"/>
  <c r="G202" i="48" s="1"/>
  <c r="F202" i="48" s="1"/>
  <c r="C118" i="47"/>
  <c r="G203" i="47" s="1"/>
  <c r="G202" i="47" s="1"/>
  <c r="F202" i="47" s="1"/>
  <c r="C115" i="47"/>
  <c r="F79" i="45"/>
  <c r="F82" i="45" s="1"/>
  <c r="E79" i="45"/>
  <c r="E82" i="45" s="1"/>
  <c r="E76" i="45" s="1"/>
  <c r="G79" i="45"/>
  <c r="G80" i="45"/>
  <c r="G196" i="45"/>
  <c r="H196" i="45"/>
  <c r="H198" i="45" s="1"/>
  <c r="F198" i="45" s="1"/>
  <c r="G198" i="45" s="1"/>
  <c r="H38" i="57" l="1"/>
  <c r="H67" i="57" s="1"/>
  <c r="H68" i="57" s="1"/>
  <c r="H69" i="57" s="1"/>
  <c r="G110" i="56"/>
  <c r="G109" i="56"/>
  <c r="H78" i="56" s="1"/>
  <c r="H95" i="56" s="1"/>
  <c r="H40" i="57"/>
  <c r="H41" i="57" s="1"/>
  <c r="H46" i="57" s="1"/>
  <c r="H81" i="57"/>
  <c r="H82" i="57" s="1"/>
  <c r="H87" i="57" s="1"/>
  <c r="G72" i="56"/>
  <c r="G74" i="56"/>
  <c r="K33" i="45"/>
  <c r="K35" i="45" s="1"/>
  <c r="K37" i="45" s="1"/>
  <c r="H202" i="49"/>
  <c r="H204" i="49" s="1"/>
  <c r="F204" i="49" s="1"/>
  <c r="G204" i="49" s="1"/>
  <c r="F203" i="49" s="1"/>
  <c r="C119" i="49" s="1"/>
  <c r="D93" i="49" s="1"/>
  <c r="C116" i="49"/>
  <c r="F89" i="49"/>
  <c r="E89" i="49"/>
  <c r="E85" i="49" s="1"/>
  <c r="C116" i="48"/>
  <c r="F89" i="48"/>
  <c r="E89" i="48"/>
  <c r="E85" i="48" s="1"/>
  <c r="H202" i="48"/>
  <c r="H204" i="48" s="1"/>
  <c r="F204" i="48" s="1"/>
  <c r="G204" i="48" s="1"/>
  <c r="F203" i="48" s="1"/>
  <c r="C119" i="48" s="1"/>
  <c r="D93" i="48" s="1"/>
  <c r="C116" i="47"/>
  <c r="F89" i="47"/>
  <c r="E89" i="47"/>
  <c r="E85" i="47" s="1"/>
  <c r="H202" i="47"/>
  <c r="H204" i="47" s="1"/>
  <c r="F204" i="47" s="1"/>
  <c r="G204" i="47" s="1"/>
  <c r="F203" i="47" s="1"/>
  <c r="C119" i="47" s="1"/>
  <c r="D93" i="47" s="1"/>
  <c r="E80" i="45"/>
  <c r="E83" i="45" s="1"/>
  <c r="F80" i="45"/>
  <c r="E88" i="45"/>
  <c r="E87" i="45" s="1"/>
  <c r="J36" i="45"/>
  <c r="J33" i="45"/>
  <c r="J35" i="45" s="1"/>
  <c r="J37" i="45" s="1"/>
  <c r="F76" i="45"/>
  <c r="F83" i="45"/>
  <c r="F75" i="45"/>
  <c r="F88" i="45"/>
  <c r="F87" i="45" s="1"/>
  <c r="F85" i="45" s="1"/>
  <c r="G197" i="45"/>
  <c r="C112" i="45" s="1"/>
  <c r="C113" i="45" s="1"/>
  <c r="G73" i="56" l="1"/>
  <c r="H37" i="56" s="1"/>
  <c r="H54" i="56" s="1"/>
  <c r="H38" i="56"/>
  <c r="H86" i="57"/>
  <c r="H84" i="57"/>
  <c r="H83" i="57"/>
  <c r="H89" i="57"/>
  <c r="H90" i="57"/>
  <c r="H85" i="57"/>
  <c r="H88" i="57"/>
  <c r="H91" i="57" s="1"/>
  <c r="H43" i="57"/>
  <c r="H49" i="57"/>
  <c r="H44" i="57"/>
  <c r="H48" i="57"/>
  <c r="H47" i="57"/>
  <c r="H50" i="57" s="1"/>
  <c r="H42" i="57"/>
  <c r="H45" i="57"/>
  <c r="H81" i="56"/>
  <c r="H82" i="56" s="1"/>
  <c r="H87" i="56" s="1"/>
  <c r="C115" i="45"/>
  <c r="C118" i="45"/>
  <c r="G203" i="45" s="1"/>
  <c r="G202" i="45" s="1"/>
  <c r="F202" i="45" s="1"/>
  <c r="H97" i="57" l="1"/>
  <c r="H98" i="57" s="1"/>
  <c r="H56" i="57"/>
  <c r="H57" i="57" s="1"/>
  <c r="H92" i="57"/>
  <c r="H99" i="57" s="1"/>
  <c r="H100" i="57" s="1"/>
  <c r="H84" i="56"/>
  <c r="H88" i="56"/>
  <c r="H91" i="56" s="1"/>
  <c r="H86" i="56"/>
  <c r="H90" i="56"/>
  <c r="H85" i="56"/>
  <c r="H83" i="56"/>
  <c r="H89" i="56"/>
  <c r="H51" i="57"/>
  <c r="H58" i="57" s="1"/>
  <c r="H59" i="57" s="1"/>
  <c r="H40" i="56"/>
  <c r="H41" i="56" s="1"/>
  <c r="H46" i="56" s="1"/>
  <c r="H67" i="56"/>
  <c r="H68" i="56" s="1"/>
  <c r="H69" i="56" s="1"/>
  <c r="H202" i="45"/>
  <c r="H204" i="45" s="1"/>
  <c r="F204" i="45" s="1"/>
  <c r="G204" i="45" s="1"/>
  <c r="F203" i="45" s="1"/>
  <c r="C119" i="45" s="1"/>
  <c r="D93" i="45" s="1"/>
  <c r="F89" i="45"/>
  <c r="E89" i="45"/>
  <c r="E85" i="45" s="1"/>
  <c r="C116" i="45"/>
  <c r="H101" i="57" l="1"/>
  <c r="H102" i="57" s="1"/>
  <c r="H103" i="57" s="1"/>
  <c r="H107" i="57" s="1"/>
  <c r="H108" i="57" s="1"/>
  <c r="H109" i="57" s="1"/>
  <c r="I78" i="57" s="1"/>
  <c r="I95" i="57" s="1"/>
  <c r="H49" i="56"/>
  <c r="H48" i="56"/>
  <c r="H43" i="56"/>
  <c r="H47" i="56"/>
  <c r="H50" i="56" s="1"/>
  <c r="H45" i="56"/>
  <c r="H44" i="56"/>
  <c r="H42" i="56"/>
  <c r="H92" i="56"/>
  <c r="H99" i="56" s="1"/>
  <c r="H100" i="56" s="1"/>
  <c r="H97" i="56"/>
  <c r="H60" i="57"/>
  <c r="H61" i="57" s="1"/>
  <c r="H62" i="57" s="1"/>
  <c r="H70" i="57" s="1"/>
  <c r="H71" i="57" s="1"/>
  <c r="H110" i="57" l="1"/>
  <c r="H72" i="57"/>
  <c r="H74" i="57"/>
  <c r="H51" i="56"/>
  <c r="H58" i="56" s="1"/>
  <c r="H59" i="56" s="1"/>
  <c r="H56" i="56"/>
  <c r="I81" i="57"/>
  <c r="I82" i="57" s="1"/>
  <c r="I87" i="57" s="1"/>
  <c r="H98" i="56"/>
  <c r="H101" i="56"/>
  <c r="H102" i="56" s="1"/>
  <c r="H103" i="56" s="1"/>
  <c r="H107" i="56" s="1"/>
  <c r="H108" i="56" s="1"/>
  <c r="D6" i="11"/>
  <c r="D7" i="11" s="1"/>
  <c r="D134" i="28"/>
  <c r="G50" i="11"/>
  <c r="F65" i="11" s="1"/>
  <c r="G49" i="11"/>
  <c r="F66" i="11" s="1"/>
  <c r="F50" i="11"/>
  <c r="D65" i="11" s="1"/>
  <c r="F49" i="11"/>
  <c r="D66" i="11" s="1"/>
  <c r="E50" i="11"/>
  <c r="F60" i="11" s="1"/>
  <c r="E49" i="11"/>
  <c r="F61" i="11" s="1"/>
  <c r="D50" i="11"/>
  <c r="D60" i="11" s="1"/>
  <c r="D49" i="11"/>
  <c r="D61" i="11" s="1"/>
  <c r="G21" i="11"/>
  <c r="F21" i="11"/>
  <c r="F20" i="11"/>
  <c r="E21" i="11"/>
  <c r="E20" i="11"/>
  <c r="D21" i="11"/>
  <c r="D20" i="11"/>
  <c r="D29" i="11" s="1"/>
  <c r="G14" i="11"/>
  <c r="F14" i="11"/>
  <c r="E14" i="11"/>
  <c r="D14" i="11"/>
  <c r="G6" i="11"/>
  <c r="G9" i="11" s="1"/>
  <c r="G83" i="11" s="1"/>
  <c r="F6" i="11"/>
  <c r="F7" i="11" s="1"/>
  <c r="E6" i="11"/>
  <c r="E7" i="11" s="1"/>
  <c r="E81" i="11" l="1"/>
  <c r="F81" i="11"/>
  <c r="D15" i="11"/>
  <c r="H109" i="56"/>
  <c r="I78" i="56" s="1"/>
  <c r="I95" i="56" s="1"/>
  <c r="H110" i="56"/>
  <c r="H57" i="56"/>
  <c r="H60" i="56"/>
  <c r="H61" i="56" s="1"/>
  <c r="H62" i="56" s="1"/>
  <c r="H70" i="56" s="1"/>
  <c r="H71" i="56" s="1"/>
  <c r="I84" i="57"/>
  <c r="I89" i="57"/>
  <c r="I83" i="57"/>
  <c r="I85" i="57"/>
  <c r="I86" i="57"/>
  <c r="I90" i="57"/>
  <c r="I88" i="57"/>
  <c r="I91" i="57" s="1"/>
  <c r="I38" i="57"/>
  <c r="H73" i="57"/>
  <c r="I37" i="57" s="1"/>
  <c r="I54" i="57" s="1"/>
  <c r="C60" i="11"/>
  <c r="E28" i="11"/>
  <c r="E65" i="11"/>
  <c r="F15" i="11"/>
  <c r="F9" i="11"/>
  <c r="F83" i="11" s="1"/>
  <c r="D9" i="11"/>
  <c r="D83" i="11" s="1"/>
  <c r="E9" i="11"/>
  <c r="E83" i="11" s="1"/>
  <c r="G8" i="11"/>
  <c r="G82" i="11" s="1"/>
  <c r="G86" i="11" s="1"/>
  <c r="G7" i="11"/>
  <c r="F8" i="11"/>
  <c r="F82" i="11" s="1"/>
  <c r="E8" i="11"/>
  <c r="E82" i="11" s="1"/>
  <c r="D8" i="11"/>
  <c r="D82" i="11" s="1"/>
  <c r="E15" i="11"/>
  <c r="G15" i="11"/>
  <c r="E60" i="11"/>
  <c r="E83" i="28"/>
  <c r="E84" i="28"/>
  <c r="E85" i="28"/>
  <c r="E86" i="28"/>
  <c r="E87" i="28"/>
  <c r="F34" i="11"/>
  <c r="F33" i="11"/>
  <c r="D34" i="11"/>
  <c r="D33" i="11"/>
  <c r="F29" i="11"/>
  <c r="F28" i="11"/>
  <c r="D28" i="11"/>
  <c r="C33" i="11"/>
  <c r="F85" i="11" l="1"/>
  <c r="E85" i="11"/>
  <c r="G81" i="11"/>
  <c r="G85" i="11" s="1"/>
  <c r="G42" i="11"/>
  <c r="H72" i="56"/>
  <c r="H74" i="56"/>
  <c r="I40" i="57"/>
  <c r="I41" i="57" s="1"/>
  <c r="I46" i="57" s="1"/>
  <c r="I67" i="57"/>
  <c r="I68" i="57" s="1"/>
  <c r="I69" i="57" s="1"/>
  <c r="I97" i="57"/>
  <c r="I92" i="57"/>
  <c r="I99" i="57" s="1"/>
  <c r="I100" i="57" s="1"/>
  <c r="I81" i="56"/>
  <c r="I82" i="56" s="1"/>
  <c r="I87" i="56" s="1"/>
  <c r="D81" i="11"/>
  <c r="D85" i="11" s="1"/>
  <c r="C62" i="11"/>
  <c r="D18" i="11"/>
  <c r="C30" i="11" s="1"/>
  <c r="D30" i="11" s="1"/>
  <c r="D22" i="11" s="1"/>
  <c r="C91" i="28" a="1"/>
  <c r="C91" i="28" s="1"/>
  <c r="F86" i="11"/>
  <c r="E86" i="11"/>
  <c r="D86" i="11"/>
  <c r="D23" i="11" l="1"/>
  <c r="D24" i="11" s="1"/>
  <c r="I98" i="57"/>
  <c r="I101" i="57"/>
  <c r="I102" i="57" s="1"/>
  <c r="I103" i="57" s="1"/>
  <c r="I107" i="57" s="1"/>
  <c r="I108" i="57" s="1"/>
  <c r="I49" i="57"/>
  <c r="I42" i="57"/>
  <c r="I43" i="57"/>
  <c r="I44" i="57"/>
  <c r="I45" i="57"/>
  <c r="I48" i="57"/>
  <c r="I47" i="57"/>
  <c r="I50" i="57" s="1"/>
  <c r="I84" i="56"/>
  <c r="I89" i="56"/>
  <c r="I90" i="56"/>
  <c r="I85" i="56"/>
  <c r="I83" i="56"/>
  <c r="I86" i="56"/>
  <c r="I88" i="56"/>
  <c r="I91" i="56" s="1"/>
  <c r="I38" i="56"/>
  <c r="H73" i="56"/>
  <c r="I37" i="56" s="1"/>
  <c r="I54" i="56" s="1"/>
  <c r="F91" i="28"/>
  <c r="D91" i="28"/>
  <c r="E91" i="28"/>
  <c r="D62" i="11"/>
  <c r="D94" i="28" l="1"/>
  <c r="C38" i="11" s="1"/>
  <c r="D39" i="11"/>
  <c r="I51" i="57"/>
  <c r="I58" i="57" s="1"/>
  <c r="I59" i="57" s="1"/>
  <c r="I67" i="56"/>
  <c r="I68" i="56" s="1"/>
  <c r="I69" i="56" s="1"/>
  <c r="I40" i="56"/>
  <c r="I41" i="56" s="1"/>
  <c r="I46" i="56" s="1"/>
  <c r="I56" i="57"/>
  <c r="I109" i="57"/>
  <c r="J78" i="57" s="1"/>
  <c r="J95" i="57" s="1"/>
  <c r="I110" i="57"/>
  <c r="I97" i="56"/>
  <c r="I92" i="56"/>
  <c r="I99" i="56" s="1"/>
  <c r="I100" i="56" s="1"/>
  <c r="D51" i="11"/>
  <c r="E39" i="11"/>
  <c r="G39" i="11"/>
  <c r="F39" i="11"/>
  <c r="D54" i="11" l="1"/>
  <c r="D56" i="11" s="1"/>
  <c r="D52" i="11"/>
  <c r="D55" i="11" s="1"/>
  <c r="I98" i="56"/>
  <c r="I101" i="56"/>
  <c r="I102" i="56" s="1"/>
  <c r="I103" i="56" s="1"/>
  <c r="I107" i="56" s="1"/>
  <c r="I108" i="56" s="1"/>
  <c r="J81" i="57"/>
  <c r="J82" i="57" s="1"/>
  <c r="J87" i="57" s="1"/>
  <c r="I57" i="57"/>
  <c r="I60" i="57"/>
  <c r="I61" i="57" s="1"/>
  <c r="I62" i="57" s="1"/>
  <c r="I70" i="57" s="1"/>
  <c r="I71" i="57" s="1"/>
  <c r="I49" i="56"/>
  <c r="I47" i="56"/>
  <c r="I50" i="56" s="1"/>
  <c r="I43" i="56"/>
  <c r="I48" i="56"/>
  <c r="I44" i="56"/>
  <c r="I45" i="56"/>
  <c r="I42" i="56"/>
  <c r="D76" i="47"/>
  <c r="D82" i="47" s="1"/>
  <c r="D83" i="47" s="1"/>
  <c r="D75" i="47" s="1"/>
  <c r="D40" i="11"/>
  <c r="D42" i="11" s="1"/>
  <c r="E40" i="11"/>
  <c r="F40" i="11"/>
  <c r="G40" i="11"/>
  <c r="I56" i="56" l="1"/>
  <c r="I57" i="56" s="1"/>
  <c r="I51" i="56"/>
  <c r="I58" i="56" s="1"/>
  <c r="I59" i="56" s="1"/>
  <c r="J84" i="57"/>
  <c r="J86" i="57"/>
  <c r="J90" i="57"/>
  <c r="J89" i="57"/>
  <c r="J83" i="57"/>
  <c r="J85" i="57"/>
  <c r="J88" i="57"/>
  <c r="J91" i="57" s="1"/>
  <c r="I72" i="57"/>
  <c r="I74" i="57"/>
  <c r="I110" i="56"/>
  <c r="I109" i="56"/>
  <c r="J78" i="56" s="1"/>
  <c r="J95" i="56" s="1"/>
  <c r="G76" i="47"/>
  <c r="C106" i="41"/>
  <c r="E74" i="41"/>
  <c r="J92" i="57" l="1"/>
  <c r="J99" i="57" s="1"/>
  <c r="J100" i="57" s="1"/>
  <c r="J81" i="56"/>
  <c r="J82" i="56" s="1"/>
  <c r="J87" i="56" s="1"/>
  <c r="I73" i="57"/>
  <c r="J37" i="57" s="1"/>
  <c r="J54" i="57" s="1"/>
  <c r="J38" i="57"/>
  <c r="I60" i="56"/>
  <c r="I61" i="56" s="1"/>
  <c r="I62" i="56" s="1"/>
  <c r="I70" i="56" s="1"/>
  <c r="I71" i="56" s="1"/>
  <c r="J97" i="57"/>
  <c r="G82" i="47"/>
  <c r="D88" i="47"/>
  <c r="N11" i="42"/>
  <c r="J11" i="42" s="1"/>
  <c r="L79" i="47" l="1"/>
  <c r="T11" i="47" s="1"/>
  <c r="V11" i="47" s="1"/>
  <c r="J90" i="56"/>
  <c r="J86" i="56"/>
  <c r="J88" i="56"/>
  <c r="J91" i="56" s="1"/>
  <c r="J85" i="56"/>
  <c r="J89" i="56"/>
  <c r="J83" i="56"/>
  <c r="J84" i="56"/>
  <c r="J98" i="57"/>
  <c r="J101" i="57"/>
  <c r="J102" i="57" s="1"/>
  <c r="J103" i="57" s="1"/>
  <c r="J107" i="57" s="1"/>
  <c r="J108" i="57" s="1"/>
  <c r="I72" i="56"/>
  <c r="I74" i="56"/>
  <c r="J40" i="57"/>
  <c r="J41" i="57" s="1"/>
  <c r="J46" i="57" s="1"/>
  <c r="J67" i="57"/>
  <c r="J68" i="57" s="1"/>
  <c r="J69" i="57" s="1"/>
  <c r="G75" i="47"/>
  <c r="D89" i="47"/>
  <c r="G89" i="47" s="1"/>
  <c r="L81" i="47" s="1"/>
  <c r="G83" i="47"/>
  <c r="D87" i="47"/>
  <c r="G88" i="47"/>
  <c r="Q11" i="47" s="1"/>
  <c r="S11" i="47" s="1"/>
  <c r="E75" i="44"/>
  <c r="U7" i="44"/>
  <c r="C122" i="44" s="1"/>
  <c r="F215" i="44" s="1"/>
  <c r="F214" i="44" s="1"/>
  <c r="R7" i="44"/>
  <c r="R22" i="44" s="1"/>
  <c r="S22" i="44" s="1"/>
  <c r="O7" i="44"/>
  <c r="O25" i="44" s="1"/>
  <c r="H192" i="44"/>
  <c r="H191" i="44"/>
  <c r="H190" i="44"/>
  <c r="H189" i="44"/>
  <c r="H188" i="44"/>
  <c r="H187" i="44"/>
  <c r="H186" i="44"/>
  <c r="H185" i="44"/>
  <c r="H184" i="44"/>
  <c r="H183" i="44"/>
  <c r="H182" i="44"/>
  <c r="H181" i="44"/>
  <c r="H180" i="44"/>
  <c r="H179" i="44"/>
  <c r="H178" i="44"/>
  <c r="H177" i="44"/>
  <c r="H176" i="44"/>
  <c r="H175" i="44"/>
  <c r="H174" i="44"/>
  <c r="H173" i="44"/>
  <c r="H172" i="44"/>
  <c r="H171" i="44"/>
  <c r="H170" i="44"/>
  <c r="H169" i="44"/>
  <c r="H168" i="44"/>
  <c r="H167" i="44"/>
  <c r="H166" i="44"/>
  <c r="H165" i="44"/>
  <c r="H164" i="44"/>
  <c r="H163" i="44"/>
  <c r="H162" i="44"/>
  <c r="H161" i="44"/>
  <c r="H160" i="44"/>
  <c r="H159" i="44"/>
  <c r="H158" i="44"/>
  <c r="H157" i="44"/>
  <c r="H156" i="44"/>
  <c r="H155" i="44"/>
  <c r="H154" i="44"/>
  <c r="H153" i="44"/>
  <c r="H152" i="44"/>
  <c r="H151" i="44"/>
  <c r="H150" i="44"/>
  <c r="H149" i="44"/>
  <c r="H148" i="44"/>
  <c r="H147" i="44"/>
  <c r="H146" i="44"/>
  <c r="H145" i="44"/>
  <c r="H144" i="44"/>
  <c r="H143" i="44"/>
  <c r="H142" i="44"/>
  <c r="H141" i="44"/>
  <c r="H140" i="44"/>
  <c r="H139" i="44"/>
  <c r="H138" i="44"/>
  <c r="H137" i="44"/>
  <c r="H136" i="44"/>
  <c r="H135" i="44"/>
  <c r="H134" i="44"/>
  <c r="H133" i="44"/>
  <c r="H132" i="44"/>
  <c r="H131" i="44"/>
  <c r="H130" i="44"/>
  <c r="H129" i="44"/>
  <c r="H128" i="44"/>
  <c r="H127" i="44"/>
  <c r="H126" i="44"/>
  <c r="H125" i="44"/>
  <c r="H124" i="44"/>
  <c r="H123" i="44"/>
  <c r="H122" i="44"/>
  <c r="H121" i="44"/>
  <c r="H120" i="44"/>
  <c r="H119" i="44"/>
  <c r="H118" i="44"/>
  <c r="H117" i="44"/>
  <c r="H116" i="44"/>
  <c r="H115" i="44"/>
  <c r="H114" i="44"/>
  <c r="H113" i="44"/>
  <c r="H112" i="44"/>
  <c r="H111" i="44"/>
  <c r="H110" i="44"/>
  <c r="H109" i="44"/>
  <c r="H108" i="44"/>
  <c r="H107" i="44"/>
  <c r="H106" i="44"/>
  <c r="H105" i="44"/>
  <c r="C106" i="44"/>
  <c r="D92" i="44"/>
  <c r="C110" i="44" s="1"/>
  <c r="F74" i="44"/>
  <c r="E74" i="44"/>
  <c r="D74" i="44"/>
  <c r="N26" i="44"/>
  <c r="N25" i="44"/>
  <c r="N24" i="44"/>
  <c r="D64" i="44"/>
  <c r="D63" i="44"/>
  <c r="D62" i="44"/>
  <c r="E62" i="44"/>
  <c r="D61" i="44"/>
  <c r="E61" i="44"/>
  <c r="E60" i="44"/>
  <c r="D60" i="44"/>
  <c r="E59" i="44"/>
  <c r="E58" i="44"/>
  <c r="E56" i="44"/>
  <c r="D55" i="44"/>
  <c r="H55" i="44" s="1"/>
  <c r="D54" i="44"/>
  <c r="H53" i="44"/>
  <c r="I53" i="44"/>
  <c r="F42" i="44"/>
  <c r="E29" i="44"/>
  <c r="B29" i="44"/>
  <c r="N23" i="44"/>
  <c r="L23" i="44" s="1"/>
  <c r="C23" i="44"/>
  <c r="N22" i="44"/>
  <c r="K22" i="44"/>
  <c r="I22" i="44"/>
  <c r="H22" i="44"/>
  <c r="G22" i="44"/>
  <c r="F22" i="44"/>
  <c r="N21" i="44"/>
  <c r="J21" i="44" s="1"/>
  <c r="C21" i="44"/>
  <c r="N20" i="44"/>
  <c r="K20" i="44" s="1"/>
  <c r="N19" i="44"/>
  <c r="M19" i="44" s="1"/>
  <c r="N17" i="44"/>
  <c r="L17" i="44" s="1"/>
  <c r="M16" i="44"/>
  <c r="L16" i="44"/>
  <c r="K16" i="44"/>
  <c r="J16" i="44"/>
  <c r="C16" i="44"/>
  <c r="N15" i="44"/>
  <c r="M15" i="44" s="1"/>
  <c r="N14" i="44"/>
  <c r="K14" i="44" s="1"/>
  <c r="N13" i="44"/>
  <c r="L13" i="44" s="1"/>
  <c r="N12" i="44"/>
  <c r="M12" i="44" s="1"/>
  <c r="L12" i="44"/>
  <c r="K12" i="44"/>
  <c r="J12" i="44"/>
  <c r="N11" i="44"/>
  <c r="K11" i="44" s="1"/>
  <c r="D92" i="43"/>
  <c r="C110" i="43" s="1"/>
  <c r="D92" i="42"/>
  <c r="C110" i="42" s="1"/>
  <c r="D92" i="41"/>
  <c r="C110" i="41" s="1"/>
  <c r="E75" i="43"/>
  <c r="U7" i="43"/>
  <c r="U22" i="43" s="1"/>
  <c r="V22" i="43" s="1"/>
  <c r="R7" i="43"/>
  <c r="R14" i="43" s="1"/>
  <c r="S14" i="43" s="1"/>
  <c r="O7" i="43"/>
  <c r="O11" i="43" s="1"/>
  <c r="H192" i="43"/>
  <c r="H191" i="43"/>
  <c r="H190" i="43"/>
  <c r="H189" i="43"/>
  <c r="H188" i="43"/>
  <c r="H187" i="43"/>
  <c r="H186" i="43"/>
  <c r="H185" i="43"/>
  <c r="H184" i="43"/>
  <c r="H183" i="43"/>
  <c r="H182" i="43"/>
  <c r="H181" i="43"/>
  <c r="H180" i="43"/>
  <c r="H179" i="43"/>
  <c r="H178" i="43"/>
  <c r="H177" i="43"/>
  <c r="H176" i="43"/>
  <c r="H175" i="43"/>
  <c r="H174" i="43"/>
  <c r="H173" i="43"/>
  <c r="H172" i="43"/>
  <c r="H171" i="43"/>
  <c r="H170" i="43"/>
  <c r="H169" i="43"/>
  <c r="H168" i="43"/>
  <c r="H167" i="43"/>
  <c r="H166" i="43"/>
  <c r="H165" i="43"/>
  <c r="H164" i="43"/>
  <c r="H163" i="43"/>
  <c r="H162" i="43"/>
  <c r="H161" i="43"/>
  <c r="H160" i="43"/>
  <c r="H159" i="43"/>
  <c r="H158" i="43"/>
  <c r="H157" i="43"/>
  <c r="H156" i="43"/>
  <c r="H155" i="43"/>
  <c r="H154" i="43"/>
  <c r="H153" i="43"/>
  <c r="H152" i="43"/>
  <c r="H151" i="43"/>
  <c r="H150" i="43"/>
  <c r="H149" i="43"/>
  <c r="H148" i="43"/>
  <c r="H147" i="43"/>
  <c r="H146" i="43"/>
  <c r="H145" i="43"/>
  <c r="H144" i="43"/>
  <c r="H143" i="43"/>
  <c r="H142" i="43"/>
  <c r="H141" i="43"/>
  <c r="H140" i="43"/>
  <c r="H139" i="43"/>
  <c r="H138" i="43"/>
  <c r="H137" i="43"/>
  <c r="H136" i="43"/>
  <c r="H135" i="43"/>
  <c r="H134" i="43"/>
  <c r="H133" i="43"/>
  <c r="H132" i="43"/>
  <c r="H131" i="43"/>
  <c r="H130" i="43"/>
  <c r="H129" i="43"/>
  <c r="H128" i="43"/>
  <c r="H127" i="43"/>
  <c r="H126" i="43"/>
  <c r="H125" i="43"/>
  <c r="H124" i="43"/>
  <c r="H123" i="43"/>
  <c r="H122" i="43"/>
  <c r="H121" i="43"/>
  <c r="H120" i="43"/>
  <c r="H119" i="43"/>
  <c r="H118" i="43"/>
  <c r="H117" i="43"/>
  <c r="H116" i="43"/>
  <c r="H115" i="43"/>
  <c r="H114" i="43"/>
  <c r="H113" i="43"/>
  <c r="H112" i="43"/>
  <c r="H111" i="43"/>
  <c r="H110" i="43"/>
  <c r="H109" i="43"/>
  <c r="H108" i="43"/>
  <c r="H107" i="43"/>
  <c r="H106" i="43"/>
  <c r="H105" i="43"/>
  <c r="F74" i="43"/>
  <c r="E74" i="43"/>
  <c r="D74" i="43"/>
  <c r="N26" i="43"/>
  <c r="L26" i="43" s="1"/>
  <c r="N25" i="43"/>
  <c r="N24" i="43"/>
  <c r="L24" i="43" s="1"/>
  <c r="E64" i="43"/>
  <c r="D63" i="43"/>
  <c r="D62" i="43"/>
  <c r="E62" i="43"/>
  <c r="E61" i="43"/>
  <c r="E60" i="43"/>
  <c r="E58" i="43"/>
  <c r="E56" i="43"/>
  <c r="D55" i="43"/>
  <c r="H55" i="43" s="1"/>
  <c r="N12" i="43"/>
  <c r="H53" i="43"/>
  <c r="I53" i="43"/>
  <c r="F42" i="43"/>
  <c r="E29" i="43"/>
  <c r="B29" i="43"/>
  <c r="C23" i="43"/>
  <c r="I22" i="43"/>
  <c r="H22" i="43"/>
  <c r="G22" i="43"/>
  <c r="F22" i="43"/>
  <c r="N21" i="43"/>
  <c r="M21" i="43" s="1"/>
  <c r="L21" i="43"/>
  <c r="K21" i="43"/>
  <c r="C21" i="43"/>
  <c r="N17" i="43"/>
  <c r="L17" i="43" s="1"/>
  <c r="M16" i="43"/>
  <c r="L16" i="43"/>
  <c r="K16" i="43"/>
  <c r="J16" i="43"/>
  <c r="C16" i="43"/>
  <c r="N14" i="43"/>
  <c r="M14" i="43" s="1"/>
  <c r="N11" i="43"/>
  <c r="L11" i="43" s="1"/>
  <c r="E75" i="42"/>
  <c r="G75" i="42" s="1"/>
  <c r="U7" i="41"/>
  <c r="U7" i="42"/>
  <c r="C122" i="42" s="1"/>
  <c r="F215" i="42" s="1"/>
  <c r="F214" i="42" s="1"/>
  <c r="O7" i="42"/>
  <c r="O25" i="42" s="1"/>
  <c r="R7" i="42"/>
  <c r="R14" i="42" s="1"/>
  <c r="S14" i="42" s="1"/>
  <c r="H192" i="42"/>
  <c r="H191" i="42"/>
  <c r="H190" i="42"/>
  <c r="H189" i="42"/>
  <c r="H188" i="42"/>
  <c r="H187" i="42"/>
  <c r="H186" i="42"/>
  <c r="H185" i="42"/>
  <c r="H184" i="42"/>
  <c r="H183" i="42"/>
  <c r="H182" i="42"/>
  <c r="H181" i="42"/>
  <c r="H180" i="42"/>
  <c r="H179" i="42"/>
  <c r="H178" i="42"/>
  <c r="H177" i="42"/>
  <c r="H176" i="42"/>
  <c r="H175" i="42"/>
  <c r="H174" i="42"/>
  <c r="H173" i="42"/>
  <c r="H172" i="42"/>
  <c r="H171" i="42"/>
  <c r="H170" i="42"/>
  <c r="H169" i="42"/>
  <c r="H168" i="42"/>
  <c r="H167" i="42"/>
  <c r="H166" i="42"/>
  <c r="H165" i="42"/>
  <c r="H164" i="42"/>
  <c r="H163" i="42"/>
  <c r="H162" i="42"/>
  <c r="H161" i="42"/>
  <c r="H160" i="42"/>
  <c r="H159" i="42"/>
  <c r="H158" i="42"/>
  <c r="H157" i="42"/>
  <c r="H156" i="42"/>
  <c r="H155" i="42"/>
  <c r="H154" i="42"/>
  <c r="H153" i="42"/>
  <c r="H152" i="42"/>
  <c r="H151" i="42"/>
  <c r="H150" i="42"/>
  <c r="H149" i="42"/>
  <c r="H148" i="42"/>
  <c r="H147" i="42"/>
  <c r="H146" i="42"/>
  <c r="H145" i="42"/>
  <c r="H144" i="42"/>
  <c r="H143" i="42"/>
  <c r="H142" i="42"/>
  <c r="H141" i="42"/>
  <c r="H140" i="42"/>
  <c r="H139" i="42"/>
  <c r="H138" i="42"/>
  <c r="H137" i="42"/>
  <c r="H136" i="42"/>
  <c r="H135" i="42"/>
  <c r="H134" i="42"/>
  <c r="H133" i="42"/>
  <c r="H132" i="42"/>
  <c r="H131" i="42"/>
  <c r="H130" i="42"/>
  <c r="H129" i="42"/>
  <c r="H128" i="42"/>
  <c r="H127" i="42"/>
  <c r="H126" i="42"/>
  <c r="H125" i="42"/>
  <c r="H124" i="42"/>
  <c r="H123" i="42"/>
  <c r="H122" i="42"/>
  <c r="H121" i="42"/>
  <c r="H120" i="42"/>
  <c r="H119" i="42"/>
  <c r="H118" i="42"/>
  <c r="H117" i="42"/>
  <c r="H116" i="42"/>
  <c r="H115" i="42"/>
  <c r="H114" i="42"/>
  <c r="H113" i="42"/>
  <c r="H112" i="42"/>
  <c r="H111" i="42"/>
  <c r="H110" i="42"/>
  <c r="H109" i="42"/>
  <c r="H108" i="42"/>
  <c r="H107" i="42"/>
  <c r="H106" i="42"/>
  <c r="H105" i="42"/>
  <c r="D74" i="42"/>
  <c r="F74" i="42"/>
  <c r="E74" i="42"/>
  <c r="N26" i="42"/>
  <c r="G66" i="42"/>
  <c r="H66" i="42" s="1"/>
  <c r="N24" i="42"/>
  <c r="D64" i="42"/>
  <c r="E63" i="42"/>
  <c r="D63" i="42"/>
  <c r="E62" i="42"/>
  <c r="D62" i="42"/>
  <c r="I62" i="42" s="1"/>
  <c r="E61" i="42"/>
  <c r="E60" i="42"/>
  <c r="E59" i="42"/>
  <c r="D58" i="42"/>
  <c r="I58" i="42" s="1"/>
  <c r="E58" i="42"/>
  <c r="E57" i="42"/>
  <c r="H57" i="42" s="1"/>
  <c r="E56" i="42"/>
  <c r="D55" i="42"/>
  <c r="H55" i="42" s="1"/>
  <c r="N12" i="42"/>
  <c r="M12" i="42" s="1"/>
  <c r="H53" i="42"/>
  <c r="F42" i="42"/>
  <c r="E29" i="42"/>
  <c r="B29" i="42"/>
  <c r="N25" i="42"/>
  <c r="L25" i="42" s="1"/>
  <c r="C23" i="42"/>
  <c r="I22" i="42"/>
  <c r="H22" i="42"/>
  <c r="G22" i="42"/>
  <c r="F22" i="42"/>
  <c r="N21" i="42"/>
  <c r="M21" i="42" s="1"/>
  <c r="C21" i="42"/>
  <c r="K21" i="42" s="1"/>
  <c r="N18" i="42"/>
  <c r="M18" i="42" s="1"/>
  <c r="J18" i="42"/>
  <c r="N17" i="42"/>
  <c r="L17" i="42" s="1"/>
  <c r="K17" i="42"/>
  <c r="J17" i="42"/>
  <c r="M16" i="42"/>
  <c r="L16" i="42"/>
  <c r="J16" i="42"/>
  <c r="C16" i="42"/>
  <c r="K16" i="42" s="1"/>
  <c r="N14" i="42"/>
  <c r="K14" i="42" s="1"/>
  <c r="N13" i="42"/>
  <c r="L13" i="42" s="1"/>
  <c r="O7" i="41"/>
  <c r="O15" i="41" s="1"/>
  <c r="R7" i="41"/>
  <c r="R20" i="41" s="1"/>
  <c r="S20" i="41" s="1"/>
  <c r="C16" i="41"/>
  <c r="J16" i="41"/>
  <c r="L16" i="41"/>
  <c r="M16" i="41"/>
  <c r="C21" i="41"/>
  <c r="F22" i="41"/>
  <c r="G22" i="41"/>
  <c r="H22" i="41"/>
  <c r="I22" i="41"/>
  <c r="C23" i="41"/>
  <c r="N23" i="41"/>
  <c r="L23" i="41" s="1"/>
  <c r="N25" i="41"/>
  <c r="M25" i="41" s="1"/>
  <c r="B29" i="41"/>
  <c r="E29" i="41"/>
  <c r="F42" i="41"/>
  <c r="N11" i="41"/>
  <c r="L11" i="41" s="1"/>
  <c r="H53" i="41"/>
  <c r="N12" i="41"/>
  <c r="J12" i="41" s="1"/>
  <c r="N13" i="41"/>
  <c r="N14" i="41"/>
  <c r="E57" i="41"/>
  <c r="H57" i="41" s="1"/>
  <c r="D58" i="41"/>
  <c r="E60" i="41"/>
  <c r="D61" i="41"/>
  <c r="E62" i="41"/>
  <c r="N22" i="41"/>
  <c r="E64" i="41"/>
  <c r="N24" i="41"/>
  <c r="M24" i="41" s="1"/>
  <c r="D65" i="41"/>
  <c r="G66" i="41"/>
  <c r="G51" i="41" s="1"/>
  <c r="N26" i="41"/>
  <c r="M26" i="41" s="1"/>
  <c r="D74" i="41"/>
  <c r="F7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U14" i="44" l="1"/>
  <c r="V14" i="44" s="1"/>
  <c r="J48" i="57"/>
  <c r="J49" i="57"/>
  <c r="J43" i="57"/>
  <c r="J42" i="57"/>
  <c r="J47" i="57"/>
  <c r="J50" i="57" s="1"/>
  <c r="J44" i="57"/>
  <c r="J45" i="57"/>
  <c r="J38" i="56"/>
  <c r="I73" i="56"/>
  <c r="J37" i="56" s="1"/>
  <c r="J54" i="56" s="1"/>
  <c r="J97" i="56"/>
  <c r="J110" i="57"/>
  <c r="J109" i="57"/>
  <c r="K78" i="57" s="1"/>
  <c r="K95" i="57" s="1"/>
  <c r="J92" i="56"/>
  <c r="J99" i="56" s="1"/>
  <c r="J100" i="56" s="1"/>
  <c r="D85" i="47"/>
  <c r="G85" i="47" s="1"/>
  <c r="G87" i="47"/>
  <c r="L77" i="47" s="1"/>
  <c r="L75" i="47" s="1"/>
  <c r="C124" i="47" s="1"/>
  <c r="Q15" i="47"/>
  <c r="S15" i="47" s="1"/>
  <c r="L86" i="47"/>
  <c r="C125" i="47" s="1"/>
  <c r="U11" i="42"/>
  <c r="U11" i="44"/>
  <c r="U26" i="44"/>
  <c r="U20" i="44"/>
  <c r="V20" i="44" s="1"/>
  <c r="U22" i="44"/>
  <c r="V22" i="44" s="1"/>
  <c r="O17" i="43"/>
  <c r="P17" i="43" s="1"/>
  <c r="U14" i="42"/>
  <c r="V14" i="42" s="1"/>
  <c r="U17" i="42"/>
  <c r="V17" i="42" s="1"/>
  <c r="O23" i="43"/>
  <c r="R16" i="42"/>
  <c r="S16" i="42" s="1"/>
  <c r="R22" i="42"/>
  <c r="S22" i="42" s="1"/>
  <c r="U20" i="43"/>
  <c r="V20" i="43" s="1"/>
  <c r="R26" i="42"/>
  <c r="S26" i="42" s="1"/>
  <c r="R11" i="42"/>
  <c r="R19" i="42"/>
  <c r="S19" i="42" s="1"/>
  <c r="U12" i="43"/>
  <c r="V12" i="43" s="1"/>
  <c r="O13" i="43"/>
  <c r="U14" i="43"/>
  <c r="V14" i="43" s="1"/>
  <c r="U11" i="43"/>
  <c r="G74" i="41"/>
  <c r="M21" i="44"/>
  <c r="J11" i="44"/>
  <c r="M13" i="44"/>
  <c r="M17" i="44"/>
  <c r="H60" i="44"/>
  <c r="H63" i="43"/>
  <c r="J11" i="43"/>
  <c r="K11" i="43"/>
  <c r="L18" i="42"/>
  <c r="M13" i="42"/>
  <c r="M25" i="42"/>
  <c r="U20" i="42"/>
  <c r="V20" i="42" s="1"/>
  <c r="R14" i="44"/>
  <c r="S14" i="44" s="1"/>
  <c r="R16" i="44"/>
  <c r="S16" i="44" s="1"/>
  <c r="O25" i="41"/>
  <c r="P25" i="41" s="1"/>
  <c r="O21" i="41"/>
  <c r="R19" i="43"/>
  <c r="S19" i="43" s="1"/>
  <c r="C122" i="43"/>
  <c r="F215" i="43" s="1"/>
  <c r="F214" i="43" s="1"/>
  <c r="H214" i="43" s="1"/>
  <c r="H216" i="43" s="1"/>
  <c r="F216" i="43" s="1"/>
  <c r="G216" i="43" s="1"/>
  <c r="O17" i="41"/>
  <c r="P17" i="41" s="1"/>
  <c r="R26" i="43"/>
  <c r="S26" i="43" s="1"/>
  <c r="R19" i="44"/>
  <c r="S19" i="44" s="1"/>
  <c r="R16" i="43"/>
  <c r="S16" i="43" s="1"/>
  <c r="O22" i="41"/>
  <c r="P22" i="41" s="1"/>
  <c r="U16" i="43"/>
  <c r="O22" i="43"/>
  <c r="R11" i="44"/>
  <c r="R26" i="44"/>
  <c r="S26" i="44" s="1"/>
  <c r="O16" i="41"/>
  <c r="P16" i="41" s="1"/>
  <c r="I64" i="41"/>
  <c r="H64" i="41"/>
  <c r="L11" i="42"/>
  <c r="M11" i="42"/>
  <c r="K11" i="42"/>
  <c r="M12" i="43"/>
  <c r="K12" i="43"/>
  <c r="J12" i="43"/>
  <c r="L12" i="43"/>
  <c r="H58" i="41"/>
  <c r="N20" i="41"/>
  <c r="J20" i="41" s="1"/>
  <c r="N17" i="41"/>
  <c r="L17" i="41" s="1"/>
  <c r="J13" i="42"/>
  <c r="N19" i="42"/>
  <c r="K19" i="42" s="1"/>
  <c r="J25" i="42"/>
  <c r="K17" i="43"/>
  <c r="N19" i="43"/>
  <c r="N22" i="43"/>
  <c r="L11" i="44"/>
  <c r="K19" i="44"/>
  <c r="K21" i="44"/>
  <c r="E63" i="41"/>
  <c r="H55" i="41"/>
  <c r="K13" i="42"/>
  <c r="I53" i="42"/>
  <c r="P11" i="43"/>
  <c r="M17" i="43"/>
  <c r="C106" i="43"/>
  <c r="M11" i="44"/>
  <c r="L19" i="44"/>
  <c r="L21" i="44"/>
  <c r="C51" i="44"/>
  <c r="K14" i="43"/>
  <c r="N20" i="43"/>
  <c r="K20" i="43" s="1"/>
  <c r="J13" i="44"/>
  <c r="J17" i="44"/>
  <c r="I62" i="44"/>
  <c r="G74" i="44"/>
  <c r="G75" i="44" s="1"/>
  <c r="E58" i="41"/>
  <c r="D54" i="42"/>
  <c r="H54" i="42" s="1"/>
  <c r="D60" i="42"/>
  <c r="I60" i="42" s="1"/>
  <c r="L14" i="43"/>
  <c r="D54" i="43"/>
  <c r="I54" i="43" s="1"/>
  <c r="D60" i="43"/>
  <c r="E63" i="43"/>
  <c r="I63" i="43" s="1"/>
  <c r="K13" i="44"/>
  <c r="K17" i="44"/>
  <c r="K23" i="44"/>
  <c r="E61" i="41"/>
  <c r="H61" i="41" s="1"/>
  <c r="N20" i="42"/>
  <c r="K20" i="42"/>
  <c r="C106" i="42"/>
  <c r="J21" i="43"/>
  <c r="L20" i="44"/>
  <c r="J23" i="44"/>
  <c r="M23" i="44"/>
  <c r="E63" i="44"/>
  <c r="D61" i="42"/>
  <c r="E56" i="41"/>
  <c r="H56" i="41" s="1"/>
  <c r="N15" i="42"/>
  <c r="M15" i="42" s="1"/>
  <c r="M17" i="42"/>
  <c r="N23" i="42"/>
  <c r="H58" i="42"/>
  <c r="E64" i="42"/>
  <c r="I64" i="42" s="1"/>
  <c r="M11" i="43"/>
  <c r="J17" i="43"/>
  <c r="E65" i="43"/>
  <c r="J19" i="44"/>
  <c r="I61" i="44"/>
  <c r="E64" i="44"/>
  <c r="I64" i="44" s="1"/>
  <c r="O21" i="44"/>
  <c r="P21" i="44" s="1"/>
  <c r="O19" i="44"/>
  <c r="P19" i="44" s="1"/>
  <c r="O22" i="44"/>
  <c r="P22" i="44" s="1"/>
  <c r="I56" i="44"/>
  <c r="H56" i="44"/>
  <c r="M25" i="44"/>
  <c r="L25" i="44"/>
  <c r="K25" i="44"/>
  <c r="J25" i="44"/>
  <c r="P25" i="44"/>
  <c r="H214" i="44"/>
  <c r="H216" i="44" s="1"/>
  <c r="F216" i="44" s="1"/>
  <c r="G216" i="44" s="1"/>
  <c r="G214" i="44"/>
  <c r="H61" i="44"/>
  <c r="M24" i="44"/>
  <c r="L24" i="44"/>
  <c r="J24" i="44"/>
  <c r="K24" i="44"/>
  <c r="M26" i="44"/>
  <c r="L26" i="44"/>
  <c r="J26" i="44"/>
  <c r="K26" i="44"/>
  <c r="I63" i="44"/>
  <c r="H63" i="44"/>
  <c r="R12" i="44"/>
  <c r="S12" i="44" s="1"/>
  <c r="J14" i="44"/>
  <c r="O15" i="44"/>
  <c r="P15" i="44" s="1"/>
  <c r="U18" i="44"/>
  <c r="V18" i="44" s="1"/>
  <c r="M20" i="44"/>
  <c r="R21" i="44"/>
  <c r="S21" i="44" s="1"/>
  <c r="J22" i="44"/>
  <c r="U24" i="44"/>
  <c r="V24" i="44" s="1"/>
  <c r="H54" i="44"/>
  <c r="D65" i="44"/>
  <c r="F67" i="44"/>
  <c r="O23" i="44"/>
  <c r="P23" i="44" s="1"/>
  <c r="U12" i="44"/>
  <c r="V12" i="44" s="1"/>
  <c r="L14" i="44"/>
  <c r="U16" i="44"/>
  <c r="O20" i="44"/>
  <c r="P20" i="44" s="1"/>
  <c r="U21" i="44"/>
  <c r="V21" i="44" s="1"/>
  <c r="L22" i="44"/>
  <c r="R25" i="44"/>
  <c r="E57" i="44"/>
  <c r="H57" i="44" s="1"/>
  <c r="D59" i="44"/>
  <c r="I60" i="44"/>
  <c r="C109" i="44"/>
  <c r="O17" i="44"/>
  <c r="P17" i="44" s="1"/>
  <c r="E65" i="44"/>
  <c r="R13" i="44"/>
  <c r="S13" i="44" s="1"/>
  <c r="M14" i="44"/>
  <c r="J15" i="44"/>
  <c r="R15" i="44"/>
  <c r="R17" i="44"/>
  <c r="S17" i="44" s="1"/>
  <c r="N18" i="44"/>
  <c r="N27" i="44" s="1"/>
  <c r="U19" i="44"/>
  <c r="V19" i="44" s="1"/>
  <c r="M22" i="44"/>
  <c r="R23" i="44"/>
  <c r="S23" i="44" s="1"/>
  <c r="H62" i="44"/>
  <c r="L87" i="44"/>
  <c r="O11" i="44"/>
  <c r="P11" i="44" s="1"/>
  <c r="O13" i="44"/>
  <c r="P13" i="44" s="1"/>
  <c r="K15" i="44"/>
  <c r="O18" i="44"/>
  <c r="R20" i="44"/>
  <c r="S20" i="44" s="1"/>
  <c r="O24" i="44"/>
  <c r="P24" i="44" s="1"/>
  <c r="O26" i="44"/>
  <c r="P26" i="44" s="1"/>
  <c r="I54" i="44"/>
  <c r="O14" i="44"/>
  <c r="P14" i="44" s="1"/>
  <c r="L15" i="44"/>
  <c r="O16" i="44"/>
  <c r="P16" i="44" s="1"/>
  <c r="U17" i="44"/>
  <c r="V17" i="44" s="1"/>
  <c r="J20" i="44"/>
  <c r="U23" i="44"/>
  <c r="V23" i="44" s="1"/>
  <c r="U25" i="44"/>
  <c r="D58" i="44"/>
  <c r="G66" i="44"/>
  <c r="O12" i="44"/>
  <c r="P12" i="44" s="1"/>
  <c r="U13" i="44"/>
  <c r="U15" i="44"/>
  <c r="R18" i="44"/>
  <c r="S18" i="44" s="1"/>
  <c r="R24" i="44"/>
  <c r="S24" i="44" s="1"/>
  <c r="U26" i="43"/>
  <c r="U21" i="43"/>
  <c r="V21" i="43" s="1"/>
  <c r="I56" i="43"/>
  <c r="H56" i="43"/>
  <c r="M24" i="43"/>
  <c r="K24" i="43"/>
  <c r="J24" i="43"/>
  <c r="E57" i="43"/>
  <c r="H57" i="43" s="1"/>
  <c r="N15" i="43"/>
  <c r="M20" i="43"/>
  <c r="L20" i="43"/>
  <c r="I62" i="43"/>
  <c r="H62" i="43"/>
  <c r="D59" i="43"/>
  <c r="E59" i="43"/>
  <c r="N18" i="43"/>
  <c r="M26" i="43"/>
  <c r="K26" i="43"/>
  <c r="J26" i="43"/>
  <c r="M25" i="43"/>
  <c r="L25" i="43"/>
  <c r="J25" i="43"/>
  <c r="K25" i="43"/>
  <c r="O21" i="43"/>
  <c r="P21" i="43" s="1"/>
  <c r="O12" i="43"/>
  <c r="P12" i="43" s="1"/>
  <c r="O16" i="43"/>
  <c r="P16" i="43" s="1"/>
  <c r="O14" i="43"/>
  <c r="P14" i="43" s="1"/>
  <c r="O26" i="43"/>
  <c r="P26" i="43" s="1"/>
  <c r="O24" i="43"/>
  <c r="P24" i="43" s="1"/>
  <c r="O18" i="43"/>
  <c r="O20" i="43"/>
  <c r="O15" i="43"/>
  <c r="O25" i="43"/>
  <c r="P25" i="43" s="1"/>
  <c r="O19" i="43"/>
  <c r="P19" i="43" s="1"/>
  <c r="G74" i="43"/>
  <c r="R22" i="43"/>
  <c r="S22" i="43" s="1"/>
  <c r="R12" i="43"/>
  <c r="S12" i="43" s="1"/>
  <c r="N13" i="43"/>
  <c r="J14" i="43"/>
  <c r="U18" i="43"/>
  <c r="V18" i="43" s="1"/>
  <c r="R21" i="43"/>
  <c r="S21" i="43" s="1"/>
  <c r="J22" i="43"/>
  <c r="N23" i="43"/>
  <c r="U24" i="43"/>
  <c r="V24" i="43" s="1"/>
  <c r="H54" i="43"/>
  <c r="D65" i="43"/>
  <c r="F67" i="43"/>
  <c r="R17" i="43"/>
  <c r="S17" i="43" s="1"/>
  <c r="U19" i="43"/>
  <c r="V19" i="43" s="1"/>
  <c r="R23" i="43"/>
  <c r="S23" i="43" s="1"/>
  <c r="D64" i="43"/>
  <c r="L87" i="43"/>
  <c r="R13" i="43"/>
  <c r="S13" i="43" s="1"/>
  <c r="R11" i="43"/>
  <c r="R20" i="43"/>
  <c r="S20" i="43" s="1"/>
  <c r="C51" i="43"/>
  <c r="D61" i="43"/>
  <c r="C109" i="43"/>
  <c r="U17" i="43"/>
  <c r="V17" i="43" s="1"/>
  <c r="U23" i="43"/>
  <c r="V23" i="43" s="1"/>
  <c r="U25" i="43"/>
  <c r="D58" i="43"/>
  <c r="G66" i="43"/>
  <c r="R25" i="43"/>
  <c r="R15" i="43"/>
  <c r="U13" i="43"/>
  <c r="U15" i="43"/>
  <c r="R18" i="43"/>
  <c r="S18" i="43" s="1"/>
  <c r="R24" i="43"/>
  <c r="S24" i="43" s="1"/>
  <c r="O19" i="42"/>
  <c r="O22" i="42"/>
  <c r="P25" i="42"/>
  <c r="O21" i="42"/>
  <c r="P21" i="42" s="1"/>
  <c r="H214" i="42"/>
  <c r="H216" i="42" s="1"/>
  <c r="F216" i="42" s="1"/>
  <c r="G216" i="42" s="1"/>
  <c r="G214" i="42"/>
  <c r="M26" i="42"/>
  <c r="L26" i="42"/>
  <c r="J26" i="42"/>
  <c r="M24" i="42"/>
  <c r="L24" i="42"/>
  <c r="J24" i="42"/>
  <c r="I63" i="42"/>
  <c r="H63" i="42"/>
  <c r="I56" i="42"/>
  <c r="H56" i="42"/>
  <c r="R12" i="42"/>
  <c r="S12" i="42" s="1"/>
  <c r="J14" i="42"/>
  <c r="O15" i="42"/>
  <c r="P15" i="42" s="1"/>
  <c r="K18" i="42"/>
  <c r="U18" i="42"/>
  <c r="V18" i="42" s="1"/>
  <c r="M20" i="42"/>
  <c r="R21" i="42"/>
  <c r="S21" i="42" s="1"/>
  <c r="K24" i="42"/>
  <c r="U24" i="42"/>
  <c r="V24" i="42" s="1"/>
  <c r="K26" i="42"/>
  <c r="G51" i="42"/>
  <c r="D65" i="42"/>
  <c r="F67" i="42"/>
  <c r="O17" i="42"/>
  <c r="P17" i="42" s="1"/>
  <c r="J21" i="42"/>
  <c r="U22" i="42"/>
  <c r="V22" i="42" s="1"/>
  <c r="O23" i="42"/>
  <c r="P23" i="42" s="1"/>
  <c r="U26" i="42"/>
  <c r="H60" i="42"/>
  <c r="E65" i="42"/>
  <c r="E51" i="42" s="1"/>
  <c r="K12" i="42"/>
  <c r="U12" i="42"/>
  <c r="V12" i="42" s="1"/>
  <c r="L14" i="42"/>
  <c r="U16" i="42"/>
  <c r="O20" i="42"/>
  <c r="P20" i="42" s="1"/>
  <c r="U21" i="42"/>
  <c r="V21" i="42" s="1"/>
  <c r="R25" i="42"/>
  <c r="D59" i="42"/>
  <c r="C109" i="42"/>
  <c r="O11" i="42"/>
  <c r="P11" i="42" s="1"/>
  <c r="J12" i="42"/>
  <c r="O13" i="42"/>
  <c r="P13" i="42" s="1"/>
  <c r="L12" i="42"/>
  <c r="R13" i="42"/>
  <c r="S13" i="42" s="1"/>
  <c r="M14" i="42"/>
  <c r="J15" i="42"/>
  <c r="R15" i="42"/>
  <c r="R17" i="42"/>
  <c r="S17" i="42" s="1"/>
  <c r="U19" i="42"/>
  <c r="V19" i="42" s="1"/>
  <c r="L21" i="42"/>
  <c r="R23" i="42"/>
  <c r="S23" i="42" s="1"/>
  <c r="K25" i="42"/>
  <c r="H62" i="42"/>
  <c r="L87" i="42"/>
  <c r="K15" i="42"/>
  <c r="O18" i="42"/>
  <c r="P18" i="42" s="1"/>
  <c r="R20" i="42"/>
  <c r="S20" i="42" s="1"/>
  <c r="N22" i="42"/>
  <c r="N27" i="42" s="1"/>
  <c r="O24" i="42"/>
  <c r="P24" i="42" s="1"/>
  <c r="O26" i="42"/>
  <c r="P26" i="42" s="1"/>
  <c r="C51" i="42"/>
  <c r="O14" i="42"/>
  <c r="P14" i="42" s="1"/>
  <c r="U23" i="42"/>
  <c r="V23" i="42" s="1"/>
  <c r="U25" i="42"/>
  <c r="L15" i="42"/>
  <c r="O16" i="42"/>
  <c r="P16" i="42" s="1"/>
  <c r="O12" i="42"/>
  <c r="P12" i="42" s="1"/>
  <c r="U13" i="42"/>
  <c r="U15" i="42"/>
  <c r="R18" i="42"/>
  <c r="S18" i="42" s="1"/>
  <c r="R24" i="42"/>
  <c r="S24" i="42" s="1"/>
  <c r="U17" i="41"/>
  <c r="V17" i="41" s="1"/>
  <c r="U25" i="41"/>
  <c r="U15" i="41"/>
  <c r="U20" i="41"/>
  <c r="V20" i="41" s="1"/>
  <c r="U14" i="41"/>
  <c r="V14" i="41" s="1"/>
  <c r="L87" i="41"/>
  <c r="U22" i="41"/>
  <c r="V22" i="41" s="1"/>
  <c r="U16" i="41"/>
  <c r="U13" i="41"/>
  <c r="C122" i="41"/>
  <c r="F215" i="41" s="1"/>
  <c r="F214" i="41" s="1"/>
  <c r="G214" i="41" s="1"/>
  <c r="U12" i="41"/>
  <c r="V12" i="41" s="1"/>
  <c r="U24" i="41"/>
  <c r="V24" i="41" s="1"/>
  <c r="U18" i="41"/>
  <c r="V18" i="41" s="1"/>
  <c r="U11" i="41"/>
  <c r="U19" i="41"/>
  <c r="V19" i="41" s="1"/>
  <c r="U23" i="41"/>
  <c r="V23" i="41" s="1"/>
  <c r="U21" i="41"/>
  <c r="V21" i="41" s="1"/>
  <c r="U26" i="41"/>
  <c r="R13" i="41"/>
  <c r="S13" i="41" s="1"/>
  <c r="R15" i="41"/>
  <c r="R17" i="41"/>
  <c r="S17" i="41" s="1"/>
  <c r="R21" i="41"/>
  <c r="S21" i="41" s="1"/>
  <c r="R16" i="41"/>
  <c r="S16" i="41" s="1"/>
  <c r="R12" i="41"/>
  <c r="S12" i="41" s="1"/>
  <c r="R25" i="41"/>
  <c r="R23" i="41"/>
  <c r="S23" i="41" s="1"/>
  <c r="R19" i="41"/>
  <c r="S19" i="41" s="1"/>
  <c r="R26" i="41"/>
  <c r="S26" i="41" s="1"/>
  <c r="R24" i="41"/>
  <c r="S24" i="41" s="1"/>
  <c r="R18" i="41"/>
  <c r="S18" i="41" s="1"/>
  <c r="C109" i="41"/>
  <c r="R14" i="41"/>
  <c r="S14" i="41" s="1"/>
  <c r="R11" i="41"/>
  <c r="O23" i="41"/>
  <c r="P23" i="41" s="1"/>
  <c r="O12" i="41"/>
  <c r="P12" i="41" s="1"/>
  <c r="O19" i="41"/>
  <c r="O13" i="41"/>
  <c r="P13" i="41" s="1"/>
  <c r="O11" i="41"/>
  <c r="P11" i="41" s="1"/>
  <c r="G75" i="41"/>
  <c r="I60" i="41"/>
  <c r="H60" i="41"/>
  <c r="L14" i="41"/>
  <c r="M14" i="41"/>
  <c r="K12" i="41"/>
  <c r="K16" i="41"/>
  <c r="K25" i="41"/>
  <c r="K13" i="41"/>
  <c r="K11" i="41"/>
  <c r="M17" i="41"/>
  <c r="J13" i="41"/>
  <c r="M11" i="41"/>
  <c r="F67" i="41"/>
  <c r="D63" i="41"/>
  <c r="C51" i="41"/>
  <c r="N21" i="41"/>
  <c r="K21" i="41" s="1"/>
  <c r="M20" i="41"/>
  <c r="N19" i="41"/>
  <c r="K19" i="41" s="1"/>
  <c r="M13" i="41"/>
  <c r="J11" i="41"/>
  <c r="L22" i="41"/>
  <c r="M22" i="41"/>
  <c r="R22" i="41"/>
  <c r="S22" i="41" s="1"/>
  <c r="K17" i="41"/>
  <c r="K14" i="41"/>
  <c r="L13" i="41"/>
  <c r="H66" i="41"/>
  <c r="J23" i="41"/>
  <c r="N15" i="41"/>
  <c r="J14" i="41"/>
  <c r="L26" i="41"/>
  <c r="L24" i="41"/>
  <c r="M23" i="41"/>
  <c r="O20" i="41"/>
  <c r="P20" i="41" s="1"/>
  <c r="O14" i="41"/>
  <c r="P14" i="41" s="1"/>
  <c r="O18" i="41"/>
  <c r="O24" i="41"/>
  <c r="P24" i="41" s="1"/>
  <c r="O26" i="41"/>
  <c r="P26" i="41" s="1"/>
  <c r="J17" i="41"/>
  <c r="K26" i="41"/>
  <c r="J25" i="41"/>
  <c r="L25" i="41"/>
  <c r="K24" i="41"/>
  <c r="K22" i="41"/>
  <c r="E65" i="41"/>
  <c r="H65" i="41" s="1"/>
  <c r="N18" i="41"/>
  <c r="E59" i="41"/>
  <c r="L12" i="41"/>
  <c r="M12" i="41"/>
  <c r="J26" i="41"/>
  <c r="J24" i="41"/>
  <c r="K23" i="41"/>
  <c r="J22" i="41"/>
  <c r="C132" i="47" l="1"/>
  <c r="C127" i="47" s="1"/>
  <c r="G208" i="47" s="1"/>
  <c r="F208" i="47" s="1"/>
  <c r="J51" i="57"/>
  <c r="J58" i="57" s="1"/>
  <c r="J59" i="57" s="1"/>
  <c r="J56" i="57"/>
  <c r="K81" i="57"/>
  <c r="K82" i="57" s="1"/>
  <c r="K87" i="57" s="1"/>
  <c r="J98" i="56"/>
  <c r="J101" i="56"/>
  <c r="J102" i="56" s="1"/>
  <c r="J103" i="56" s="1"/>
  <c r="J107" i="56" s="1"/>
  <c r="J108" i="56" s="1"/>
  <c r="J67" i="56"/>
  <c r="J68" i="56" s="1"/>
  <c r="J69" i="56" s="1"/>
  <c r="J40" i="56"/>
  <c r="J41" i="56" s="1"/>
  <c r="J46" i="56" s="1"/>
  <c r="Q25" i="47"/>
  <c r="H64" i="44"/>
  <c r="J20" i="43"/>
  <c r="P20" i="43"/>
  <c r="P22" i="43"/>
  <c r="D51" i="43"/>
  <c r="N27" i="41"/>
  <c r="E51" i="41"/>
  <c r="I61" i="41"/>
  <c r="H64" i="42"/>
  <c r="P19" i="42"/>
  <c r="G214" i="43"/>
  <c r="G215" i="43" s="1"/>
  <c r="C138" i="43" s="1"/>
  <c r="H61" i="42"/>
  <c r="I61" i="42"/>
  <c r="I60" i="43"/>
  <c r="H60" i="43"/>
  <c r="K20" i="41"/>
  <c r="L20" i="41"/>
  <c r="L20" i="42"/>
  <c r="J20" i="42"/>
  <c r="J27" i="42" s="1"/>
  <c r="M22" i="43"/>
  <c r="L22" i="43"/>
  <c r="K22" i="43"/>
  <c r="L23" i="42"/>
  <c r="K23" i="42"/>
  <c r="K27" i="42" s="1"/>
  <c r="J23" i="42"/>
  <c r="M23" i="42"/>
  <c r="M19" i="43"/>
  <c r="L19" i="43"/>
  <c r="K19" i="43"/>
  <c r="J19" i="43"/>
  <c r="I54" i="42"/>
  <c r="M19" i="42"/>
  <c r="M27" i="42" s="1"/>
  <c r="L19" i="42"/>
  <c r="L27" i="42" s="1"/>
  <c r="K31" i="42" s="1"/>
  <c r="J19" i="42"/>
  <c r="H66" i="44"/>
  <c r="G51" i="44"/>
  <c r="I59" i="44"/>
  <c r="H59" i="44"/>
  <c r="L18" i="44"/>
  <c r="L27" i="44" s="1"/>
  <c r="K31" i="44" s="1"/>
  <c r="P18" i="44"/>
  <c r="P27" i="44" s="1"/>
  <c r="M18" i="44"/>
  <c r="M27" i="44" s="1"/>
  <c r="J18" i="44"/>
  <c r="J27" i="44" s="1"/>
  <c r="K18" i="44"/>
  <c r="K27" i="44" s="1"/>
  <c r="F197" i="44"/>
  <c r="F196" i="44"/>
  <c r="H58" i="44"/>
  <c r="I58" i="44"/>
  <c r="H67" i="44"/>
  <c r="F51" i="44"/>
  <c r="L80" i="44" s="1"/>
  <c r="G215" i="44"/>
  <c r="C138" i="44" s="1"/>
  <c r="I65" i="44"/>
  <c r="H65" i="44"/>
  <c r="D51" i="44"/>
  <c r="E51" i="44"/>
  <c r="L78" i="43"/>
  <c r="F197" i="43"/>
  <c r="F196" i="43"/>
  <c r="H61" i="43"/>
  <c r="I61" i="43"/>
  <c r="G75" i="43"/>
  <c r="M15" i="43"/>
  <c r="L15" i="43"/>
  <c r="J15" i="43"/>
  <c r="K15" i="43"/>
  <c r="P15" i="43"/>
  <c r="L23" i="43"/>
  <c r="J23" i="43"/>
  <c r="P23" i="43"/>
  <c r="M23" i="43"/>
  <c r="F51" i="43"/>
  <c r="L80" i="43" s="1"/>
  <c r="H67" i="43"/>
  <c r="M18" i="43"/>
  <c r="P18" i="43"/>
  <c r="K18" i="43"/>
  <c r="J18" i="43"/>
  <c r="L18" i="43"/>
  <c r="E51" i="43"/>
  <c r="H66" i="43"/>
  <c r="G51" i="43"/>
  <c r="I58" i="43"/>
  <c r="I51" i="43" s="1"/>
  <c r="H58" i="43"/>
  <c r="H65" i="43"/>
  <c r="I65" i="43"/>
  <c r="L13" i="43"/>
  <c r="K13" i="43"/>
  <c r="J13" i="43"/>
  <c r="J27" i="43" s="1"/>
  <c r="P13" i="43"/>
  <c r="N27" i="43"/>
  <c r="M13" i="43"/>
  <c r="K23" i="43"/>
  <c r="I64" i="43"/>
  <c r="H64" i="43"/>
  <c r="I59" i="43"/>
  <c r="H59" i="43"/>
  <c r="I51" i="42"/>
  <c r="I59" i="42"/>
  <c r="H59" i="42"/>
  <c r="F51" i="42"/>
  <c r="L80" i="42" s="1"/>
  <c r="H67" i="42"/>
  <c r="H51" i="42" s="1"/>
  <c r="I65" i="42"/>
  <c r="H65" i="42"/>
  <c r="G215" i="42"/>
  <c r="C138" i="42" s="1"/>
  <c r="F197" i="42"/>
  <c r="F196" i="42"/>
  <c r="D51" i="42"/>
  <c r="P22" i="42"/>
  <c r="M22" i="42"/>
  <c r="L22" i="42"/>
  <c r="K22" i="42"/>
  <c r="J22" i="42"/>
  <c r="H214" i="41"/>
  <c r="H216" i="41" s="1"/>
  <c r="F216" i="41" s="1"/>
  <c r="G216" i="41" s="1"/>
  <c r="F197" i="41"/>
  <c r="F196" i="41"/>
  <c r="M18" i="41"/>
  <c r="J18" i="41"/>
  <c r="P18" i="41"/>
  <c r="L18" i="41"/>
  <c r="J19" i="41"/>
  <c r="L19" i="41"/>
  <c r="M19" i="41"/>
  <c r="P19" i="41"/>
  <c r="H62" i="41"/>
  <c r="I62" i="41"/>
  <c r="L21" i="41"/>
  <c r="M21" i="41"/>
  <c r="J21" i="41"/>
  <c r="P21" i="41"/>
  <c r="H67" i="41"/>
  <c r="F51" i="41"/>
  <c r="L80" i="41" s="1"/>
  <c r="I65" i="41"/>
  <c r="H59" i="41"/>
  <c r="I59" i="41"/>
  <c r="H54" i="41"/>
  <c r="J15" i="41"/>
  <c r="J27" i="41" s="1"/>
  <c r="L15" i="41"/>
  <c r="M15" i="41"/>
  <c r="M27" i="41" s="1"/>
  <c r="P15" i="41"/>
  <c r="I63" i="41"/>
  <c r="H63" i="41"/>
  <c r="K15" i="41"/>
  <c r="K18" i="41"/>
  <c r="J110" i="56" l="1"/>
  <c r="J109" i="56"/>
  <c r="K78" i="56" s="1"/>
  <c r="K95" i="56" s="1"/>
  <c r="K85" i="57"/>
  <c r="K83" i="57"/>
  <c r="K88" i="57"/>
  <c r="K91" i="57" s="1"/>
  <c r="K90" i="57"/>
  <c r="K89" i="57"/>
  <c r="K84" i="57"/>
  <c r="K86" i="57"/>
  <c r="J43" i="56"/>
  <c r="J48" i="56"/>
  <c r="J49" i="56"/>
  <c r="J45" i="56"/>
  <c r="J44" i="56"/>
  <c r="J42" i="56"/>
  <c r="J47" i="56"/>
  <c r="J50" i="56" s="1"/>
  <c r="J60" i="57"/>
  <c r="J61" i="57" s="1"/>
  <c r="J62" i="57" s="1"/>
  <c r="J70" i="57" s="1"/>
  <c r="J71" i="57" s="1"/>
  <c r="J57" i="57"/>
  <c r="S25" i="47"/>
  <c r="S27" i="47" s="1"/>
  <c r="G5" i="47" s="1"/>
  <c r="Q27" i="47"/>
  <c r="T25" i="47"/>
  <c r="V25" i="47" s="1"/>
  <c r="P27" i="42"/>
  <c r="H51" i="44"/>
  <c r="I51" i="44"/>
  <c r="F79" i="44" s="1"/>
  <c r="P27" i="43"/>
  <c r="H51" i="43"/>
  <c r="L27" i="43"/>
  <c r="K31" i="43" s="1"/>
  <c r="L27" i="41"/>
  <c r="K31" i="41" s="1"/>
  <c r="K27" i="41"/>
  <c r="H51" i="41"/>
  <c r="E76" i="41" s="1"/>
  <c r="P27" i="41"/>
  <c r="D79" i="44"/>
  <c r="D82" i="44" s="1"/>
  <c r="D83" i="44" s="1"/>
  <c r="K32" i="44"/>
  <c r="J31" i="44"/>
  <c r="J32" i="44" s="1"/>
  <c r="T26" i="44"/>
  <c r="V26" i="44" s="1"/>
  <c r="L78" i="44"/>
  <c r="H196" i="44"/>
  <c r="H198" i="44" s="1"/>
  <c r="F198" i="44" s="1"/>
  <c r="G198" i="44" s="1"/>
  <c r="G196" i="44"/>
  <c r="T26" i="43"/>
  <c r="V26" i="43" s="1"/>
  <c r="K27" i="43"/>
  <c r="H196" i="43"/>
  <c r="H198" i="43" s="1"/>
  <c r="F198" i="43" s="1"/>
  <c r="G198" i="43" s="1"/>
  <c r="G196" i="43"/>
  <c r="K32" i="43"/>
  <c r="D79" i="43"/>
  <c r="F79" i="43"/>
  <c r="E79" i="43"/>
  <c r="M27" i="43"/>
  <c r="J31" i="43" s="1"/>
  <c r="J32" i="43" s="1"/>
  <c r="T13" i="43"/>
  <c r="V13" i="43" s="1"/>
  <c r="T26" i="42"/>
  <c r="V26" i="42" s="1"/>
  <c r="J31" i="42"/>
  <c r="J32" i="42" s="1"/>
  <c r="K32" i="42"/>
  <c r="D79" i="42"/>
  <c r="E79" i="42"/>
  <c r="F79" i="42"/>
  <c r="F82" i="42" s="1"/>
  <c r="L78" i="42"/>
  <c r="H196" i="42"/>
  <c r="H198" i="42" s="1"/>
  <c r="F198" i="42" s="1"/>
  <c r="G198" i="42" s="1"/>
  <c r="G196" i="42"/>
  <c r="G215" i="41"/>
  <c r="C138" i="41" s="1"/>
  <c r="G196" i="41"/>
  <c r="H196" i="41"/>
  <c r="H198" i="41" s="1"/>
  <c r="F198" i="41" s="1"/>
  <c r="G198" i="41" s="1"/>
  <c r="K32" i="41"/>
  <c r="J31" i="41"/>
  <c r="J32" i="41" s="1"/>
  <c r="L78" i="41"/>
  <c r="T26" i="41"/>
  <c r="V26" i="41" s="1"/>
  <c r="J51" i="56" l="1"/>
  <c r="J58" i="56" s="1"/>
  <c r="J59" i="56" s="1"/>
  <c r="K97" i="57"/>
  <c r="J72" i="57"/>
  <c r="J74" i="57"/>
  <c r="J56" i="56"/>
  <c r="K92" i="57"/>
  <c r="K99" i="57" s="1"/>
  <c r="K100" i="57" s="1"/>
  <c r="K81" i="56"/>
  <c r="K82" i="56" s="1"/>
  <c r="K87" i="56" s="1"/>
  <c r="N77" i="47"/>
  <c r="N79" i="47"/>
  <c r="M79" i="47"/>
  <c r="M77" i="47"/>
  <c r="M81" i="47"/>
  <c r="M80" i="47"/>
  <c r="N80" i="47"/>
  <c r="N78" i="47"/>
  <c r="M78" i="47"/>
  <c r="E79" i="44"/>
  <c r="E82" i="44" s="1"/>
  <c r="E88" i="44" s="1"/>
  <c r="F80" i="44"/>
  <c r="G197" i="44"/>
  <c r="C112" i="44" s="1"/>
  <c r="C113" i="44" s="1"/>
  <c r="F82" i="44"/>
  <c r="K33" i="44"/>
  <c r="K35" i="44" s="1"/>
  <c r="K37" i="44" s="1"/>
  <c r="K36" i="44"/>
  <c r="T13" i="44"/>
  <c r="V13" i="44" s="1"/>
  <c r="D80" i="44"/>
  <c r="D75" i="44" s="1"/>
  <c r="D88" i="44"/>
  <c r="D87" i="44" s="1"/>
  <c r="J33" i="44"/>
  <c r="J35" i="44" s="1"/>
  <c r="J37" i="44" s="1"/>
  <c r="J36" i="44"/>
  <c r="E80" i="44"/>
  <c r="G79" i="44"/>
  <c r="J33" i="43"/>
  <c r="J35" i="43" s="1"/>
  <c r="J37" i="43" s="1"/>
  <c r="J36" i="43"/>
  <c r="E80" i="43"/>
  <c r="E82" i="43"/>
  <c r="G79" i="43"/>
  <c r="F80" i="43"/>
  <c r="K33" i="43"/>
  <c r="K35" i="43" s="1"/>
  <c r="K37" i="43" s="1"/>
  <c r="K36" i="43"/>
  <c r="D80" i="43"/>
  <c r="G197" i="43"/>
  <c r="C112" i="43" s="1"/>
  <c r="C113" i="43" s="1"/>
  <c r="C115" i="43" s="1"/>
  <c r="E89" i="43" s="1"/>
  <c r="G89" i="43" s="1"/>
  <c r="F82" i="43"/>
  <c r="D82" i="43"/>
  <c r="D83" i="43" s="1"/>
  <c r="D75" i="43" s="1"/>
  <c r="G197" i="42"/>
  <c r="C112" i="42" s="1"/>
  <c r="C113" i="42" s="1"/>
  <c r="J36" i="42"/>
  <c r="J33" i="42"/>
  <c r="J35" i="42" s="1"/>
  <c r="J37" i="42" s="1"/>
  <c r="E80" i="42"/>
  <c r="E82" i="42"/>
  <c r="G79" i="42"/>
  <c r="D80" i="42"/>
  <c r="K33" i="42"/>
  <c r="K35" i="42" s="1"/>
  <c r="K37" i="42" s="1"/>
  <c r="K36" i="42"/>
  <c r="F83" i="42"/>
  <c r="F75" i="42"/>
  <c r="F76" i="42"/>
  <c r="T13" i="42"/>
  <c r="V13" i="42" s="1"/>
  <c r="F88" i="42"/>
  <c r="F87" i="42" s="1"/>
  <c r="F85" i="42" s="1"/>
  <c r="F80" i="42"/>
  <c r="D82" i="42"/>
  <c r="D83" i="42" s="1"/>
  <c r="G197" i="41"/>
  <c r="C112" i="41" s="1"/>
  <c r="C113" i="41" s="1"/>
  <c r="C115" i="41" s="1"/>
  <c r="T13" i="41"/>
  <c r="V13" i="41" s="1"/>
  <c r="D79" i="41"/>
  <c r="F79" i="41"/>
  <c r="J33" i="41"/>
  <c r="J35" i="41" s="1"/>
  <c r="J37" i="41" s="1"/>
  <c r="J36" i="41"/>
  <c r="K33" i="41"/>
  <c r="K35" i="41" s="1"/>
  <c r="K37" i="41" s="1"/>
  <c r="K36" i="41"/>
  <c r="K89" i="56" l="1"/>
  <c r="K83" i="56"/>
  <c r="K85" i="56"/>
  <c r="K86" i="56"/>
  <c r="K84" i="56"/>
  <c r="K88" i="56"/>
  <c r="K91" i="56" s="1"/>
  <c r="K90" i="56"/>
  <c r="J60" i="56"/>
  <c r="J61" i="56" s="1"/>
  <c r="J62" i="56" s="1"/>
  <c r="J70" i="56" s="1"/>
  <c r="J71" i="56" s="1"/>
  <c r="J57" i="56"/>
  <c r="J73" i="57"/>
  <c r="K37" i="57" s="1"/>
  <c r="K54" i="57" s="1"/>
  <c r="K38" i="57"/>
  <c r="K98" i="57"/>
  <c r="K101" i="57"/>
  <c r="K102" i="57" s="1"/>
  <c r="K103" i="57" s="1"/>
  <c r="K107" i="57" s="1"/>
  <c r="K108" i="57" s="1"/>
  <c r="E77" i="47"/>
  <c r="D77" i="47"/>
  <c r="G77" i="47" s="1"/>
  <c r="M83" i="47"/>
  <c r="L89" i="47" s="1"/>
  <c r="D130" i="47"/>
  <c r="M75" i="47"/>
  <c r="C129" i="47"/>
  <c r="N75" i="47"/>
  <c r="D88" i="42"/>
  <c r="D87" i="42" s="1"/>
  <c r="F83" i="44"/>
  <c r="F75" i="44"/>
  <c r="F76" i="44"/>
  <c r="E87" i="44"/>
  <c r="G88" i="44"/>
  <c r="Q11" i="44" s="1"/>
  <c r="E83" i="44"/>
  <c r="G83" i="44" s="1"/>
  <c r="G80" i="44"/>
  <c r="C115" i="44"/>
  <c r="C118" i="44"/>
  <c r="G203" i="44" s="1"/>
  <c r="G202" i="44" s="1"/>
  <c r="F202" i="44" s="1"/>
  <c r="F88" i="44"/>
  <c r="F87" i="44" s="1"/>
  <c r="F85" i="44" s="1"/>
  <c r="E76" i="44"/>
  <c r="G76" i="44" s="1"/>
  <c r="G82" i="44"/>
  <c r="L79" i="44" s="1"/>
  <c r="F83" i="43"/>
  <c r="F76" i="43"/>
  <c r="F75" i="43"/>
  <c r="E76" i="43"/>
  <c r="G76" i="43" s="1"/>
  <c r="G82" i="43"/>
  <c r="L79" i="43" s="1"/>
  <c r="E88" i="43"/>
  <c r="E83" i="43"/>
  <c r="G83" i="43" s="1"/>
  <c r="G80" i="43"/>
  <c r="F88" i="43"/>
  <c r="F87" i="43" s="1"/>
  <c r="F85" i="43" s="1"/>
  <c r="C118" i="43"/>
  <c r="G203" i="43" s="1"/>
  <c r="G202" i="43" s="1"/>
  <c r="F202" i="43" s="1"/>
  <c r="D88" i="43"/>
  <c r="D87" i="43" s="1"/>
  <c r="C115" i="42"/>
  <c r="C118" i="42"/>
  <c r="G203" i="42" s="1"/>
  <c r="G202" i="42" s="1"/>
  <c r="F202" i="42" s="1"/>
  <c r="E76" i="42"/>
  <c r="G76" i="42" s="1"/>
  <c r="G82" i="42"/>
  <c r="L79" i="42" s="1"/>
  <c r="E88" i="42"/>
  <c r="D75" i="42"/>
  <c r="E83" i="42"/>
  <c r="G83" i="42" s="1"/>
  <c r="G80" i="42"/>
  <c r="C116" i="41"/>
  <c r="C118" i="41"/>
  <c r="G203" i="41" s="1"/>
  <c r="G202" i="41" s="1"/>
  <c r="F202" i="41" s="1"/>
  <c r="H202" i="41" s="1"/>
  <c r="H204" i="41" s="1"/>
  <c r="F204" i="41" s="1"/>
  <c r="G204" i="41" s="1"/>
  <c r="F203" i="41" s="1"/>
  <c r="C119" i="41" s="1"/>
  <c r="D93" i="41" s="1"/>
  <c r="D80" i="41"/>
  <c r="D82" i="41"/>
  <c r="D83" i="41" s="1"/>
  <c r="F80" i="41"/>
  <c r="F82" i="41"/>
  <c r="E80" i="41"/>
  <c r="E89" i="41" s="1"/>
  <c r="G89" i="41" s="1"/>
  <c r="Q15" i="41" s="1"/>
  <c r="S15" i="41" s="1"/>
  <c r="G79" i="41"/>
  <c r="E88" i="41" l="1"/>
  <c r="G88" i="41" s="1"/>
  <c r="Q11" i="41" s="1"/>
  <c r="S11" i="41" s="1"/>
  <c r="D75" i="41"/>
  <c r="K97" i="56"/>
  <c r="K98" i="56" s="1"/>
  <c r="K110" i="57"/>
  <c r="E27" i="57" s="1"/>
  <c r="K109" i="57"/>
  <c r="E26" i="57" s="1"/>
  <c r="K92" i="56"/>
  <c r="K99" i="56" s="1"/>
  <c r="K100" i="56" s="1"/>
  <c r="K40" i="57"/>
  <c r="K41" i="57" s="1"/>
  <c r="K46" i="57" s="1"/>
  <c r="K67" i="57"/>
  <c r="K68" i="57" s="1"/>
  <c r="K69" i="57" s="1"/>
  <c r="J74" i="56"/>
  <c r="J72" i="56"/>
  <c r="L90" i="47"/>
  <c r="C130" i="47"/>
  <c r="C133" i="47"/>
  <c r="G87" i="44"/>
  <c r="C116" i="44"/>
  <c r="D89" i="44"/>
  <c r="D85" i="44" s="1"/>
  <c r="F89" i="44"/>
  <c r="E89" i="44"/>
  <c r="G89" i="44" s="1"/>
  <c r="T11" i="44"/>
  <c r="S11" i="44"/>
  <c r="H202" i="44"/>
  <c r="H204" i="44" s="1"/>
  <c r="F204" i="44" s="1"/>
  <c r="G204" i="44" s="1"/>
  <c r="F203" i="44" s="1"/>
  <c r="C119" i="44" s="1"/>
  <c r="D93" i="44" s="1"/>
  <c r="T11" i="43"/>
  <c r="E87" i="43"/>
  <c r="G88" i="43"/>
  <c r="Q11" i="43" s="1"/>
  <c r="C116" i="43"/>
  <c r="D89" i="43"/>
  <c r="D85" i="43" s="1"/>
  <c r="F89" i="43"/>
  <c r="H202" i="43"/>
  <c r="H204" i="43" s="1"/>
  <c r="F204" i="43" s="1"/>
  <c r="G204" i="43" s="1"/>
  <c r="F203" i="43" s="1"/>
  <c r="C119" i="43" s="1"/>
  <c r="D93" i="43" s="1"/>
  <c r="T11" i="42"/>
  <c r="E87" i="42"/>
  <c r="G88" i="42"/>
  <c r="Q11" i="42" s="1"/>
  <c r="H202" i="42"/>
  <c r="H204" i="42" s="1"/>
  <c r="F204" i="42" s="1"/>
  <c r="G204" i="42" s="1"/>
  <c r="F203" i="42" s="1"/>
  <c r="C119" i="42" s="1"/>
  <c r="D93" i="42" s="1"/>
  <c r="C116" i="42"/>
  <c r="F89" i="42"/>
  <c r="E89" i="42"/>
  <c r="G89" i="42" s="1"/>
  <c r="D89" i="42"/>
  <c r="D85" i="42" s="1"/>
  <c r="F89" i="41"/>
  <c r="F76" i="41"/>
  <c r="F75" i="41"/>
  <c r="F83" i="41"/>
  <c r="F88" i="41"/>
  <c r="F87" i="41" s="1"/>
  <c r="F85" i="41" s="1"/>
  <c r="E83" i="41"/>
  <c r="G83" i="41" s="1"/>
  <c r="G80" i="41"/>
  <c r="D89" i="41"/>
  <c r="G76" i="41"/>
  <c r="G82" i="41"/>
  <c r="L79" i="41" s="1"/>
  <c r="T11" i="41" s="1"/>
  <c r="D88" i="41"/>
  <c r="D87" i="41" s="1"/>
  <c r="E87" i="41" l="1"/>
  <c r="E85" i="41" s="1"/>
  <c r="G85" i="41" s="1"/>
  <c r="J73" i="56"/>
  <c r="K37" i="56" s="1"/>
  <c r="K54" i="56" s="1"/>
  <c r="K38" i="56"/>
  <c r="K48" i="57"/>
  <c r="K49" i="57"/>
  <c r="K47" i="57"/>
  <c r="K50" i="57" s="1"/>
  <c r="K42" i="57"/>
  <c r="K45" i="57"/>
  <c r="K44" i="57"/>
  <c r="K43" i="57"/>
  <c r="K101" i="56"/>
  <c r="K102" i="56" s="1"/>
  <c r="K103" i="56" s="1"/>
  <c r="K107" i="56" s="1"/>
  <c r="K108" i="56" s="1"/>
  <c r="G209" i="47"/>
  <c r="H208" i="47"/>
  <c r="H210" i="47" s="1"/>
  <c r="F210" i="47" s="1"/>
  <c r="G210" i="47" s="1"/>
  <c r="D85" i="41"/>
  <c r="V11" i="44"/>
  <c r="Q25" i="44"/>
  <c r="S25" i="44" s="1"/>
  <c r="L77" i="44"/>
  <c r="L81" i="44"/>
  <c r="Q15" i="44"/>
  <c r="L86" i="44"/>
  <c r="C125" i="44" s="1"/>
  <c r="E85" i="44"/>
  <c r="G85" i="44" s="1"/>
  <c r="E85" i="43"/>
  <c r="G85" i="43" s="1"/>
  <c r="G87" i="43"/>
  <c r="S11" i="43"/>
  <c r="L81" i="43"/>
  <c r="Q15" i="43"/>
  <c r="S15" i="43" s="1"/>
  <c r="L86" i="43"/>
  <c r="C125" i="43" s="1"/>
  <c r="V11" i="43"/>
  <c r="S11" i="42"/>
  <c r="E85" i="42"/>
  <c r="G85" i="42" s="1"/>
  <c r="G87" i="42"/>
  <c r="L81" i="42"/>
  <c r="Q15" i="42"/>
  <c r="S15" i="42" s="1"/>
  <c r="L86" i="42"/>
  <c r="C125" i="42" s="1"/>
  <c r="V11" i="42"/>
  <c r="L81" i="41"/>
  <c r="L86" i="41"/>
  <c r="C125" i="41" s="1"/>
  <c r="G87" i="41" l="1"/>
  <c r="L77" i="41" s="1"/>
  <c r="F209" i="47"/>
  <c r="C136" i="47" s="1"/>
  <c r="C135" i="47" s="1"/>
  <c r="K56" i="57"/>
  <c r="K57" i="57" s="1"/>
  <c r="K51" i="57"/>
  <c r="K58" i="57" s="1"/>
  <c r="K59" i="57" s="1"/>
  <c r="K109" i="56"/>
  <c r="E26" i="56" s="1"/>
  <c r="K110" i="56"/>
  <c r="E27" i="56" s="1"/>
  <c r="K67" i="56"/>
  <c r="K68" i="56" s="1"/>
  <c r="K69" i="56" s="1"/>
  <c r="K40" i="56"/>
  <c r="K41" i="56" s="1"/>
  <c r="K46" i="56" s="1"/>
  <c r="S15" i="44"/>
  <c r="S27" i="44" s="1"/>
  <c r="G5" i="44" s="1"/>
  <c r="Q27" i="44"/>
  <c r="L75" i="44"/>
  <c r="N77" i="44" s="1"/>
  <c r="T25" i="44"/>
  <c r="V25" i="44" s="1"/>
  <c r="L77" i="43"/>
  <c r="Q25" i="43"/>
  <c r="S25" i="43" s="1"/>
  <c r="S27" i="43" s="1"/>
  <c r="G5" i="43" s="1"/>
  <c r="Q25" i="42"/>
  <c r="S25" i="42" s="1"/>
  <c r="S27" i="42" s="1"/>
  <c r="G5" i="42" s="1"/>
  <c r="L77" i="42"/>
  <c r="V11" i="41"/>
  <c r="Q25" i="41" l="1"/>
  <c r="S25" i="41" s="1"/>
  <c r="S27" i="41" s="1"/>
  <c r="G5" i="41" s="1"/>
  <c r="C140" i="47"/>
  <c r="L91" i="47" s="1"/>
  <c r="C141" i="47"/>
  <c r="L92" i="47" s="1"/>
  <c r="K60" i="57"/>
  <c r="K61" i="57" s="1"/>
  <c r="K62" i="57" s="1"/>
  <c r="K70" i="57" s="1"/>
  <c r="K71" i="57" s="1"/>
  <c r="K49" i="56"/>
  <c r="K47" i="56"/>
  <c r="K50" i="56" s="1"/>
  <c r="K43" i="56"/>
  <c r="K48" i="56"/>
  <c r="K45" i="56"/>
  <c r="K42" i="56"/>
  <c r="K44" i="56"/>
  <c r="L88" i="47"/>
  <c r="L85" i="47" s="1"/>
  <c r="C142" i="47"/>
  <c r="C139" i="47"/>
  <c r="C144" i="47"/>
  <c r="M81" i="44"/>
  <c r="Q27" i="41"/>
  <c r="C124" i="44"/>
  <c r="M80" i="44"/>
  <c r="N80" i="44"/>
  <c r="M78" i="44"/>
  <c r="N78" i="44"/>
  <c r="M79" i="44"/>
  <c r="N79" i="44"/>
  <c r="M77" i="44"/>
  <c r="Q27" i="43"/>
  <c r="L75" i="43"/>
  <c r="T25" i="43"/>
  <c r="V25" i="43" s="1"/>
  <c r="Q27" i="42"/>
  <c r="L75" i="42"/>
  <c r="N77" i="42" s="1"/>
  <c r="T25" i="42"/>
  <c r="V25" i="42" s="1"/>
  <c r="T25" i="41"/>
  <c r="V25" i="41" s="1"/>
  <c r="L75" i="41"/>
  <c r="L82" i="47" l="1"/>
  <c r="M82" i="47" s="1"/>
  <c r="T16" i="47"/>
  <c r="K51" i="56"/>
  <c r="K58" i="56" s="1"/>
  <c r="K59" i="56" s="1"/>
  <c r="K56" i="56"/>
  <c r="K57" i="56" s="1"/>
  <c r="K74" i="57"/>
  <c r="E24" i="57" s="1"/>
  <c r="E30" i="57" s="1"/>
  <c r="V12" i="57" s="1"/>
  <c r="K72" i="57"/>
  <c r="K73" i="57" s="1"/>
  <c r="E23" i="57" s="1"/>
  <c r="E32" i="57"/>
  <c r="N77" i="43"/>
  <c r="C124" i="43"/>
  <c r="M77" i="43"/>
  <c r="M75" i="44"/>
  <c r="D130" i="44"/>
  <c r="M83" i="44"/>
  <c r="L89" i="44" s="1"/>
  <c r="E77" i="44"/>
  <c r="G77" i="44" s="1"/>
  <c r="D77" i="44"/>
  <c r="N75" i="44"/>
  <c r="C129" i="44"/>
  <c r="C132" i="44"/>
  <c r="M77" i="42"/>
  <c r="N78" i="43"/>
  <c r="M78" i="43"/>
  <c r="M80" i="43"/>
  <c r="N80" i="43"/>
  <c r="N79" i="43"/>
  <c r="M79" i="43"/>
  <c r="M81" i="43"/>
  <c r="C124" i="42"/>
  <c r="N80" i="42"/>
  <c r="M80" i="42"/>
  <c r="N78" i="42"/>
  <c r="M78" i="42"/>
  <c r="N79" i="42"/>
  <c r="M79" i="42"/>
  <c r="M81" i="42"/>
  <c r="C124" i="41"/>
  <c r="M80" i="41"/>
  <c r="N80" i="41"/>
  <c r="N78" i="41"/>
  <c r="E77" i="41" s="1"/>
  <c r="M78" i="41"/>
  <c r="M79" i="41"/>
  <c r="N79" i="41"/>
  <c r="M81" i="41"/>
  <c r="M77" i="41"/>
  <c r="N77" i="41"/>
  <c r="V16" i="47" l="1"/>
  <c r="T15" i="47"/>
  <c r="V67" i="57"/>
  <c r="V82" i="57"/>
  <c r="V52" i="57"/>
  <c r="V37" i="57"/>
  <c r="E33" i="57"/>
  <c r="K60" i="56"/>
  <c r="K61" i="56" s="1"/>
  <c r="K62" i="56" s="1"/>
  <c r="K70" i="56" s="1"/>
  <c r="K71" i="56" s="1"/>
  <c r="K74" i="56" s="1"/>
  <c r="E24" i="56" s="1"/>
  <c r="E30" i="56" s="1"/>
  <c r="V12" i="56" s="1"/>
  <c r="E31" i="57"/>
  <c r="L90" i="44"/>
  <c r="C130" i="44"/>
  <c r="C133" i="44"/>
  <c r="C127" i="44"/>
  <c r="D130" i="43"/>
  <c r="M75" i="43"/>
  <c r="E77" i="43"/>
  <c r="G77" i="43" s="1"/>
  <c r="D77" i="43"/>
  <c r="C129" i="43"/>
  <c r="C132" i="43"/>
  <c r="N75" i="43"/>
  <c r="M83" i="43"/>
  <c r="L89" i="43" s="1"/>
  <c r="N75" i="42"/>
  <c r="D130" i="42"/>
  <c r="M75" i="42"/>
  <c r="E77" i="42"/>
  <c r="G77" i="42" s="1"/>
  <c r="D77" i="42"/>
  <c r="C129" i="42"/>
  <c r="C132" i="42"/>
  <c r="M83" i="42"/>
  <c r="L89" i="42" s="1"/>
  <c r="M75" i="41"/>
  <c r="D130" i="41"/>
  <c r="M83" i="41"/>
  <c r="L89" i="41" s="1"/>
  <c r="C129" i="41"/>
  <c r="C132" i="41"/>
  <c r="D77" i="41"/>
  <c r="G77" i="41"/>
  <c r="N75" i="41"/>
  <c r="V15" i="47" l="1"/>
  <c r="V27" i="47" s="1"/>
  <c r="G4" i="47" s="1"/>
  <c r="AB9" i="47" s="1"/>
  <c r="T27" i="47"/>
  <c r="K72" i="56"/>
  <c r="K73" i="56" s="1"/>
  <c r="E23" i="56" s="1"/>
  <c r="E32" i="56"/>
  <c r="E31" i="56"/>
  <c r="G209" i="44"/>
  <c r="G208" i="44"/>
  <c r="F208" i="44" s="1"/>
  <c r="C133" i="43"/>
  <c r="C127" i="43"/>
  <c r="L90" i="43"/>
  <c r="C130" i="43"/>
  <c r="L90" i="42"/>
  <c r="C130" i="42"/>
  <c r="C127" i="42"/>
  <c r="C133" i="42"/>
  <c r="C130" i="41"/>
  <c r="L90" i="41"/>
  <c r="C133" i="41"/>
  <c r="C127" i="41"/>
  <c r="G2" i="47" l="1"/>
  <c r="V67" i="56"/>
  <c r="V82" i="56"/>
  <c r="V52" i="56"/>
  <c r="V37" i="56"/>
  <c r="E33" i="56"/>
  <c r="H208" i="44"/>
  <c r="H210" i="44" s="1"/>
  <c r="F210" i="44" s="1"/>
  <c r="G210" i="44" s="1"/>
  <c r="F209" i="44" s="1"/>
  <c r="C136" i="44" s="1"/>
  <c r="G209" i="43"/>
  <c r="G208" i="43"/>
  <c r="F208" i="43" s="1"/>
  <c r="G209" i="42"/>
  <c r="G208" i="42"/>
  <c r="F208" i="42" s="1"/>
  <c r="G209" i="41"/>
  <c r="G208" i="41"/>
  <c r="F208" i="41" s="1"/>
  <c r="C135" i="44" l="1"/>
  <c r="L88" i="44"/>
  <c r="L85" i="44" s="1"/>
  <c r="G48" i="28" s="1"/>
  <c r="G49" i="28" s="1"/>
  <c r="G50" i="28" s="1"/>
  <c r="H208" i="43"/>
  <c r="H210" i="43" s="1"/>
  <c r="F210" i="43" s="1"/>
  <c r="G210" i="43" s="1"/>
  <c r="F209" i="43" s="1"/>
  <c r="C136" i="43" s="1"/>
  <c r="H208" i="42"/>
  <c r="H210" i="42" s="1"/>
  <c r="F210" i="42" s="1"/>
  <c r="G210" i="42" s="1"/>
  <c r="F209" i="42" s="1"/>
  <c r="C136" i="42" s="1"/>
  <c r="H208" i="41"/>
  <c r="H210" i="41" s="1"/>
  <c r="F210" i="41" s="1"/>
  <c r="G210" i="41" s="1"/>
  <c r="F209" i="41" s="1"/>
  <c r="C136" i="41" s="1"/>
  <c r="C144" i="44" l="1"/>
  <c r="C139" i="44"/>
  <c r="C140" i="44" s="1"/>
  <c r="C135" i="43"/>
  <c r="L88" i="43"/>
  <c r="L85" i="43" s="1"/>
  <c r="F48" i="28" s="1"/>
  <c r="F49" i="28" s="1"/>
  <c r="F50" i="28" s="1"/>
  <c r="C135" i="42"/>
  <c r="L88" i="42"/>
  <c r="L85" i="42" s="1"/>
  <c r="E48" i="28" s="1"/>
  <c r="E49" i="28" s="1"/>
  <c r="E50" i="28" s="1"/>
  <c r="C135" i="41"/>
  <c r="L88" i="41"/>
  <c r="L85" i="41" s="1"/>
  <c r="D48" i="28" s="1"/>
  <c r="D49" i="28" s="1"/>
  <c r="D50" i="28" s="1"/>
  <c r="D36" i="26" s="1"/>
  <c r="D38" i="38" l="1"/>
  <c r="L91" i="44"/>
  <c r="C141" i="44"/>
  <c r="C144" i="43"/>
  <c r="C139" i="43"/>
  <c r="C140" i="43" s="1"/>
  <c r="C144" i="42"/>
  <c r="C139" i="42"/>
  <c r="C140" i="42" s="1"/>
  <c r="C139" i="41"/>
  <c r="C140" i="41" s="1"/>
  <c r="C144" i="41"/>
  <c r="L91" i="42" l="1"/>
  <c r="C141" i="42"/>
  <c r="L91" i="41"/>
  <c r="C141" i="41"/>
  <c r="L92" i="44"/>
  <c r="C142" i="44"/>
  <c r="L91" i="43"/>
  <c r="C141" i="43"/>
  <c r="L92" i="42" l="1"/>
  <c r="C142" i="42"/>
  <c r="L92" i="41"/>
  <c r="C142" i="41"/>
  <c r="L82" i="44"/>
  <c r="M82" i="44" s="1"/>
  <c r="T16" i="44"/>
  <c r="L92" i="43"/>
  <c r="C142" i="43"/>
  <c r="T16" i="42" l="1"/>
  <c r="L82" i="42"/>
  <c r="M82" i="42" s="1"/>
  <c r="T16" i="41"/>
  <c r="L82" i="41"/>
  <c r="M82" i="41" s="1"/>
  <c r="T15" i="44"/>
  <c r="V16" i="44"/>
  <c r="T16" i="43"/>
  <c r="L82" i="43"/>
  <c r="M82" i="43" s="1"/>
  <c r="V16" i="42" l="1"/>
  <c r="T15" i="42"/>
  <c r="V16" i="41"/>
  <c r="T15" i="41"/>
  <c r="V15" i="44"/>
  <c r="V27" i="44" s="1"/>
  <c r="G4" i="44" s="1"/>
  <c r="G2" i="44" s="1"/>
  <c r="T27" i="44"/>
  <c r="T15" i="43"/>
  <c r="V16" i="43"/>
  <c r="T27" i="42" l="1"/>
  <c r="V15" i="42"/>
  <c r="V27" i="42" s="1"/>
  <c r="G4" i="42" s="1"/>
  <c r="G2" i="42" s="1"/>
  <c r="T27" i="41"/>
  <c r="V15" i="41"/>
  <c r="V27" i="41" s="1"/>
  <c r="G4" i="41" s="1"/>
  <c r="G2" i="41" s="1"/>
  <c r="D35" i="26" s="1"/>
  <c r="G35" i="26"/>
  <c r="V15" i="43"/>
  <c r="V27" i="43" s="1"/>
  <c r="G4" i="43" s="1"/>
  <c r="G2" i="43" s="1"/>
  <c r="T27" i="43"/>
  <c r="D89" i="11" l="1"/>
  <c r="D90" i="11" s="1"/>
  <c r="D37" i="26"/>
  <c r="G89" i="11"/>
  <c r="E35" i="26"/>
  <c r="F35" i="26"/>
  <c r="O7" i="3"/>
  <c r="G108" i="15" l="1"/>
  <c r="G109" i="15" s="1"/>
  <c r="D94" i="11"/>
  <c r="F89" i="11"/>
  <c r="K108" i="15" s="1"/>
  <c r="E89" i="11"/>
  <c r="O8" i="3"/>
  <c r="M26" i="15"/>
  <c r="K26" i="15"/>
  <c r="I26" i="15"/>
  <c r="E36" i="26" s="1"/>
  <c r="I24" i="15"/>
  <c r="E15" i="26" s="1"/>
  <c r="E25" i="26" s="1"/>
  <c r="E27" i="26" s="1"/>
  <c r="K24" i="15"/>
  <c r="F15" i="26" s="1"/>
  <c r="F25" i="26" s="1"/>
  <c r="F27" i="26" s="1"/>
  <c r="M24" i="15"/>
  <c r="G15" i="26" s="1"/>
  <c r="G25" i="26" s="1"/>
  <c r="G27" i="26" s="1"/>
  <c r="G21" i="15"/>
  <c r="I21" i="15"/>
  <c r="K21" i="15"/>
  <c r="M21" i="15"/>
  <c r="G36" i="26" l="1"/>
  <c r="G38" i="38"/>
  <c r="F36" i="26"/>
  <c r="F38" i="38"/>
  <c r="E38" i="38"/>
  <c r="F18" i="11"/>
  <c r="F47" i="11"/>
  <c r="G18" i="11"/>
  <c r="G47" i="11"/>
  <c r="E67" i="11" s="1"/>
  <c r="F67" i="11" s="1"/>
  <c r="E18" i="11"/>
  <c r="E30" i="11" s="1"/>
  <c r="F30" i="11" s="1"/>
  <c r="E22" i="11" s="1"/>
  <c r="E47" i="11"/>
  <c r="E62" i="11" s="1"/>
  <c r="F62" i="11" s="1"/>
  <c r="C12" i="38"/>
  <c r="C7" i="26"/>
  <c r="E35" i="11" l="1"/>
  <c r="F35" i="11" s="1"/>
  <c r="G22" i="11" s="1"/>
  <c r="G13" i="38"/>
  <c r="E13" i="38"/>
  <c r="D13" i="38"/>
  <c r="F13" i="38"/>
  <c r="E23" i="11"/>
  <c r="E24" i="11" s="1"/>
  <c r="E42" i="11" s="1"/>
  <c r="C35" i="11"/>
  <c r="D35" i="11" s="1"/>
  <c r="F22" i="11" s="1"/>
  <c r="G51" i="11"/>
  <c r="C67" i="11"/>
  <c r="D67" i="11" s="1"/>
  <c r="F51" i="11" s="1"/>
  <c r="D8" i="26"/>
  <c r="E8" i="26"/>
  <c r="F8" i="26"/>
  <c r="G8" i="26"/>
  <c r="F37" i="26" l="1"/>
  <c r="F103" i="11"/>
  <c r="G37" i="26"/>
  <c r="G103" i="11"/>
  <c r="E37" i="26"/>
  <c r="E103" i="11"/>
  <c r="G54" i="11"/>
  <c r="D76" i="49"/>
  <c r="D76" i="48"/>
  <c r="G52" i="11"/>
  <c r="G55" i="11" s="1"/>
  <c r="G56" i="11" s="1"/>
  <c r="F23" i="11"/>
  <c r="F24" i="11" s="1"/>
  <c r="F42" i="11" s="1"/>
  <c r="G23" i="11"/>
  <c r="G24" i="11" s="1"/>
  <c r="O81" i="60" l="1" a="1"/>
  <c r="O81" i="60" s="1"/>
  <c r="D103" i="11"/>
  <c r="G112" i="15"/>
  <c r="K112" i="15"/>
  <c r="F90" i="11"/>
  <c r="I108" i="15"/>
  <c r="I112" i="15"/>
  <c r="E90" i="11"/>
  <c r="G90" i="11"/>
  <c r="G94" i="11" s="1"/>
  <c r="G76" i="49"/>
  <c r="D82" i="49"/>
  <c r="F54" i="11"/>
  <c r="F52" i="11"/>
  <c r="F55" i="11" s="1"/>
  <c r="F56" i="11" s="1"/>
  <c r="F94" i="11" l="1"/>
  <c r="K109" i="15"/>
  <c r="K110" i="15"/>
  <c r="E94" i="11"/>
  <c r="I110" i="15"/>
  <c r="I109" i="15"/>
  <c r="D83" i="49"/>
  <c r="G82" i="49"/>
  <c r="L79" i="49" s="1"/>
  <c r="D88" i="49"/>
  <c r="G76" i="48"/>
  <c r="D82" i="48"/>
  <c r="G110" i="15" l="1"/>
  <c r="G88" i="49"/>
  <c r="Q11" i="49" s="1"/>
  <c r="D87" i="49"/>
  <c r="T11" i="49"/>
  <c r="D75" i="49"/>
  <c r="G75" i="49" s="1"/>
  <c r="G83" i="49"/>
  <c r="D89" i="49"/>
  <c r="G89" i="49" s="1"/>
  <c r="D83" i="48"/>
  <c r="D88" i="48"/>
  <c r="G82" i="48"/>
  <c r="L79" i="48" s="1"/>
  <c r="L81" i="49" l="1"/>
  <c r="Q15" i="49"/>
  <c r="S15" i="49" s="1"/>
  <c r="L86" i="49"/>
  <c r="C125" i="49" s="1"/>
  <c r="V11" i="49"/>
  <c r="G87" i="49"/>
  <c r="D85" i="49"/>
  <c r="G85" i="49" s="1"/>
  <c r="S11" i="49"/>
  <c r="D75" i="48"/>
  <c r="G75" i="48" s="1"/>
  <c r="G83" i="48"/>
  <c r="D89" i="48"/>
  <c r="G89" i="48" s="1"/>
  <c r="T11" i="48"/>
  <c r="G88" i="48"/>
  <c r="Q11" i="48" s="1"/>
  <c r="D87" i="48"/>
  <c r="G25" i="15"/>
  <c r="Q25" i="49" l="1"/>
  <c r="L77" i="49"/>
  <c r="G87" i="48"/>
  <c r="D85" i="48"/>
  <c r="G85" i="48" s="1"/>
  <c r="L81" i="48"/>
  <c r="Q15" i="48"/>
  <c r="S15" i="48" s="1"/>
  <c r="L86" i="48"/>
  <c r="C125" i="48" s="1"/>
  <c r="S11" i="48"/>
  <c r="V11" i="48"/>
  <c r="S25" i="49" l="1"/>
  <c r="S27" i="49" s="1"/>
  <c r="G5" i="49" s="1"/>
  <c r="Q27" i="49"/>
  <c r="T25" i="49"/>
  <c r="V25" i="49" s="1"/>
  <c r="L75" i="49"/>
  <c r="N77" i="49" s="1"/>
  <c r="Q25" i="48"/>
  <c r="L77" i="48"/>
  <c r="H7" i="3"/>
  <c r="I7" i="3"/>
  <c r="J7" i="3"/>
  <c r="H8" i="3"/>
  <c r="I8" i="3"/>
  <c r="J8" i="3"/>
  <c r="H9" i="3"/>
  <c r="I9" i="3"/>
  <c r="J9" i="3"/>
  <c r="H10" i="3"/>
  <c r="I10" i="3"/>
  <c r="J10" i="3"/>
  <c r="H11" i="3"/>
  <c r="I11" i="3"/>
  <c r="J11" i="3"/>
  <c r="H12" i="3"/>
  <c r="I12" i="3"/>
  <c r="J12" i="3"/>
  <c r="H13" i="3"/>
  <c r="I13" i="3"/>
  <c r="J13" i="3"/>
  <c r="H14" i="3"/>
  <c r="I14" i="3"/>
  <c r="J14" i="3"/>
  <c r="H15" i="3"/>
  <c r="I15" i="3"/>
  <c r="J15" i="3"/>
  <c r="H16" i="3"/>
  <c r="I16" i="3"/>
  <c r="J16" i="3"/>
  <c r="H17" i="3"/>
  <c r="I17" i="3"/>
  <c r="J17" i="3"/>
  <c r="H18" i="3"/>
  <c r="I18" i="3"/>
  <c r="J18" i="3"/>
  <c r="H19" i="3"/>
  <c r="I19" i="3"/>
  <c r="J19" i="3"/>
  <c r="H20" i="3"/>
  <c r="I20" i="3"/>
  <c r="J20" i="3"/>
  <c r="H21" i="3"/>
  <c r="I21" i="3"/>
  <c r="J21" i="3"/>
  <c r="H22" i="3"/>
  <c r="I22" i="3"/>
  <c r="J22" i="3"/>
  <c r="H23" i="3"/>
  <c r="I23" i="3"/>
  <c r="J23" i="3"/>
  <c r="H24" i="3"/>
  <c r="I24" i="3"/>
  <c r="J24" i="3"/>
  <c r="H25" i="3"/>
  <c r="I25" i="3"/>
  <c r="J25" i="3"/>
  <c r="H26" i="3"/>
  <c r="I26" i="3"/>
  <c r="J26" i="3"/>
  <c r="H27" i="3"/>
  <c r="I27" i="3"/>
  <c r="J27" i="3"/>
  <c r="H28" i="3"/>
  <c r="I28" i="3"/>
  <c r="J28" i="3"/>
  <c r="H29" i="3"/>
  <c r="I29" i="3"/>
  <c r="J29" i="3"/>
  <c r="H30" i="3"/>
  <c r="I30" i="3"/>
  <c r="J30" i="3"/>
  <c r="H31" i="3"/>
  <c r="I31" i="3"/>
  <c r="J31" i="3"/>
  <c r="H32" i="3"/>
  <c r="I32" i="3"/>
  <c r="J32" i="3"/>
  <c r="H33" i="3"/>
  <c r="I33" i="3"/>
  <c r="J33" i="3"/>
  <c r="H34" i="3"/>
  <c r="I34" i="3"/>
  <c r="J34" i="3"/>
  <c r="H35" i="3"/>
  <c r="I35" i="3"/>
  <c r="J35" i="3"/>
  <c r="H36" i="3"/>
  <c r="I36" i="3"/>
  <c r="J36" i="3"/>
  <c r="H37" i="3"/>
  <c r="I37" i="3"/>
  <c r="J37" i="3"/>
  <c r="H38" i="3"/>
  <c r="I38" i="3"/>
  <c r="J38" i="3"/>
  <c r="H39" i="3"/>
  <c r="I39" i="3"/>
  <c r="J39" i="3"/>
  <c r="H40" i="3"/>
  <c r="I40" i="3"/>
  <c r="J40" i="3"/>
  <c r="H41" i="3"/>
  <c r="I41" i="3"/>
  <c r="J41" i="3"/>
  <c r="H42" i="3"/>
  <c r="I42" i="3"/>
  <c r="J42" i="3"/>
  <c r="H43" i="3"/>
  <c r="I43" i="3"/>
  <c r="J43" i="3"/>
  <c r="H44" i="3"/>
  <c r="I44" i="3"/>
  <c r="J44" i="3"/>
  <c r="H45" i="3"/>
  <c r="I45" i="3"/>
  <c r="J45" i="3"/>
  <c r="H46" i="3"/>
  <c r="I46" i="3"/>
  <c r="J46" i="3"/>
  <c r="H47" i="3"/>
  <c r="I47" i="3"/>
  <c r="J47" i="3"/>
  <c r="H48" i="3"/>
  <c r="I48" i="3"/>
  <c r="J48" i="3"/>
  <c r="H49" i="3"/>
  <c r="I49" i="3"/>
  <c r="J49" i="3"/>
  <c r="H50" i="3"/>
  <c r="I50" i="3"/>
  <c r="J50" i="3"/>
  <c r="H51" i="3"/>
  <c r="I51" i="3"/>
  <c r="J51" i="3"/>
  <c r="H52" i="3"/>
  <c r="I52" i="3"/>
  <c r="J52" i="3"/>
  <c r="H53" i="3"/>
  <c r="I53" i="3"/>
  <c r="J53" i="3"/>
  <c r="H54" i="3"/>
  <c r="I54" i="3"/>
  <c r="J54" i="3"/>
  <c r="H55" i="3"/>
  <c r="I55" i="3"/>
  <c r="J55" i="3"/>
  <c r="H56" i="3"/>
  <c r="I56" i="3"/>
  <c r="J56" i="3"/>
  <c r="H57" i="3"/>
  <c r="I57" i="3"/>
  <c r="J57" i="3"/>
  <c r="H58" i="3"/>
  <c r="I58" i="3"/>
  <c r="J58" i="3"/>
  <c r="H59" i="3"/>
  <c r="I59" i="3"/>
  <c r="J59" i="3"/>
  <c r="H60" i="3"/>
  <c r="I60" i="3"/>
  <c r="J60" i="3"/>
  <c r="H61" i="3"/>
  <c r="I61" i="3"/>
  <c r="J61" i="3"/>
  <c r="J6" i="3"/>
  <c r="I6" i="3"/>
  <c r="H6"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7" i="3"/>
  <c r="B9" i="3"/>
  <c r="B10" i="3"/>
  <c r="B11" i="3"/>
  <c r="B12" i="3"/>
  <c r="B13" i="3"/>
  <c r="B14" i="3"/>
  <c r="B15" i="3"/>
  <c r="B16" i="3"/>
  <c r="B17" i="3"/>
  <c r="B6" i="3"/>
  <c r="M77" i="49" l="1"/>
  <c r="C124" i="49"/>
  <c r="M80" i="49"/>
  <c r="N80" i="49"/>
  <c r="N78" i="49"/>
  <c r="M78" i="49"/>
  <c r="M79" i="49"/>
  <c r="N79" i="49"/>
  <c r="M81" i="49"/>
  <c r="L75" i="48"/>
  <c r="M77" i="48" s="1"/>
  <c r="T25" i="48"/>
  <c r="V25" i="48" s="1"/>
  <c r="S25" i="48"/>
  <c r="S27" i="48" s="1"/>
  <c r="G5" i="48" s="1"/>
  <c r="Q27" i="48"/>
  <c r="N75" i="49" l="1"/>
  <c r="M75" i="49"/>
  <c r="D130" i="49"/>
  <c r="D77" i="49"/>
  <c r="G77" i="49" s="1"/>
  <c r="E77" i="49"/>
  <c r="C132" i="49"/>
  <c r="C129" i="49"/>
  <c r="M83" i="49"/>
  <c r="L89" i="49" s="1"/>
  <c r="N77" i="48"/>
  <c r="C124" i="48"/>
  <c r="N78" i="48"/>
  <c r="M80" i="48"/>
  <c r="M78" i="48"/>
  <c r="N80" i="48"/>
  <c r="M79" i="48"/>
  <c r="N79" i="48"/>
  <c r="M81" i="48"/>
  <c r="L90" i="49" l="1"/>
  <c r="C130" i="49"/>
  <c r="C127" i="49"/>
  <c r="C133" i="49"/>
  <c r="N75" i="48"/>
  <c r="D130" i="48"/>
  <c r="E77" i="48"/>
  <c r="D77" i="48"/>
  <c r="G77" i="48" s="1"/>
  <c r="C132" i="48"/>
  <c r="C129" i="48"/>
  <c r="M83" i="48"/>
  <c r="L89" i="48" s="1"/>
  <c r="M75" i="48"/>
  <c r="G209" i="49" l="1"/>
  <c r="G208" i="49"/>
  <c r="F208" i="49" s="1"/>
  <c r="H208" i="49" s="1"/>
  <c r="H210" i="49" s="1"/>
  <c r="F210" i="49" s="1"/>
  <c r="G210" i="49" s="1"/>
  <c r="C130" i="48"/>
  <c r="L90" i="48"/>
  <c r="C127" i="48"/>
  <c r="C133" i="48"/>
  <c r="C20" i="26"/>
  <c r="C21" i="26" s="1"/>
  <c r="F209" i="49" l="1"/>
  <c r="C136" i="49" s="1"/>
  <c r="C135" i="49" s="1"/>
  <c r="G208" i="48"/>
  <c r="F208" i="48" s="1"/>
  <c r="H208" i="48" s="1"/>
  <c r="H210" i="48" s="1"/>
  <c r="F210" i="48" s="1"/>
  <c r="G210" i="48" s="1"/>
  <c r="G209" i="48"/>
  <c r="L88" i="49" l="1"/>
  <c r="L85" i="49" s="1"/>
  <c r="C140" i="49"/>
  <c r="L91" i="49" s="1"/>
  <c r="C139" i="49"/>
  <c r="C142" i="49"/>
  <c r="C141" i="49"/>
  <c r="L92" i="49" s="1"/>
  <c r="C144" i="49"/>
  <c r="F209" i="48"/>
  <c r="C136" i="48" s="1"/>
  <c r="C135" i="48" s="1"/>
  <c r="T16" i="49" l="1"/>
  <c r="L82" i="49"/>
  <c r="M82" i="49" s="1"/>
  <c r="L88" i="48"/>
  <c r="L85" i="48" s="1"/>
  <c r="C140" i="48"/>
  <c r="L91" i="48" s="1"/>
  <c r="C144" i="48"/>
  <c r="C139" i="48"/>
  <c r="C142" i="48"/>
  <c r="C141" i="48"/>
  <c r="L92" i="48" s="1"/>
  <c r="V16" i="49" l="1"/>
  <c r="T15" i="49"/>
  <c r="G17" i="26"/>
  <c r="F17" i="26"/>
  <c r="L82" i="48"/>
  <c r="M82" i="48" s="1"/>
  <c r="T16" i="48"/>
  <c r="E17" i="26" l="1"/>
  <c r="C15" i="26"/>
  <c r="V15" i="49"/>
  <c r="V27" i="49" s="1"/>
  <c r="G4" i="49" s="1"/>
  <c r="G2" i="49" s="1"/>
  <c r="T27" i="49"/>
  <c r="D17" i="26"/>
  <c r="V16" i="48"/>
  <c r="T15" i="48"/>
  <c r="F21" i="38"/>
  <c r="E21" i="38"/>
  <c r="E26" i="38" s="1"/>
  <c r="G21" i="38"/>
  <c r="G16" i="26"/>
  <c r="E16" i="26"/>
  <c r="F16" i="26"/>
  <c r="G26" i="38" l="1"/>
  <c r="F26" i="38"/>
  <c r="C21" i="38"/>
  <c r="F26" i="26"/>
  <c r="F28" i="26" s="1"/>
  <c r="E26" i="26"/>
  <c r="E28" i="26" s="1"/>
  <c r="G26" i="26"/>
  <c r="G28" i="26" s="1"/>
  <c r="D43" i="26"/>
  <c r="AB9" i="49"/>
  <c r="F22" i="38"/>
  <c r="G22" i="38"/>
  <c r="D22" i="38"/>
  <c r="V15" i="48"/>
  <c r="V27" i="48" s="1"/>
  <c r="G4" i="48" s="1"/>
  <c r="T27" i="48"/>
  <c r="E22" i="38"/>
  <c r="F43" i="26"/>
  <c r="F46" i="38" s="1"/>
  <c r="C18" i="38" l="1"/>
  <c r="D46" i="38"/>
  <c r="D44" i="26"/>
  <c r="D46" i="26" s="1"/>
  <c r="AB9" i="48"/>
  <c r="G2" i="48"/>
  <c r="E43" i="26"/>
  <c r="E46" i="38" s="1"/>
  <c r="G43" i="26"/>
  <c r="G46" i="38" s="1"/>
  <c r="D102" i="11" l="1"/>
  <c r="D105" i="11" s="1"/>
  <c r="G30" i="38"/>
  <c r="D29" i="38"/>
  <c r="D31" i="38" s="1"/>
  <c r="D47" i="26" l="1"/>
  <c r="D48" i="26" s="1"/>
  <c r="F30" i="38"/>
  <c r="F29" i="26"/>
  <c r="F42" i="26" s="1"/>
  <c r="F44" i="26" s="1"/>
  <c r="F46" i="26" s="1"/>
  <c r="G29" i="38"/>
  <c r="G31" i="38" s="1"/>
  <c r="G45" i="38" s="1"/>
  <c r="G29" i="26"/>
  <c r="G42" i="26" s="1"/>
  <c r="E29" i="26"/>
  <c r="E42" i="26" s="1"/>
  <c r="E44" i="26" s="1"/>
  <c r="E46" i="26" s="1"/>
  <c r="D44" i="38"/>
  <c r="D45" i="38"/>
  <c r="D49" i="38" s="1"/>
  <c r="D50" i="38" s="1"/>
  <c r="D30" i="38"/>
  <c r="G44" i="26" l="1"/>
  <c r="F29" i="38"/>
  <c r="F31" i="38" s="1"/>
  <c r="F45" i="38" s="1"/>
  <c r="E30" i="38"/>
  <c r="E29" i="38"/>
  <c r="E31" i="38" s="1"/>
  <c r="E45" i="38" s="1"/>
  <c r="G44" i="38"/>
  <c r="F44" i="38"/>
  <c r="D48" i="38"/>
  <c r="E44" i="38"/>
  <c r="D45" i="26"/>
  <c r="D3" i="26"/>
  <c r="G48" i="38" l="1"/>
  <c r="G46" i="26"/>
  <c r="G51" i="38" s="1"/>
  <c r="G71" i="38" s="1"/>
  <c r="G3" i="26"/>
  <c r="G45" i="26"/>
  <c r="G102" i="11"/>
  <c r="F48" i="38"/>
  <c r="F102" i="11"/>
  <c r="E48" i="38"/>
  <c r="E102" i="11"/>
  <c r="F3" i="26"/>
  <c r="D51" i="38"/>
  <c r="D71" i="38" s="1"/>
  <c r="E3" i="26"/>
  <c r="F45" i="26"/>
  <c r="E45" i="26"/>
  <c r="E51" i="38"/>
  <c r="F51" i="38"/>
  <c r="F71" i="38" s="1"/>
  <c r="F105" i="11" l="1"/>
  <c r="E105" i="11"/>
  <c r="G105" i="11"/>
  <c r="D55" i="38"/>
  <c r="F55" i="38"/>
  <c r="G55" i="38"/>
  <c r="E55" i="38"/>
  <c r="E71" i="38"/>
  <c r="C71" i="38" s="1"/>
  <c r="E51" i="11"/>
  <c r="E52" i="11" s="1"/>
  <c r="E55" i="11" s="1"/>
  <c r="E56" i="11" s="1"/>
  <c r="E54" i="11" l="1"/>
  <c r="D76" i="45"/>
  <c r="G76" i="45" l="1"/>
  <c r="D82" i="45"/>
  <c r="D88" i="45" l="1"/>
  <c r="G82" i="45"/>
  <c r="L79" i="45" s="1"/>
  <c r="D83" i="45"/>
  <c r="T11" i="45" l="1"/>
  <c r="D75" i="45"/>
  <c r="G75" i="45" s="1"/>
  <c r="G83" i="45"/>
  <c r="D89" i="45"/>
  <c r="G89" i="45" s="1"/>
  <c r="G88" i="45"/>
  <c r="Q11" i="45" s="1"/>
  <c r="D87" i="45"/>
  <c r="L86" i="45" l="1"/>
  <c r="C125" i="45" s="1"/>
  <c r="Q15" i="45"/>
  <c r="S15" i="45" s="1"/>
  <c r="L81" i="45"/>
  <c r="G87" i="45"/>
  <c r="D85" i="45"/>
  <c r="G85" i="45" s="1"/>
  <c r="S11" i="45"/>
  <c r="E47" i="26"/>
  <c r="E48" i="26" s="1"/>
  <c r="G47" i="26"/>
  <c r="G48" i="26" s="1"/>
  <c r="F47" i="26"/>
  <c r="F48" i="26" s="1"/>
  <c r="M25" i="15"/>
  <c r="K25" i="15"/>
  <c r="I25" i="15"/>
  <c r="I103" i="15" l="1"/>
  <c r="H58" i="60" s="1"/>
  <c r="O59" i="60" s="1"/>
  <c r="L77" i="45"/>
  <c r="Q25" i="45"/>
  <c r="O33" i="3"/>
  <c r="O31" i="3"/>
  <c r="O29" i="3"/>
  <c r="O27" i="3"/>
  <c r="O25" i="3"/>
  <c r="O23" i="3"/>
  <c r="O21" i="3"/>
  <c r="O19" i="3"/>
  <c r="O17" i="3"/>
  <c r="O15" i="3"/>
  <c r="O13" i="3"/>
  <c r="O11" i="3"/>
  <c r="O9" i="3"/>
  <c r="O32" i="3"/>
  <c r="S25" i="45" l="1"/>
  <c r="S27" i="45" s="1"/>
  <c r="G5" i="45" s="1"/>
  <c r="Q27" i="45"/>
  <c r="T25" i="45"/>
  <c r="L75" i="45"/>
  <c r="M77" i="45" s="1"/>
  <c r="O12" i="3"/>
  <c r="O20" i="3"/>
  <c r="O26" i="3"/>
  <c r="O30" i="3"/>
  <c r="O10" i="3"/>
  <c r="O14" i="3"/>
  <c r="O18" i="3"/>
  <c r="O24" i="3"/>
  <c r="O28" i="3"/>
  <c r="O34" i="3"/>
  <c r="O16" i="3"/>
  <c r="O22" i="3"/>
  <c r="N77" i="45" l="1"/>
  <c r="C124" i="45"/>
  <c r="N78" i="45"/>
  <c r="M80" i="45"/>
  <c r="N80" i="45"/>
  <c r="M78" i="45"/>
  <c r="N79" i="45"/>
  <c r="M79" i="45"/>
  <c r="M81" i="45"/>
  <c r="D130" i="45" l="1"/>
  <c r="N75" i="45"/>
  <c r="M75" i="45"/>
  <c r="M83" i="45"/>
  <c r="D77" i="45"/>
  <c r="G77" i="45" s="1"/>
  <c r="E77" i="45"/>
  <c r="C129" i="45"/>
  <c r="C132" i="45"/>
  <c r="C133" i="45" l="1"/>
  <c r="C127" i="45"/>
  <c r="L90" i="45"/>
  <c r="C130" i="45"/>
  <c r="G209" i="45" l="1"/>
  <c r="G208" i="45"/>
  <c r="F208" i="45" s="1"/>
  <c r="H208" i="45" s="1"/>
  <c r="H210" i="45" s="1"/>
  <c r="F210" i="45" s="1"/>
  <c r="G210" i="45" s="1"/>
  <c r="F209" i="45" l="1"/>
  <c r="C136" i="45" s="1"/>
  <c r="L88" i="45" s="1"/>
  <c r="U11" i="45" l="1"/>
  <c r="V11" i="45" s="1"/>
  <c r="U12" i="45"/>
  <c r="V12" i="45" s="1"/>
  <c r="U13" i="45"/>
  <c r="V13" i="45" s="1"/>
  <c r="U14" i="45"/>
  <c r="V14" i="45" s="1"/>
  <c r="U15" i="45"/>
  <c r="U16" i="45"/>
  <c r="U17" i="45"/>
  <c r="V17" i="45" s="1"/>
  <c r="U18" i="45"/>
  <c r="V18" i="45" s="1"/>
  <c r="U19" i="45"/>
  <c r="V19" i="45" s="1"/>
  <c r="U20" i="45"/>
  <c r="V20" i="45" s="1"/>
  <c r="U21" i="45"/>
  <c r="V21" i="45" s="1"/>
  <c r="U22" i="45"/>
  <c r="V22" i="45" s="1"/>
  <c r="U23" i="45"/>
  <c r="V23" i="45" s="1"/>
  <c r="U24" i="45"/>
  <c r="V24" i="45" s="1"/>
  <c r="U25" i="45"/>
  <c r="V25" i="45" s="1"/>
  <c r="U26" i="45"/>
  <c r="V26" i="45" s="1"/>
  <c r="L87" i="45"/>
  <c r="C122" i="45"/>
  <c r="C135" i="45" s="1"/>
  <c r="C144" i="45" s="1"/>
  <c r="F215" i="45" l="1"/>
  <c r="F214" i="45" s="1"/>
  <c r="G214" i="45" s="1"/>
  <c r="L89" i="45"/>
  <c r="L85" i="45"/>
  <c r="H214" i="45" l="1"/>
  <c r="H216" i="45" s="1"/>
  <c r="F216" i="45" s="1"/>
  <c r="G216" i="45" s="1"/>
  <c r="G215" i="45" l="1"/>
  <c r="C138" i="45" s="1"/>
  <c r="C139" i="45" s="1"/>
  <c r="C140" i="45" s="1"/>
  <c r="L91" i="45" s="1"/>
  <c r="C141" i="45"/>
  <c r="L92" i="45" l="1"/>
  <c r="C142" i="45"/>
  <c r="T16" i="45" l="1"/>
  <c r="L82" i="45"/>
  <c r="M82" i="45" s="1"/>
  <c r="V16" i="45" l="1"/>
  <c r="T15" i="45"/>
  <c r="V15" i="45" s="1"/>
  <c r="T27" i="45" l="1"/>
  <c r="V27" i="45" l="1"/>
  <c r="G4" i="45" s="1"/>
  <c r="AB9" i="45" s="1"/>
  <c r="L134" i="28" a="1"/>
  <c r="L134" i="28" s="1"/>
  <c r="G2" i="45" l="1"/>
  <c r="N134" i="28"/>
  <c r="M134" i="28"/>
  <c r="D136" i="28" l="1"/>
  <c r="D139" i="28" s="1"/>
  <c r="D137" i="28"/>
  <c r="D140" i="28" s="1"/>
  <c r="C75" i="11" s="1"/>
  <c r="F77" i="11" s="1"/>
  <c r="F91" i="11" s="1"/>
  <c r="F92" i="11" s="1"/>
  <c r="D77" i="11" l="1"/>
  <c r="D91" i="11" s="1"/>
  <c r="E77" i="11"/>
  <c r="E91" i="11" s="1"/>
  <c r="G77" i="11"/>
  <c r="G91" i="11" s="1"/>
  <c r="D92" i="11" l="1"/>
  <c r="D93" i="11" s="1"/>
  <c r="D106" i="11" s="1"/>
  <c r="D107" i="11" s="1"/>
  <c r="D98" i="11"/>
  <c r="D95" i="11"/>
  <c r="F99" i="11"/>
  <c r="F98" i="11"/>
  <c r="G95" i="11"/>
  <c r="G99" i="11"/>
  <c r="G98" i="11"/>
  <c r="E99" i="11"/>
  <c r="E98" i="11"/>
  <c r="D99" i="11"/>
  <c r="F95" i="11"/>
  <c r="E95" i="11"/>
  <c r="M114" i="15"/>
  <c r="M113" i="15"/>
  <c r="G92" i="11"/>
  <c r="G93" i="11" s="1"/>
  <c r="E92" i="11"/>
  <c r="I114" i="15"/>
  <c r="I113" i="15"/>
  <c r="F93" i="11"/>
  <c r="K114" i="15"/>
  <c r="K113" i="15"/>
  <c r="G113" i="15"/>
  <c r="G114" i="15"/>
  <c r="D37" i="38" l="1"/>
  <c r="D39" i="38" s="1"/>
  <c r="G106" i="11"/>
  <c r="G37" i="38"/>
  <c r="G39" i="38" s="1"/>
  <c r="D108" i="11"/>
  <c r="D60" i="38" s="1"/>
  <c r="AB4" i="47"/>
  <c r="F106" i="11"/>
  <c r="F107" i="11" s="1"/>
  <c r="F37" i="38"/>
  <c r="F39" i="38" s="1"/>
  <c r="D64" i="38"/>
  <c r="E93" i="11"/>
  <c r="E37" i="38" s="1"/>
  <c r="E39" i="38" s="1"/>
  <c r="AB4" i="49"/>
  <c r="AB5" i="49" s="1"/>
  <c r="G107" i="11"/>
  <c r="AB4" i="48"/>
  <c r="AB4" i="45" l="1"/>
  <c r="AB5" i="45" s="1"/>
  <c r="E106" i="11"/>
  <c r="E107" i="11" s="1"/>
  <c r="D109" i="11"/>
  <c r="D61" i="38" s="1"/>
  <c r="D63" i="38"/>
  <c r="D66" i="38" s="1"/>
  <c r="G107" i="15" s="1"/>
  <c r="D52" i="38"/>
  <c r="AB5" i="47"/>
  <c r="G108" i="11"/>
  <c r="G60" i="38" s="1"/>
  <c r="G109" i="11"/>
  <c r="G61" i="38" s="1"/>
  <c r="F109" i="11"/>
  <c r="F61" i="38" s="1"/>
  <c r="F108" i="11"/>
  <c r="F60" i="38" s="1"/>
  <c r="AB5" i="48"/>
  <c r="D67" i="38" l="1"/>
  <c r="E108" i="11"/>
  <c r="E60" i="38" s="1"/>
  <c r="E109" i="11"/>
  <c r="E61" i="38" s="1"/>
  <c r="D68" i="38" l="1"/>
  <c r="C60" i="38"/>
  <c r="C61" i="38"/>
  <c r="F47" i="38" l="1"/>
  <c r="F49" i="38" s="1"/>
  <c r="G47" i="38" l="1"/>
  <c r="G49" i="38" s="1"/>
  <c r="E47" i="38"/>
  <c r="E49" i="38" s="1"/>
  <c r="K70" i="60" l="1"/>
  <c r="K72" i="60" s="1"/>
  <c r="G63" i="38" l="1"/>
  <c r="G66" i="38" s="1"/>
  <c r="G50" i="38"/>
  <c r="G64" i="38"/>
  <c r="G67" i="38" s="1"/>
  <c r="M111" i="15" s="1"/>
  <c r="M115" i="15" s="1"/>
  <c r="G52" i="38"/>
  <c r="F31" i="60"/>
  <c r="G111" i="15"/>
  <c r="F64" i="38"/>
  <c r="F67" i="38" s="1"/>
  <c r="K111" i="15" s="1"/>
  <c r="F63" i="38"/>
  <c r="F66" i="38" s="1"/>
  <c r="K107" i="15" s="1"/>
  <c r="E50" i="38"/>
  <c r="E64" i="38"/>
  <c r="E67" i="38" s="1"/>
  <c r="I111" i="15" s="1"/>
  <c r="E63" i="38"/>
  <c r="E66" i="38" s="1"/>
  <c r="E52" i="38"/>
  <c r="E72" i="38" s="1"/>
  <c r="E73" i="38" s="1"/>
  <c r="F50" i="38"/>
  <c r="F52" i="38"/>
  <c r="F53" i="38" s="1"/>
  <c r="F54" i="38" s="1"/>
  <c r="I31" i="60" l="1"/>
  <c r="F106" i="60"/>
  <c r="K115" i="15"/>
  <c r="K74" i="60"/>
  <c r="K76" i="60" s="1"/>
  <c r="G68" i="38"/>
  <c r="I107" i="15"/>
  <c r="I115" i="15" s="1"/>
  <c r="E68" i="38"/>
  <c r="F68" i="38"/>
  <c r="G115" i="15"/>
  <c r="G72" i="38"/>
  <c r="G73" i="38" s="1"/>
  <c r="C63" i="38"/>
  <c r="O111" i="15"/>
  <c r="G53" i="38"/>
  <c r="G54" i="38" s="1"/>
  <c r="E53" i="38"/>
  <c r="E54" i="38" s="1"/>
  <c r="C66" i="38"/>
  <c r="F72" i="38"/>
  <c r="F73" i="38" s="1"/>
  <c r="H70" i="60"/>
  <c r="H72" i="60" s="1"/>
  <c r="C64" i="38"/>
  <c r="C67" i="38"/>
  <c r="D53" i="38"/>
  <c r="D54" i="38" s="1"/>
  <c r="D72" i="38"/>
  <c r="D73" i="38" s="1"/>
  <c r="H106" i="60" l="1" a="1"/>
  <c r="H106" i="60" s="1"/>
  <c r="I106" i="60" s="1"/>
  <c r="F35" i="60"/>
  <c r="F110" i="60" s="1"/>
  <c r="O117" i="15"/>
  <c r="O107" i="15"/>
  <c r="C68" i="38"/>
  <c r="J70" i="60"/>
  <c r="H74" i="60"/>
  <c r="I74" i="60"/>
  <c r="J74" i="60"/>
  <c r="I70" i="60"/>
  <c r="C72" i="38"/>
  <c r="C73" i="38" s="1"/>
  <c r="H110" i="60" l="1" a="1"/>
  <c r="H110" i="60" s="1"/>
  <c r="I110" i="60" s="1"/>
  <c r="I35" i="60"/>
  <c r="F29" i="60"/>
  <c r="I72" i="60"/>
  <c r="F32" i="60"/>
  <c r="H76" i="60"/>
  <c r="F34" i="60"/>
  <c r="J76" i="60"/>
  <c r="F33" i="60"/>
  <c r="I76" i="60"/>
  <c r="F30" i="60"/>
  <c r="J72" i="60"/>
  <c r="F28" i="60"/>
  <c r="M70" i="60"/>
  <c r="M74" i="60"/>
  <c r="J105" i="52"/>
  <c r="J106" i="52" s="1"/>
  <c r="I64" i="52"/>
  <c r="I105" i="52"/>
  <c r="I106" i="52" s="1"/>
  <c r="K64" i="52"/>
  <c r="J64" i="52"/>
  <c r="H105" i="52"/>
  <c r="H106" i="52" s="1"/>
  <c r="K105" i="52"/>
  <c r="K106" i="52" s="1"/>
  <c r="G105" i="52"/>
  <c r="G106" i="52" s="1"/>
  <c r="G107" i="52" s="1"/>
  <c r="G108" i="52" s="1"/>
  <c r="H64" i="52"/>
  <c r="G38" i="52"/>
  <c r="I33" i="60" l="1"/>
  <c r="F108" i="60"/>
  <c r="I32" i="60"/>
  <c r="F107" i="60"/>
  <c r="I34" i="60"/>
  <c r="F109" i="60"/>
  <c r="I28" i="60"/>
  <c r="I36" i="60" s="1"/>
  <c r="F103" i="60"/>
  <c r="I30" i="60"/>
  <c r="F105" i="60"/>
  <c r="I29" i="60"/>
  <c r="F104" i="60"/>
  <c r="O74" i="60" a="1"/>
  <c r="O74" i="60" s="1"/>
  <c r="O70" i="60" a="1"/>
  <c r="O70" i="60" s="1"/>
  <c r="H8" i="60" s="1" a="1"/>
  <c r="H8" i="60" s="1"/>
  <c r="G109" i="52"/>
  <c r="G110" i="52"/>
  <c r="G67" i="52"/>
  <c r="G68" i="52" s="1"/>
  <c r="G69" i="52" s="1"/>
  <c r="K65" i="52"/>
  <c r="J65" i="52"/>
  <c r="I65" i="52"/>
  <c r="H65" i="52"/>
  <c r="H103" i="60" l="1" a="1"/>
  <c r="H103" i="60" s="1"/>
  <c r="I103" i="60" s="1"/>
  <c r="H109" i="60" a="1"/>
  <c r="H109" i="60" s="1"/>
  <c r="I109" i="60" s="1"/>
  <c r="H108" i="60" a="1"/>
  <c r="H108" i="60" s="1"/>
  <c r="I108" i="60" s="1"/>
  <c r="H104" i="60" a="1"/>
  <c r="H104" i="60" s="1"/>
  <c r="I104" i="60" s="1"/>
  <c r="H107" i="60" a="1"/>
  <c r="H107" i="60" s="1"/>
  <c r="I107" i="60" s="1"/>
  <c r="H105" i="60" a="1"/>
  <c r="H105" i="60" s="1"/>
  <c r="I105" i="60" s="1"/>
  <c r="G70" i="52"/>
  <c r="G71" i="52" s="1"/>
  <c r="H78" i="52"/>
  <c r="H95" i="52" s="1"/>
  <c r="G72" i="52" l="1"/>
  <c r="G73" i="52" s="1"/>
  <c r="G74" i="52"/>
  <c r="H81" i="52"/>
  <c r="H82" i="52" s="1"/>
  <c r="H87" i="52" s="1"/>
  <c r="H37" i="52" l="1"/>
  <c r="H54" i="52" s="1"/>
  <c r="H38" i="52"/>
  <c r="H89" i="52"/>
  <c r="H90" i="52"/>
  <c r="H88" i="52"/>
  <c r="H91" i="52" s="1"/>
  <c r="H84" i="52"/>
  <c r="H83" i="52"/>
  <c r="H85" i="52"/>
  <c r="H86" i="52"/>
  <c r="H67" i="52" l="1"/>
  <c r="H68" i="52" s="1"/>
  <c r="H69" i="52" s="1"/>
  <c r="H40" i="52"/>
  <c r="H41" i="52" s="1"/>
  <c r="H97" i="52"/>
  <c r="H92" i="52"/>
  <c r="H99" i="52" s="1"/>
  <c r="H100" i="52" s="1"/>
  <c r="H46" i="52" l="1"/>
  <c r="H47" i="52"/>
  <c r="H50" i="52" s="1"/>
  <c r="H98" i="52"/>
  <c r="H101" i="52"/>
  <c r="H102" i="52" s="1"/>
  <c r="H103" i="52" s="1"/>
  <c r="H107" i="52" s="1"/>
  <c r="H108" i="52" s="1"/>
  <c r="H43" i="52"/>
  <c r="H49" i="52"/>
  <c r="H44" i="52"/>
  <c r="H45" i="52"/>
  <c r="H48" i="52"/>
  <c r="H42" i="52"/>
  <c r="H56" i="52" l="1"/>
  <c r="H57" i="52" s="1"/>
  <c r="H51" i="52"/>
  <c r="H58" i="52" s="1"/>
  <c r="H59" i="52" s="1"/>
  <c r="H110" i="52"/>
  <c r="H109" i="52"/>
  <c r="I78" i="52" s="1"/>
  <c r="I95" i="52" s="1"/>
  <c r="H60" i="52" l="1"/>
  <c r="H61" i="52" s="1"/>
  <c r="H62" i="52" s="1"/>
  <c r="H70" i="52" s="1"/>
  <c r="H71" i="52" s="1"/>
  <c r="I81" i="52"/>
  <c r="I82" i="52" s="1"/>
  <c r="I87" i="52" s="1"/>
  <c r="H74" i="52" l="1"/>
  <c r="H72" i="52"/>
  <c r="H73" i="52" s="1"/>
  <c r="I37" i="52" s="1"/>
  <c r="I54" i="52" s="1"/>
  <c r="I84" i="52"/>
  <c r="I88" i="52"/>
  <c r="I91" i="52" s="1"/>
  <c r="I86" i="52"/>
  <c r="I89" i="52"/>
  <c r="I85" i="52"/>
  <c r="I90" i="52"/>
  <c r="I83" i="52"/>
  <c r="I38" i="52" l="1"/>
  <c r="I67" i="52" s="1"/>
  <c r="I68" i="52" s="1"/>
  <c r="I69" i="52" s="1"/>
  <c r="I92" i="52"/>
  <c r="I99" i="52" s="1"/>
  <c r="I100" i="52" s="1"/>
  <c r="I97" i="52"/>
  <c r="I40" i="52"/>
  <c r="I41" i="52" s="1"/>
  <c r="I46" i="52" s="1"/>
  <c r="I43" i="52" l="1"/>
  <c r="I44" i="52"/>
  <c r="I42" i="52"/>
  <c r="I48" i="52"/>
  <c r="I47" i="52"/>
  <c r="I50" i="52" s="1"/>
  <c r="I45" i="52"/>
  <c r="I49" i="52"/>
  <c r="I98" i="52"/>
  <c r="I101" i="52"/>
  <c r="I102" i="52" s="1"/>
  <c r="I103" i="52" s="1"/>
  <c r="I107" i="52" s="1"/>
  <c r="I108" i="52" s="1"/>
  <c r="I56" i="52" l="1"/>
  <c r="I57" i="52" s="1"/>
  <c r="I51" i="52"/>
  <c r="I58" i="52" s="1"/>
  <c r="I59" i="52" s="1"/>
  <c r="I110" i="52"/>
  <c r="I109" i="52"/>
  <c r="J78" i="52" s="1"/>
  <c r="J95" i="52" s="1"/>
  <c r="J81" i="52" l="1"/>
  <c r="J82" i="52" s="1"/>
  <c r="J87" i="52" s="1"/>
  <c r="I60" i="52"/>
  <c r="I61" i="52" s="1"/>
  <c r="I62" i="52" s="1"/>
  <c r="I70" i="52" s="1"/>
  <c r="I71" i="52" s="1"/>
  <c r="I74" i="52" l="1"/>
  <c r="I72" i="52"/>
  <c r="J85" i="52"/>
  <c r="J88" i="52"/>
  <c r="J91" i="52" s="1"/>
  <c r="J83" i="52"/>
  <c r="J86" i="52"/>
  <c r="J90" i="52"/>
  <c r="J89" i="52"/>
  <c r="J84" i="52"/>
  <c r="J97" i="52" l="1"/>
  <c r="J98" i="52" s="1"/>
  <c r="J92" i="52"/>
  <c r="J99" i="52" s="1"/>
  <c r="J100" i="52" s="1"/>
  <c r="J38" i="52"/>
  <c r="I73" i="52"/>
  <c r="J37" i="52" s="1"/>
  <c r="J54" i="52" s="1"/>
  <c r="J101" i="52" l="1"/>
  <c r="J102" i="52" s="1"/>
  <c r="J103" i="52" s="1"/>
  <c r="J107" i="52" s="1"/>
  <c r="J108" i="52" s="1"/>
  <c r="J110" i="52" s="1"/>
  <c r="J67" i="52"/>
  <c r="J68" i="52" s="1"/>
  <c r="J69" i="52" s="1"/>
  <c r="J40" i="52"/>
  <c r="J41" i="52" s="1"/>
  <c r="J46" i="52" s="1"/>
  <c r="J109" i="52" l="1"/>
  <c r="K78" i="52" s="1"/>
  <c r="K95" i="52" s="1"/>
  <c r="J45" i="52"/>
  <c r="J47" i="52"/>
  <c r="J50" i="52" s="1"/>
  <c r="J44" i="52"/>
  <c r="J43" i="52"/>
  <c r="J48" i="52"/>
  <c r="J49" i="52"/>
  <c r="J42" i="52"/>
  <c r="K81" i="52" l="1"/>
  <c r="K82" i="52" s="1"/>
  <c r="K87" i="52" s="1"/>
  <c r="J56" i="52"/>
  <c r="J51" i="52"/>
  <c r="J58" i="52" s="1"/>
  <c r="J59" i="52" s="1"/>
  <c r="K86" i="52" l="1"/>
  <c r="K88" i="52"/>
  <c r="K91" i="52" s="1"/>
  <c r="K83" i="52"/>
  <c r="K90" i="52"/>
  <c r="K85" i="52"/>
  <c r="K84" i="52"/>
  <c r="K89" i="52"/>
  <c r="J57" i="52"/>
  <c r="J60" i="52"/>
  <c r="J61" i="52" s="1"/>
  <c r="J62" i="52" s="1"/>
  <c r="J70" i="52" s="1"/>
  <c r="J71" i="52" s="1"/>
  <c r="K97" i="52" l="1"/>
  <c r="K98" i="52" s="1"/>
  <c r="K92" i="52"/>
  <c r="K99" i="52" s="1"/>
  <c r="K100" i="52" s="1"/>
  <c r="J74" i="52"/>
  <c r="J72" i="52"/>
  <c r="K101" i="52" l="1"/>
  <c r="K102" i="52" s="1"/>
  <c r="K103" i="52" s="1"/>
  <c r="K107" i="52" s="1"/>
  <c r="K108" i="52" s="1"/>
  <c r="J73" i="52"/>
  <c r="K37" i="52" s="1"/>
  <c r="K54" i="52" s="1"/>
  <c r="K38" i="52"/>
  <c r="K109" i="52" l="1"/>
  <c r="E26" i="52" s="1"/>
  <c r="K110" i="52"/>
  <c r="E27" i="52" s="1"/>
  <c r="K40" i="52" l="1"/>
  <c r="K41" i="52" s="1"/>
  <c r="K67" i="52"/>
  <c r="K68" i="52" s="1"/>
  <c r="K69" i="52" s="1"/>
  <c r="K43" i="52" l="1"/>
  <c r="K46" i="52"/>
  <c r="K45" i="52"/>
  <c r="K42" i="52"/>
  <c r="K47" i="52"/>
  <c r="K50" i="52" s="1"/>
  <c r="K44" i="52"/>
  <c r="K49" i="52"/>
  <c r="K48" i="52"/>
  <c r="K51" i="52" l="1"/>
  <c r="K58" i="52" s="1"/>
  <c r="K59" i="52" s="1"/>
  <c r="K56" i="52"/>
  <c r="K57" i="52" s="1"/>
  <c r="K60" i="52" l="1"/>
  <c r="K61" i="52" s="1"/>
  <c r="K62" i="52" s="1"/>
  <c r="K70" i="52" s="1"/>
  <c r="K71" i="52" s="1"/>
  <c r="E32" i="52" l="1"/>
  <c r="K72" i="52"/>
  <c r="K73" i="52" s="1"/>
  <c r="E23" i="52" s="1"/>
  <c r="K74" i="52"/>
  <c r="E24" i="52" s="1"/>
  <c r="E30" i="52" s="1"/>
  <c r="E31" i="52" s="1"/>
  <c r="V67" i="52" l="1"/>
  <c r="V82" i="52"/>
  <c r="V37" i="52"/>
  <c r="V52" i="52"/>
  <c r="E33" i="52"/>
  <c r="V12" i="52"/>
  <c r="G75" i="38"/>
  <c r="F75" i="38"/>
  <c r="C75" i="38"/>
  <c r="D75" i="38"/>
  <c r="E75" i="38" l="1"/>
  <c r="C3" i="38" s="1"/>
  <c r="G18" i="15"/>
  <c r="E14" i="60"/>
  <c r="I18" i="15"/>
  <c r="E15" i="60"/>
  <c r="K18" i="15"/>
  <c r="E16" i="60"/>
  <c r="M18" i="15"/>
  <c r="E17"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F13" authorId="0" shapeId="0" xr:uid="{50EF1051-EEFF-41FE-AC4C-F8F0272ABB97}">
      <text>
        <r>
          <rPr>
            <b/>
            <sz val="9"/>
            <color indexed="81"/>
            <rFont val="Tahoma"/>
            <family val="2"/>
          </rPr>
          <t>Eppner Fanny:</t>
        </r>
        <r>
          <rPr>
            <sz val="9"/>
            <color indexed="81"/>
            <rFont val="Tahoma"/>
            <family val="2"/>
          </rPr>
          <t xml:space="preserve">
Une chaudière est considérée comme neuve si &lt;3ans</t>
        </r>
      </text>
    </comment>
    <comment ref="F20" authorId="0" shapeId="0" xr:uid="{B8E53551-0CFB-43EE-B478-C188C1E770F4}">
      <text>
        <r>
          <rPr>
            <b/>
            <sz val="9"/>
            <color indexed="81"/>
            <rFont val="Tahoma"/>
            <family val="2"/>
          </rPr>
          <t>Eppner Fanny:</t>
        </r>
        <r>
          <rPr>
            <sz val="9"/>
            <color indexed="81"/>
            <rFont val="Tahoma"/>
            <family val="2"/>
          </rPr>
          <t xml:space="preserve">
Une chaudière est considérée comme neuve si &lt;3ans</t>
        </r>
      </text>
    </comment>
    <comment ref="F49" authorId="0" shapeId="0" xr:uid="{8FC088B6-7943-4E13-8324-9FCD3D090A0F}">
      <text>
        <r>
          <rPr>
            <b/>
            <sz val="9"/>
            <color indexed="81"/>
            <rFont val="Tahoma"/>
            <family val="2"/>
          </rPr>
          <t>Eppner Fanny:</t>
        </r>
        <r>
          <rPr>
            <sz val="9"/>
            <color indexed="81"/>
            <rFont val="Tahoma"/>
            <family val="2"/>
          </rPr>
          <t xml:space="preserve">
Coût variable en fonction du diamètre. Coût inclut matériel et installation (voir Onglet "Coût" du fichier Excel Développement_offre_vapeur_20230126)</t>
        </r>
      </text>
    </comment>
    <comment ref="F53" authorId="0" shapeId="0" xr:uid="{8A425960-DE7F-4059-9DA6-26A0DC71DD2A}">
      <text>
        <r>
          <rPr>
            <b/>
            <sz val="9"/>
            <color indexed="81"/>
            <rFont val="Tahoma"/>
            <family val="2"/>
          </rPr>
          <t>Eppner Fanny:</t>
        </r>
        <r>
          <rPr>
            <sz val="9"/>
            <color indexed="81"/>
            <rFont val="Tahoma"/>
            <family val="2"/>
          </rPr>
          <t xml:space="preserve">
Incluant matériel, installation et recertification de la chaudière (voir Onglet "Coût" du fichier Excel Développement_offre_vapeur_20230126)</t>
        </r>
      </text>
    </comment>
    <comment ref="F54" authorId="0" shapeId="0" xr:uid="{F8442E5A-4D1B-4ED2-8C05-9304EAE32166}">
      <text>
        <r>
          <rPr>
            <b/>
            <sz val="9"/>
            <color indexed="81"/>
            <rFont val="Tahoma"/>
            <family val="2"/>
          </rPr>
          <t>Eppner Fanny:</t>
        </r>
        <r>
          <rPr>
            <sz val="9"/>
            <color indexed="81"/>
            <rFont val="Tahoma"/>
            <family val="2"/>
          </rPr>
          <t xml:space="preserve">
Incluant matériel et installation (voir Onglet "Coût" du fichier Excel Développement_offre_vapeur_20230126)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D59" authorId="0" shapeId="0" xr:uid="{4FC4BB11-51AB-4724-8F7D-FE80ED24CEA6}">
      <text>
        <r>
          <rPr>
            <b/>
            <sz val="9"/>
            <color indexed="81"/>
            <rFont val="Tahoma"/>
            <family val="2"/>
          </rPr>
          <t>Maximum amount</t>
        </r>
        <r>
          <rPr>
            <sz val="9"/>
            <color indexed="81"/>
            <rFont val="Tahoma"/>
            <family val="2"/>
          </rPr>
          <t xml:space="preserve">
Maximum of $100,000 per year</t>
        </r>
      </text>
    </comment>
    <comment ref="C61" authorId="0" shapeId="0" xr:uid="{82C1E1D1-5590-4216-A778-3B344FF5C30D}">
      <text>
        <r>
          <rPr>
            <sz val="9"/>
            <color indexed="81"/>
            <rFont val="Tahoma"/>
            <family val="2"/>
          </rPr>
          <t>The amount awarded cannot be higher than 75% of eligible expenses before taxes, including equipment and installation.</t>
        </r>
      </text>
    </comment>
    <comment ref="C63" authorId="0" shapeId="0" xr:uid="{771E329C-A5C3-4200-AE50-A89D63009745}">
      <text>
        <r>
          <rPr>
            <sz val="9"/>
            <color rgb="FF000000"/>
            <rFont val="Tahoma"/>
            <family val="2"/>
          </rPr>
          <t>The portion payable by the client must represent at least 25% of the costs relating to the project.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L20" authorId="0" shapeId="0" xr:uid="{0DCFBFFC-CFBE-4BCE-B6B6-DDB16772353A}">
      <text>
        <r>
          <rPr>
            <b/>
            <sz val="9"/>
            <color indexed="81"/>
            <rFont val="Tahoma"/>
            <family val="2"/>
          </rPr>
          <t>Eppner Fanny:</t>
        </r>
        <r>
          <rPr>
            <sz val="9"/>
            <color indexed="81"/>
            <rFont val="Tahoma"/>
            <family val="2"/>
          </rPr>
          <t xml:space="preserve">
Par année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tc={4B673AA1-4771-4522-8E4A-A996F218D3DC}</author>
    <author>tc={EF22D831-52B7-4A27-AE23-27629B00F34C}</author>
    <author>tc={1B3D1917-937B-413C-B6B8-8CC588056A66}</author>
    <author>tc={6FF0E1CC-6167-4AE1-8AD8-278A9F3D771E}</author>
  </authors>
  <commentList>
    <comment ref="D42" authorId="0" shapeId="0" xr:uid="{4B673AA1-4771-4522-8E4A-A996F218D3DC}">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Selon la norme européenne EN 12953, il est recommandé de limiter à 1% les pertes par les parois des chaudières.
</t>
      </text>
    </comment>
    <comment ref="E71" authorId="1" shapeId="0" xr:uid="{EF22D831-52B7-4A27-AE23-27629B00F34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https://www.yorkland.net/downloads/ControLinks%20Savings%20Worksheet_case%20study.pdf</t>
      </text>
    </comment>
    <comment ref="D75" authorId="2" shapeId="0" xr:uid="{1B3D1917-937B-413C-B6B8-8CC588056A66}">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Peut-être 5% plutôt - voir rapport "144712 - Linkageless calculator improvements </t>
      </text>
    </comment>
    <comment ref="D195" authorId="3" shapeId="0" xr:uid="{6FF0E1CC-6167-4AE1-8AD8-278A9F3D771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class que les données du DoE: 
Réponse :
    https://www1.eere.energy.gov/manufacturing/tech_assistance/pdfs/steam17_valves_fittings.pdf</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Céline Hertz</author>
  </authors>
  <commentList>
    <comment ref="G5" authorId="0" shapeId="0" xr:uid="{C81B6014-53D6-4F8F-87E6-24E9E764C795}">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30" authorId="0" shapeId="0" xr:uid="{019CB361-281F-4FDE-87D1-B566E77DDFB2}">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45" authorId="0" shapeId="0" xr:uid="{6AB711EC-9A84-44BD-944A-AF197F985EB6}">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60" authorId="0" shapeId="0" xr:uid="{570689AB-B346-437A-AB6E-D41E3084EAE4}">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75" authorId="0" shapeId="0" xr:uid="{92754EE8-0385-45D8-BC68-6E3481468AB1}">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tc={D7ED36F9-79D2-423A-915E-B37FD8E5C1E6}</author>
    <author>tc={35BB67A2-33B6-49A0-9130-997C6C0D39A1}</author>
  </authors>
  <commentList>
    <comment ref="W13" authorId="0" shapeId="0" xr:uid="{D7ED36F9-79D2-423A-915E-B37FD8E5C1E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 ref="E50" authorId="1" shapeId="0" xr:uid="{35BB67A2-33B6-49A0-9130-997C6C0D39A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 = D3/1000*vitesse / viscosité</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tc={59B34C0A-8874-47DC-B3B9-3C4B8228503C}</author>
  </authors>
  <commentList>
    <comment ref="W13" authorId="0" shapeId="0" xr:uid="{59B34C0A-8874-47DC-B3B9-3C4B8228503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tc={B549DAE8-EA2B-48EF-A441-5C18ADA7E723}</author>
  </authors>
  <commentList>
    <comment ref="W13" authorId="0" shapeId="0" xr:uid="{B549DAE8-EA2B-48EF-A441-5C18ADA7E72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tc={F72E5FFC-7552-4C5D-BE22-53D0E7A4B125}</author>
    <author>tc={9DD617EB-EBCF-483F-92E8-46559BEEBD29}</author>
    <author>tc={118C4D8F-842A-4A9E-8FE3-5C50911BBB45}</author>
    <author>tc={56525BC0-A248-4F5A-B5CF-F26AB7CEB0ED}</author>
    <author>tc={B3472081-9029-4E36-803C-80B18F7EB119}</author>
    <author>tc={44A18F68-BC8B-4646-AFAA-E05F2A7EFF63}</author>
  </authors>
  <commentList>
    <comment ref="V5" authorId="0" shapeId="0" xr:uid="{F72E5FFC-7552-4C5D-BE22-53D0E7A4B12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11" authorId="1" shapeId="0" xr:uid="{9DD617EB-EBCF-483F-92E8-46559BEEBD2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17" authorId="2" shapeId="0" xr:uid="{118C4D8F-842A-4A9E-8FE3-5C50911BBB4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23" authorId="3" shapeId="0" xr:uid="{56525BC0-A248-4F5A-B5CF-F26AB7CEB0ED}">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29" authorId="4" shapeId="0" xr:uid="{B3472081-9029-4E36-803C-80B18F7EB11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35" authorId="5" shapeId="0" xr:uid="{44A18F68-BC8B-4646-AFAA-E05F2A7EFF6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tc={CD83E46A-5108-4E28-93B9-E7834ADDF6CB}</author>
    <author>tc={AF71BF00-3E1A-4E5C-B907-A382A62517E1}</author>
  </authors>
  <commentList>
    <comment ref="K10" authorId="0" shapeId="0" xr:uid="{CD83E46A-5108-4E28-93B9-E7834ADDF6C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L19" authorId="1" shapeId="0" xr:uid="{AF71BF00-3E1A-4E5C-B907-A382A62517E1}">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00000000-0006-0000-0400-000001000000}">
      <text>
        <r>
          <rPr>
            <sz val="9"/>
            <color indexed="81"/>
            <rFont val="Tahoma"/>
            <family val="2"/>
          </rPr>
          <t>Il existe aussi des données dans GPA 2145-16. Données légèrement différentes et ctes selon la T</t>
        </r>
      </text>
    </comment>
    <comment ref="J10" authorId="0" shapeId="0" xr:uid="{00000000-0006-0000-0400-000002000000}">
      <text>
        <r>
          <rPr>
            <sz val="9"/>
            <color indexed="81"/>
            <rFont val="Tahoma"/>
            <family val="2"/>
          </rPr>
          <t>Hypothèse de gaz parfait</t>
        </r>
      </text>
    </comment>
    <comment ref="K10" authorId="0" shapeId="0" xr:uid="{00000000-0006-0000-0400-000003000000}">
      <text>
        <r>
          <rPr>
            <sz val="9"/>
            <color indexed="81"/>
            <rFont val="Tahoma"/>
            <family val="2"/>
          </rPr>
          <t>Hypothèse de gaz parfait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D5D09858-E6E0-488F-8DE9-90EE291A2F8E}">
      <text>
        <r>
          <rPr>
            <sz val="9"/>
            <color indexed="81"/>
            <rFont val="Tahoma"/>
            <family val="2"/>
          </rPr>
          <t>Il existe aussi des données dans GPA 2145-16. Données légèrement différentes et ctes selon la T</t>
        </r>
      </text>
    </comment>
    <comment ref="J10" authorId="0" shapeId="0" xr:uid="{ED25CC7C-8984-460D-9479-344AE12896A3}">
      <text>
        <r>
          <rPr>
            <sz val="9"/>
            <color indexed="81"/>
            <rFont val="Tahoma"/>
            <family val="2"/>
          </rPr>
          <t>Hypothèse de gaz parfait</t>
        </r>
      </text>
    </comment>
    <comment ref="K10" authorId="0" shapeId="0" xr:uid="{CD912CA3-F375-4FA3-BDE4-FDD089D9445B}">
      <text>
        <r>
          <rPr>
            <sz val="9"/>
            <color indexed="81"/>
            <rFont val="Tahoma"/>
            <family val="2"/>
          </rPr>
          <t>Hypothèse de gaz parfait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C1883102-F984-4B1A-AE8F-FA2C3A0383B1}">
      <text>
        <r>
          <rPr>
            <sz val="9"/>
            <color indexed="81"/>
            <rFont val="Tahoma"/>
            <family val="2"/>
          </rPr>
          <t>Il existe aussi des données dans GPA 2145-16. Données légèrement différentes et ctes selon la T</t>
        </r>
      </text>
    </comment>
    <comment ref="J10" authorId="0" shapeId="0" xr:uid="{67CF2D5B-CDE3-476F-BEB3-AD1C254EBC97}">
      <text>
        <r>
          <rPr>
            <sz val="9"/>
            <color indexed="81"/>
            <rFont val="Tahoma"/>
            <family val="2"/>
          </rPr>
          <t>Hypothèse de gaz parfait</t>
        </r>
      </text>
    </comment>
    <comment ref="K10" authorId="0" shapeId="0" xr:uid="{7D88ADAD-6099-4B50-BE52-A4ED83666241}">
      <text>
        <r>
          <rPr>
            <sz val="9"/>
            <color indexed="81"/>
            <rFont val="Tahoma"/>
            <family val="2"/>
          </rPr>
          <t>Hypothèse de gaz parfait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363FEED4-0736-4EC0-B6B5-EFA401B80456}">
      <text>
        <r>
          <rPr>
            <sz val="9"/>
            <color indexed="81"/>
            <rFont val="Tahoma"/>
            <family val="2"/>
          </rPr>
          <t>Il existe aussi des données dans GPA 2145-16. Données légèrement différentes et ctes selon la T</t>
        </r>
      </text>
    </comment>
    <comment ref="J10" authorId="0" shapeId="0" xr:uid="{DE295211-2B1B-4D86-BB77-04637136591F}">
      <text>
        <r>
          <rPr>
            <sz val="9"/>
            <color indexed="81"/>
            <rFont val="Tahoma"/>
            <family val="2"/>
          </rPr>
          <t>Hypothèse de gaz parfait</t>
        </r>
      </text>
    </comment>
    <comment ref="K10" authorId="0" shapeId="0" xr:uid="{BB2E3457-D642-4CDD-8554-4A40359230FE}">
      <text>
        <r>
          <rPr>
            <sz val="9"/>
            <color indexed="81"/>
            <rFont val="Tahoma"/>
            <family val="2"/>
          </rPr>
          <t>Hypothèse de gaz parfait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tc={D9070BAE-CCF4-4E5C-81BF-CC1D2396D0E9}</author>
    <author>Geneviève Bussières</author>
  </authors>
  <commentList>
    <comment ref="AA1" authorId="0" shapeId="0" xr:uid="{D9070BAE-CCF4-4E5C-81BF-CC1D2396D0E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F97A87B2-275E-45A8-BB5C-73DA3E792252}">
      <text>
        <r>
          <rPr>
            <sz val="9"/>
            <color indexed="81"/>
            <rFont val="Tahoma"/>
            <family val="2"/>
          </rPr>
          <t>Il existe aussi des données dans GPA 2145-16. Données légèrement différentes et ctes selon la T</t>
        </r>
      </text>
    </comment>
    <comment ref="J10" authorId="1" shapeId="0" xr:uid="{A2340CD3-F684-4CDA-A056-C2BDA6506877}">
      <text>
        <r>
          <rPr>
            <sz val="9"/>
            <color indexed="81"/>
            <rFont val="Tahoma"/>
            <family val="2"/>
          </rPr>
          <t>Hypothèse de gaz parfait</t>
        </r>
      </text>
    </comment>
    <comment ref="K10" authorId="1" shapeId="0" xr:uid="{A938AFB7-7D5D-4D25-9BC0-8C12A30826A2}">
      <text>
        <r>
          <rPr>
            <sz val="9"/>
            <color indexed="81"/>
            <rFont val="Tahoma"/>
            <family val="2"/>
          </rPr>
          <t>Hypothèse de gaz parfait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tc={26E270EF-E91D-4F30-B844-A5C6F704D976}</author>
    <author>Geneviève Bussières</author>
  </authors>
  <commentList>
    <comment ref="AA1" authorId="0" shapeId="0" xr:uid="{26E270EF-E91D-4F30-B844-A5C6F704D97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FF68F55F-0B08-40D7-84D7-566B79AC3AFA}">
      <text>
        <r>
          <rPr>
            <sz val="9"/>
            <color indexed="81"/>
            <rFont val="Tahoma"/>
            <family val="2"/>
          </rPr>
          <t>Il existe aussi des données dans GPA 2145-16. Données légèrement différentes et ctes selon la T</t>
        </r>
      </text>
    </comment>
    <comment ref="J10" authorId="1" shapeId="0" xr:uid="{B693E76A-45C3-482B-97CD-A9CDAEF0A298}">
      <text>
        <r>
          <rPr>
            <sz val="9"/>
            <color indexed="81"/>
            <rFont val="Tahoma"/>
            <family val="2"/>
          </rPr>
          <t>Hypothèse de gaz parfait</t>
        </r>
      </text>
    </comment>
    <comment ref="K10" authorId="1" shapeId="0" xr:uid="{B3547282-CC64-430D-B305-6BF7D63E3F61}">
      <text>
        <r>
          <rPr>
            <sz val="9"/>
            <color indexed="81"/>
            <rFont val="Tahoma"/>
            <family val="2"/>
          </rPr>
          <t>Hypothèse de gaz parfait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tc={4832862B-4F13-4D3B-B26E-3EA223491B4A}</author>
    <author>Geneviève Bussières</author>
  </authors>
  <commentList>
    <comment ref="AA1" authorId="0" shapeId="0" xr:uid="{4832862B-4F13-4D3B-B26E-3EA223491B4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6A6B22CC-89B7-4A5A-BA95-02E1DABEB218}">
      <text>
        <r>
          <rPr>
            <sz val="9"/>
            <color indexed="81"/>
            <rFont val="Tahoma"/>
            <family val="2"/>
          </rPr>
          <t>Il existe aussi des données dans GPA 2145-16. Données légèrement différentes et ctes selon la T</t>
        </r>
      </text>
    </comment>
    <comment ref="J10" authorId="1" shapeId="0" xr:uid="{B05E8064-A311-4453-A9AF-7B80257BCAF0}">
      <text>
        <r>
          <rPr>
            <sz val="9"/>
            <color indexed="81"/>
            <rFont val="Tahoma"/>
            <family val="2"/>
          </rPr>
          <t>Hypothèse de gaz parfait</t>
        </r>
      </text>
    </comment>
    <comment ref="K10" authorId="1" shapeId="0" xr:uid="{938487B4-A42A-46CE-9A95-171B5A4A79E1}">
      <text>
        <r>
          <rPr>
            <sz val="9"/>
            <color indexed="81"/>
            <rFont val="Tahoma"/>
            <family val="2"/>
          </rPr>
          <t>Hypothèse de gaz parfait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tc={A8DB3656-6650-4320-BACB-9E63EEF93AC8}</author>
    <author>Geneviève Bussières</author>
  </authors>
  <commentList>
    <comment ref="AA1" authorId="0" shapeId="0" xr:uid="{A8DB3656-6650-4320-BACB-9E63EEF93AC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A1D7E67E-DCE7-4D5D-9224-9A75D309CB93}">
      <text>
        <r>
          <rPr>
            <sz val="9"/>
            <color indexed="81"/>
            <rFont val="Tahoma"/>
            <family val="2"/>
          </rPr>
          <t>Il existe aussi des données dans GPA 2145-16. Données légèrement différentes et ctes selon la T</t>
        </r>
      </text>
    </comment>
    <comment ref="J10" authorId="1" shapeId="0" xr:uid="{93CBB6E4-886D-4740-A6EC-32611210EA7A}">
      <text>
        <r>
          <rPr>
            <sz val="9"/>
            <color indexed="81"/>
            <rFont val="Tahoma"/>
            <family val="2"/>
          </rPr>
          <t>Hypothèse de gaz parfait</t>
        </r>
      </text>
    </comment>
    <comment ref="K10" authorId="1" shapeId="0" xr:uid="{8F3FFD35-337B-4518-9B4F-C00B93A0439A}">
      <text>
        <r>
          <rPr>
            <sz val="9"/>
            <color indexed="81"/>
            <rFont val="Tahoma"/>
            <family val="2"/>
          </rPr>
          <t>Hypothèse de gaz parfait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<sst xmlns="http://schemas.openxmlformats.org/spreadsheetml/2006/main" count="6736" uniqueCount="1723">
  <si>
    <t>Chaudière n°1</t>
  </si>
  <si>
    <t>Chaudière n°2</t>
  </si>
  <si>
    <t>Chaudière n°3</t>
  </si>
  <si>
    <t>Chaudière n°4</t>
  </si>
  <si>
    <t>kW</t>
  </si>
  <si>
    <r>
      <t>P</t>
    </r>
    <r>
      <rPr>
        <vertAlign val="subscript"/>
        <sz val="11"/>
        <color theme="0" tint="-0.34998626667073579"/>
        <rFont val="Calibri"/>
        <family val="2"/>
        <scheme val="minor"/>
      </rPr>
      <t>installée</t>
    </r>
  </si>
  <si>
    <t>BHP</t>
  </si>
  <si>
    <t>ligne à masquer</t>
  </si>
  <si>
    <r>
      <t>P</t>
    </r>
    <r>
      <rPr>
        <vertAlign val="subscript"/>
        <sz val="11"/>
        <color theme="0" tint="-0.34998626667073579"/>
        <rFont val="Calibri"/>
        <family val="2"/>
        <scheme val="minor"/>
      </rPr>
      <t>moyenne</t>
    </r>
  </si>
  <si>
    <t>millions Btu/h</t>
  </si>
  <si>
    <t>Efficacité globale de de combustion*:</t>
  </si>
  <si>
    <t>* inclus les pertes par les fumées de combustion et les pertes par radiation et convection, mais exclus les pertes par les purges et les pertes par l'évent du dégazeur</t>
  </si>
  <si>
    <t>&lt; sélectionner &gt;</t>
  </si>
  <si>
    <t>°C</t>
  </si>
  <si>
    <t>Micromodulation</t>
  </si>
  <si>
    <t xml:space="preserve"> °C</t>
  </si>
  <si>
    <t>%</t>
  </si>
  <si>
    <t>Nombre d'heures d'opération annuelles</t>
  </si>
  <si>
    <t>Total:</t>
  </si>
  <si>
    <t>Mesure</t>
  </si>
  <si>
    <t>$</t>
  </si>
  <si>
    <r>
      <t>Ajout sonde de O</t>
    </r>
    <r>
      <rPr>
        <b/>
        <vertAlign val="subscript"/>
        <sz val="11"/>
        <color theme="0"/>
        <rFont val="Calibri"/>
        <family val="2"/>
        <scheme val="minor"/>
      </rPr>
      <t>2</t>
    </r>
  </si>
  <si>
    <t>Isolation thermique</t>
  </si>
  <si>
    <t>Économies de gaz naturel</t>
  </si>
  <si>
    <t>Pompe de condensat</t>
  </si>
  <si>
    <t>Échangeur de chaleur</t>
  </si>
  <si>
    <t>Réservoir</t>
  </si>
  <si>
    <t>Autre équipement</t>
  </si>
  <si>
    <t>Température de l'eau d'appoint:</t>
  </si>
  <si>
    <t>Température du retour de condensat:</t>
  </si>
  <si>
    <t>% de condensat dans l'eau d'alimentation</t>
  </si>
  <si>
    <t>Purge - % de l'eau alimentée à la chaudière:</t>
  </si>
  <si>
    <t>Pression d'opération du dégazeur:</t>
  </si>
  <si>
    <t>kPa</t>
  </si>
  <si>
    <t>kpa</t>
  </si>
  <si>
    <t>Source:</t>
  </si>
  <si>
    <r>
      <t>Estimation de la quantité totale d'énergie fournie au brûleur - Q</t>
    </r>
    <r>
      <rPr>
        <b/>
        <vertAlign val="subscript"/>
        <sz val="11"/>
        <color theme="1"/>
        <rFont val="Calibri"/>
        <family val="2"/>
        <scheme val="minor"/>
      </rPr>
      <t>produite</t>
    </r>
  </si>
  <si>
    <t>Toutes les chaudières</t>
  </si>
  <si>
    <t>Unités</t>
  </si>
  <si>
    <t>Avant l'ajout de toutes mesures</t>
  </si>
  <si>
    <t>Chaleur massique de l'eau:</t>
  </si>
  <si>
    <t>kJ/kg°C</t>
  </si>
  <si>
    <t>kJ/kg</t>
  </si>
  <si>
    <t>Eau alimentée à la chaudière:</t>
  </si>
  <si>
    <t>Température de l'eau alimenté à la chaudière:</t>
  </si>
  <si>
    <t>Enthalpie de l'eau alimentée à la chaudière:</t>
  </si>
  <si>
    <t>Quantité d'eau alimentée:</t>
  </si>
  <si>
    <t>kg/h</t>
  </si>
  <si>
    <t>Calcul Quantité d'eau alimentée:</t>
  </si>
  <si>
    <t>lb/h</t>
  </si>
  <si>
    <r>
      <t>Énergie dans l'eau alimentée -  Q</t>
    </r>
    <r>
      <rPr>
        <vertAlign val="subscript"/>
        <sz val="11"/>
        <color theme="1"/>
        <rFont val="Calibri"/>
        <family val="2"/>
        <scheme val="minor"/>
      </rPr>
      <t>eau alimentée</t>
    </r>
    <r>
      <rPr>
        <sz val="11"/>
        <color theme="1"/>
        <rFont val="Calibri"/>
        <family val="2"/>
        <scheme val="minor"/>
      </rPr>
      <t>:</t>
    </r>
  </si>
  <si>
    <t>Eau d'appoint:</t>
  </si>
  <si>
    <t>Enthalpie de l'eau d'appoint:</t>
  </si>
  <si>
    <t>Quantité disponible pour les utilisateurs:</t>
  </si>
  <si>
    <t>Enthalpie:</t>
  </si>
  <si>
    <t>Résumé:</t>
  </si>
  <si>
    <r>
      <t>Énergie disponible pour l'utilisateur - Q</t>
    </r>
    <r>
      <rPr>
        <vertAlign val="subscript"/>
        <sz val="11"/>
        <color theme="1"/>
        <rFont val="Calibri"/>
        <family val="2"/>
        <scheme val="minor"/>
      </rPr>
      <t>utilisateur</t>
    </r>
    <r>
      <rPr>
        <sz val="11"/>
        <color theme="1"/>
        <rFont val="Calibri"/>
        <family val="2"/>
        <scheme val="minor"/>
      </rPr>
      <t>:</t>
    </r>
  </si>
  <si>
    <r>
      <t>Énergie fournie par l'eau d'alimentation - Q</t>
    </r>
    <r>
      <rPr>
        <vertAlign val="subscript"/>
        <sz val="11"/>
        <color theme="1"/>
        <rFont val="Calibri"/>
        <family val="2"/>
        <scheme val="minor"/>
      </rPr>
      <t>eau alimentée</t>
    </r>
    <r>
      <rPr>
        <sz val="11"/>
        <color theme="1"/>
        <rFont val="Calibri"/>
        <family val="2"/>
        <scheme val="minor"/>
      </rPr>
      <t>:</t>
    </r>
  </si>
  <si>
    <r>
      <t>Quantité totale d'énergie fournie au brûleur - Q</t>
    </r>
    <r>
      <rPr>
        <b/>
        <vertAlign val="subscript"/>
        <sz val="11"/>
        <color theme="1"/>
        <rFont val="Calibri"/>
        <family val="2"/>
        <scheme val="minor"/>
      </rPr>
      <t>produite</t>
    </r>
    <r>
      <rPr>
        <b/>
        <sz val="11"/>
        <color theme="1"/>
        <rFont val="Calibri"/>
        <family val="2"/>
        <scheme val="minor"/>
      </rPr>
      <t>:</t>
    </r>
  </si>
  <si>
    <r>
      <t>Q</t>
    </r>
    <r>
      <rPr>
        <vertAlign val="subscript"/>
        <sz val="11"/>
        <color theme="0" tint="-0.34998626667073579"/>
        <rFont val="Calibri"/>
        <family val="2"/>
        <scheme val="minor"/>
      </rPr>
      <t>produite</t>
    </r>
    <r>
      <rPr>
        <sz val="11"/>
        <color theme="0" tint="-0.34998626667073579"/>
        <rFont val="Calibri"/>
        <family val="2"/>
        <scheme val="minor"/>
      </rPr>
      <t>=Q</t>
    </r>
    <r>
      <rPr>
        <vertAlign val="subscript"/>
        <sz val="11"/>
        <color theme="0" tint="-0.34998626667073579"/>
        <rFont val="Calibri"/>
        <family val="2"/>
        <scheme val="minor"/>
      </rPr>
      <t>dispo</t>
    </r>
    <r>
      <rPr>
        <sz val="11"/>
        <color theme="0" tint="-0.34998626667073579"/>
        <rFont val="Calibri"/>
        <family val="2"/>
        <scheme val="minor"/>
      </rPr>
      <t xml:space="preserve"> </t>
    </r>
    <r>
      <rPr>
        <vertAlign val="subscript"/>
        <sz val="11"/>
        <color theme="0" tint="-0.34998626667073579"/>
        <rFont val="Calibri"/>
        <family val="2"/>
        <scheme val="minor"/>
      </rPr>
      <t>utilisateur</t>
    </r>
    <r>
      <rPr>
        <sz val="11"/>
        <color theme="0" tint="-0.34998626667073579"/>
        <rFont val="Calibri"/>
        <family val="2"/>
        <scheme val="minor"/>
      </rPr>
      <t>+Q</t>
    </r>
    <r>
      <rPr>
        <vertAlign val="subscript"/>
        <sz val="11"/>
        <color theme="0" tint="-0.34998626667073579"/>
        <rFont val="Calibri"/>
        <family val="2"/>
        <scheme val="minor"/>
      </rPr>
      <t>purges</t>
    </r>
    <r>
      <rPr>
        <sz val="11"/>
        <color theme="0" tint="-0.34998626667073579"/>
        <rFont val="Calibri"/>
        <family val="2"/>
        <scheme val="minor"/>
      </rPr>
      <t>+Q</t>
    </r>
    <r>
      <rPr>
        <vertAlign val="subscript"/>
        <sz val="11"/>
        <color theme="0" tint="-0.34998626667073579"/>
        <rFont val="Calibri"/>
        <family val="2"/>
        <scheme val="minor"/>
      </rPr>
      <t>évent</t>
    </r>
    <r>
      <rPr>
        <sz val="11"/>
        <color theme="0" tint="-0.34998626667073579"/>
        <rFont val="Calibri"/>
        <family val="2"/>
        <scheme val="minor"/>
      </rPr>
      <t>-Q</t>
    </r>
    <r>
      <rPr>
        <vertAlign val="subscript"/>
        <sz val="11"/>
        <color theme="0" tint="-0.34998626667073579"/>
        <rFont val="Calibri"/>
        <family val="2"/>
        <scheme val="minor"/>
      </rPr>
      <t>eau alimentée</t>
    </r>
  </si>
  <si>
    <r>
      <t>Q</t>
    </r>
    <r>
      <rPr>
        <b/>
        <vertAlign val="subscript"/>
        <sz val="11"/>
        <color theme="1"/>
        <rFont val="Calibri"/>
        <family val="2"/>
        <scheme val="minor"/>
      </rPr>
      <t>produite</t>
    </r>
    <r>
      <rPr>
        <b/>
        <sz val="11"/>
        <color theme="1"/>
        <rFont val="Calibri"/>
        <family val="2"/>
        <scheme val="minor"/>
      </rPr>
      <t>/efficacité de combustion:</t>
    </r>
  </si>
  <si>
    <t>kw</t>
  </si>
  <si>
    <t>m3/h</t>
  </si>
  <si>
    <r>
      <t xml:space="preserve">Quantité disponible pour les utilisateurs: </t>
    </r>
    <r>
      <rPr>
        <sz val="11"/>
        <color rgb="FFFF0000"/>
        <rFont val="Calibri"/>
        <family val="2"/>
        <scheme val="minor"/>
      </rPr>
      <t>(fixe même avec MEE)</t>
    </r>
  </si>
  <si>
    <t>EFFICACITE</t>
  </si>
  <si>
    <t>Hout</t>
  </si>
  <si>
    <t>J / mol gaz</t>
  </si>
  <si>
    <t>BILAN THERMIQUE</t>
  </si>
  <si>
    <t>Hin</t>
  </si>
  <si>
    <t>CALCUL ÉNERGIE</t>
  </si>
  <si>
    <t>AIR</t>
  </si>
  <si>
    <t>M</t>
  </si>
  <si>
    <t>Densité</t>
  </si>
  <si>
    <r>
      <t>T (</t>
    </r>
    <r>
      <rPr>
        <b/>
        <vertAlign val="superscript"/>
        <sz val="10"/>
        <rFont val="Arial"/>
        <family val="2"/>
      </rPr>
      <t>o</t>
    </r>
    <r>
      <rPr>
        <b/>
        <sz val="10"/>
        <rFont val="Arial"/>
        <family val="2"/>
      </rPr>
      <t>C) =</t>
    </r>
  </si>
  <si>
    <r>
      <t>Cp = a + bTx10</t>
    </r>
    <r>
      <rPr>
        <b/>
        <vertAlign val="superscript"/>
        <sz val="10"/>
        <rFont val="Arial"/>
        <family val="2"/>
      </rPr>
      <t xml:space="preserve">2 </t>
    </r>
    <r>
      <rPr>
        <b/>
        <sz val="10"/>
        <rFont val="Arial"/>
        <family val="2"/>
      </rPr>
      <t>+ cT</t>
    </r>
    <r>
      <rPr>
        <b/>
        <vertAlign val="superscript"/>
        <sz val="10"/>
        <rFont val="Arial"/>
        <family val="2"/>
      </rPr>
      <t>2</t>
    </r>
    <r>
      <rPr>
        <b/>
        <sz val="10"/>
        <rFont val="Arial"/>
        <family val="2"/>
      </rPr>
      <t>10</t>
    </r>
    <r>
      <rPr>
        <b/>
        <vertAlign val="superscript"/>
        <sz val="10"/>
        <rFont val="Arial"/>
        <family val="2"/>
      </rPr>
      <t xml:space="preserve">5 </t>
    </r>
    <r>
      <rPr>
        <b/>
        <sz val="10"/>
        <rFont val="Arial"/>
        <family val="2"/>
      </rPr>
      <t>+ dT</t>
    </r>
    <r>
      <rPr>
        <b/>
        <vertAlign val="superscript"/>
        <sz val="10"/>
        <rFont val="Arial"/>
        <family val="2"/>
      </rPr>
      <t>3</t>
    </r>
    <r>
      <rPr>
        <b/>
        <sz val="10"/>
        <rFont val="Arial"/>
        <family val="2"/>
      </rPr>
      <t>*10</t>
    </r>
    <r>
      <rPr>
        <b/>
        <vertAlign val="superscript"/>
        <sz val="10"/>
        <rFont val="Arial"/>
        <family val="2"/>
      </rPr>
      <t>9</t>
    </r>
  </si>
  <si>
    <t>Mélange</t>
  </si>
  <si>
    <t>Débit</t>
  </si>
  <si>
    <r>
      <t>Cp</t>
    </r>
    <r>
      <rPr>
        <b/>
        <vertAlign val="subscript"/>
        <sz val="10"/>
        <rFont val="Arial"/>
        <family val="2"/>
      </rPr>
      <t>moy</t>
    </r>
  </si>
  <si>
    <t>H</t>
  </si>
  <si>
    <t>État gazeux sauf si indication</t>
  </si>
  <si>
    <t>g / mol</t>
  </si>
  <si>
    <t>a</t>
  </si>
  <si>
    <t>b</t>
  </si>
  <si>
    <t>c</t>
  </si>
  <si>
    <t>d</t>
  </si>
  <si>
    <r>
      <t>kg / m</t>
    </r>
    <r>
      <rPr>
        <b/>
        <vertAlign val="superscript"/>
        <sz val="10"/>
        <rFont val="Arial"/>
        <family val="2"/>
      </rPr>
      <t>3</t>
    </r>
  </si>
  <si>
    <t>mol / mol gaz</t>
  </si>
  <si>
    <r>
      <t xml:space="preserve">J / mol </t>
    </r>
    <r>
      <rPr>
        <b/>
        <vertAlign val="superscript"/>
        <sz val="8"/>
        <rFont val="Arial"/>
        <family val="2"/>
      </rPr>
      <t>o</t>
    </r>
    <r>
      <rPr>
        <b/>
        <sz val="8"/>
        <rFont val="Arial"/>
        <family val="2"/>
      </rPr>
      <t>C</t>
    </r>
  </si>
  <si>
    <t>Oxygène</t>
  </si>
  <si>
    <r>
      <t>O</t>
    </r>
    <r>
      <rPr>
        <vertAlign val="subscript"/>
        <sz val="10"/>
        <rFont val="Arial"/>
        <family val="2"/>
      </rPr>
      <t>2</t>
    </r>
  </si>
  <si>
    <t>CO</t>
  </si>
  <si>
    <r>
      <t>CO</t>
    </r>
    <r>
      <rPr>
        <vertAlign val="subscript"/>
        <sz val="10"/>
        <rFont val="Arial"/>
        <family val="2"/>
      </rPr>
      <t>2</t>
    </r>
  </si>
  <si>
    <t>Hydrogène</t>
  </si>
  <si>
    <r>
      <t>H</t>
    </r>
    <r>
      <rPr>
        <vertAlign val="subscript"/>
        <sz val="10"/>
        <rFont val="Arial"/>
        <family val="2"/>
      </rPr>
      <t>2</t>
    </r>
  </si>
  <si>
    <t>Eau (v)</t>
  </si>
  <si>
    <t>Enthalpie vaporisation (J/mol)</t>
  </si>
  <si>
    <t>Eau (l)</t>
  </si>
  <si>
    <t>Méthane</t>
  </si>
  <si>
    <r>
      <t>CH</t>
    </r>
    <r>
      <rPr>
        <vertAlign val="subscript"/>
        <sz val="10"/>
        <rFont val="Arial"/>
        <family val="2"/>
      </rPr>
      <t>4</t>
    </r>
  </si>
  <si>
    <t>Éthane</t>
  </si>
  <si>
    <t>Propane</t>
  </si>
  <si>
    <t>n-Butane</t>
  </si>
  <si>
    <t>Azote</t>
  </si>
  <si>
    <r>
      <t>N</t>
    </r>
    <r>
      <rPr>
        <vertAlign val="subscript"/>
        <sz val="10"/>
        <rFont val="Arial"/>
        <family val="2"/>
      </rPr>
      <t>2</t>
    </r>
  </si>
  <si>
    <t>Hélium</t>
  </si>
  <si>
    <t>He</t>
  </si>
  <si>
    <t>SOMME</t>
  </si>
  <si>
    <t>kJ / mol</t>
  </si>
  <si>
    <t>kJ / kg</t>
  </si>
  <si>
    <r>
      <t>MJ / m</t>
    </r>
    <r>
      <rPr>
        <vertAlign val="superscript"/>
        <sz val="10"/>
        <rFont val="Arial"/>
        <family val="2"/>
      </rPr>
      <t>3</t>
    </r>
  </si>
  <si>
    <t>Référence</t>
  </si>
  <si>
    <t>Elementary Principles of Chemical Processes</t>
  </si>
  <si>
    <t>Constitution de l'air sec</t>
  </si>
  <si>
    <t>BILAN MASSIQUE</t>
  </si>
  <si>
    <t>Autres</t>
  </si>
  <si>
    <t>COMPOSITION</t>
  </si>
  <si>
    <r>
      <t>CO</t>
    </r>
    <r>
      <rPr>
        <b/>
        <vertAlign val="subscript"/>
        <sz val="10"/>
        <rFont val="Arial"/>
        <family val="2"/>
      </rPr>
      <t>2</t>
    </r>
  </si>
  <si>
    <r>
      <t>H</t>
    </r>
    <r>
      <rPr>
        <b/>
        <vertAlign val="subscript"/>
        <sz val="10"/>
        <rFont val="Arial"/>
        <family val="2"/>
      </rPr>
      <t>2</t>
    </r>
    <r>
      <rPr>
        <b/>
        <sz val="10"/>
        <rFont val="Arial"/>
        <family val="2"/>
      </rPr>
      <t>O</t>
    </r>
  </si>
  <si>
    <r>
      <t>N</t>
    </r>
    <r>
      <rPr>
        <b/>
        <vertAlign val="subscript"/>
        <sz val="10"/>
        <rFont val="Arial"/>
        <family val="2"/>
      </rPr>
      <t>2</t>
    </r>
  </si>
  <si>
    <t>TOTAL</t>
  </si>
  <si>
    <r>
      <t>O</t>
    </r>
    <r>
      <rPr>
        <b/>
        <vertAlign val="subscript"/>
        <sz val="10"/>
        <rFont val="Arial"/>
        <family val="2"/>
      </rPr>
      <t>2</t>
    </r>
    <r>
      <rPr>
        <b/>
        <sz val="10"/>
        <rFont val="Arial"/>
        <family val="2"/>
      </rPr>
      <t xml:space="preserve"> requis</t>
    </r>
  </si>
  <si>
    <t>GAZ (ÉTAT GAZEUX)</t>
  </si>
  <si>
    <t>AIR DE COMBUSTION</t>
  </si>
  <si>
    <t>FUMÉES</t>
  </si>
  <si>
    <t>MASSIQUE</t>
  </si>
  <si>
    <r>
      <t>% O</t>
    </r>
    <r>
      <rPr>
        <b/>
        <vertAlign val="subscript"/>
        <sz val="10"/>
        <rFont val="Arial"/>
        <family val="2"/>
      </rPr>
      <t>2</t>
    </r>
  </si>
  <si>
    <t>% EA</t>
  </si>
  <si>
    <r>
      <t>% CO</t>
    </r>
    <r>
      <rPr>
        <b/>
        <vertAlign val="subscript"/>
        <sz val="10"/>
        <rFont val="Arial"/>
        <family val="2"/>
      </rPr>
      <t>2</t>
    </r>
  </si>
  <si>
    <t>RÉSULTATS</t>
  </si>
  <si>
    <t>Proportion (%)</t>
  </si>
  <si>
    <t>Base Hum</t>
  </si>
  <si>
    <t>Base Sec</t>
  </si>
  <si>
    <t>Calcul de l'excès d'air (base sèche)</t>
  </si>
  <si>
    <t>Oxygène dans les fumées (base sèche)</t>
  </si>
  <si>
    <t>Excès oxygène</t>
  </si>
  <si>
    <t>Eau (liquide et vapeur)</t>
  </si>
  <si>
    <t>Excès air</t>
  </si>
  <si>
    <t>Condensation (liquide)</t>
  </si>
  <si>
    <t>g/mol</t>
  </si>
  <si>
    <t>Air de combustion</t>
  </si>
  <si>
    <t>Condensation des fumées</t>
  </si>
  <si>
    <t>Humidité (sans condensation)</t>
  </si>
  <si>
    <t>mol / mol fumées</t>
  </si>
  <si>
    <t>Température des fumées</t>
  </si>
  <si>
    <t>Point de rosée</t>
  </si>
  <si>
    <t>Vapeur d'eau</t>
  </si>
  <si>
    <t>Fumées sèches</t>
  </si>
  <si>
    <t>Humidité</t>
  </si>
  <si>
    <t>Condensation</t>
  </si>
  <si>
    <t>Humidité relative</t>
  </si>
  <si>
    <t>PRESSION ATMOSPHÉRIQUE</t>
  </si>
  <si>
    <t>TABLE VAPEUR SATURÉE</t>
  </si>
  <si>
    <t>Altitude</t>
  </si>
  <si>
    <r>
      <t>Tsat (</t>
    </r>
    <r>
      <rPr>
        <b/>
        <vertAlign val="superscript"/>
        <sz val="10"/>
        <rFont val="Arial"/>
        <family val="2"/>
      </rPr>
      <t>o</t>
    </r>
    <r>
      <rPr>
        <b/>
        <sz val="10"/>
        <rFont val="Arial"/>
        <family val="2"/>
      </rPr>
      <t>C)</t>
    </r>
  </si>
  <si>
    <t>Psat (Pa)</t>
  </si>
  <si>
    <t>Pa</t>
  </si>
  <si>
    <t>Température</t>
  </si>
  <si>
    <t>Pression saturation</t>
  </si>
  <si>
    <t>Pression vapeur eau</t>
  </si>
  <si>
    <t>H2O / Air sec</t>
  </si>
  <si>
    <t>mol / mol</t>
  </si>
  <si>
    <t>lb / lb</t>
  </si>
  <si>
    <t>H2O / Air humide</t>
  </si>
  <si>
    <t>Température de rosée</t>
  </si>
  <si>
    <t>Fumées totales</t>
  </si>
  <si>
    <t>sans condensation</t>
  </si>
  <si>
    <t>Pression vapeur</t>
  </si>
  <si>
    <t>Contenu H2O à saturation</t>
  </si>
  <si>
    <t>g / mol gaz</t>
  </si>
  <si>
    <t>Psat AIR COMBUSTION</t>
  </si>
  <si>
    <t>T</t>
  </si>
  <si>
    <t>Psat</t>
  </si>
  <si>
    <t>CALCUL ROSÉE AIR COMB</t>
  </si>
  <si>
    <t>CALCUL FUMÉES</t>
  </si>
  <si>
    <t>Données vapeur</t>
  </si>
  <si>
    <t>Conversion: 1 kJ/kg = 0,42993 Btu/lb</t>
  </si>
  <si>
    <t>Source: Van Wylen et al.</t>
  </si>
  <si>
    <t>Vapeur saturée</t>
  </si>
  <si>
    <t>Vapeur surchauffée</t>
  </si>
  <si>
    <t>Chaudière 1</t>
  </si>
  <si>
    <t>Chaudière 2</t>
  </si>
  <si>
    <t>Chaudière 3</t>
  </si>
  <si>
    <t>Chaudière 4</t>
  </si>
  <si>
    <t>Degré de surchauffe (°C)</t>
  </si>
  <si>
    <t>Pression relative - psi</t>
  </si>
  <si>
    <t>Pression relative - kPa</t>
  </si>
  <si>
    <t>T° saturation</t>
  </si>
  <si>
    <t>Liquide sat (hf)</t>
  </si>
  <si>
    <t>Évaporation (hgf)</t>
  </si>
  <si>
    <t>Vapeur sat (hg)</t>
  </si>
  <si>
    <t>Pression relative (kPa)</t>
  </si>
  <si>
    <t>Tsat (°C)</t>
  </si>
  <si>
    <t>H at T°surch</t>
  </si>
  <si>
    <t>Facteurs de conversion:</t>
  </si>
  <si>
    <t>Facteur de conversion</t>
  </si>
  <si>
    <t>Pression:</t>
  </si>
  <si>
    <t>Longueur:</t>
  </si>
  <si>
    <t>Gaz naturel:</t>
  </si>
  <si>
    <t>Description</t>
  </si>
  <si>
    <t>Subvention ($)</t>
  </si>
  <si>
    <t>Unité</t>
  </si>
  <si>
    <t>Plafond maximal - montant</t>
  </si>
  <si>
    <t>Chaudière à vapeur uniquement</t>
  </si>
  <si>
    <t>Économiseur</t>
  </si>
  <si>
    <t>Capacité</t>
  </si>
  <si>
    <t>Non-intégré (chaudière neuve ou en retrofit)</t>
  </si>
  <si>
    <t>Intégré (chaudière neuve)</t>
  </si>
  <si>
    <t>Non- intégré</t>
  </si>
  <si>
    <t>Intégré</t>
  </si>
  <si>
    <t>Non-condensant</t>
  </si>
  <si>
    <t>Condensant</t>
  </si>
  <si>
    <t>75% des coûts admissibles</t>
  </si>
  <si>
    <t>N/A</t>
  </si>
  <si>
    <t>Chaudière à vapeur et à eau en retrofit uniquement</t>
  </si>
  <si>
    <t>Micro-modulation</t>
  </si>
  <si>
    <t>Retrofit (brûleur existant et nouveau brûleur)</t>
  </si>
  <si>
    <t>Par chaudière</t>
  </si>
  <si>
    <t>Nouvelle chaudière</t>
  </si>
  <si>
    <t>Non-admissible</t>
  </si>
  <si>
    <r>
      <t>Sonde de O</t>
    </r>
    <r>
      <rPr>
        <b/>
        <vertAlign val="subscript"/>
        <sz val="11"/>
        <color theme="1"/>
        <rFont val="Calibri"/>
        <family val="2"/>
        <scheme val="minor"/>
      </rPr>
      <t>2</t>
    </r>
  </si>
  <si>
    <t>Chaudière existante</t>
  </si>
  <si>
    <t>&lt;1''</t>
  </si>
  <si>
    <t>1 à 2''</t>
  </si>
  <si>
    <t>&gt;6''</t>
  </si>
  <si>
    <t>Vanne de contrôle</t>
  </si>
  <si>
    <t>Par unité</t>
  </si>
  <si>
    <t>Régulateur de pression</t>
  </si>
  <si>
    <t>Vanne d'isolation</t>
  </si>
  <si>
    <t>Vanne de sûreté</t>
  </si>
  <si>
    <t>Séparateur</t>
  </si>
  <si>
    <t>Filtre</t>
  </si>
  <si>
    <t>Sub fixe</t>
  </si>
  <si>
    <t>Pompe à condensat</t>
  </si>
  <si>
    <r>
      <t>$/pi</t>
    </r>
    <r>
      <rPr>
        <b/>
        <vertAlign val="superscript"/>
        <sz val="11"/>
        <color theme="1"/>
        <rFont val="Calibri"/>
        <family val="2"/>
        <scheme val="minor"/>
      </rPr>
      <t>2</t>
    </r>
    <r>
      <rPr>
        <b/>
        <sz val="11"/>
        <color theme="1"/>
        <rFont val="Calibri"/>
        <family val="2"/>
        <scheme val="minor"/>
      </rPr>
      <t xml:space="preserve"> d'isolant</t>
    </r>
  </si>
  <si>
    <r>
      <t>Par pi</t>
    </r>
    <r>
      <rPr>
        <vertAlign val="superscript"/>
        <sz val="11"/>
        <color theme="1"/>
        <rFont val="Calibri"/>
        <family val="2"/>
        <scheme val="minor"/>
      </rPr>
      <t>2</t>
    </r>
    <r>
      <rPr>
        <sz val="11"/>
        <color theme="1"/>
        <rFont val="Calibri"/>
        <family val="2"/>
        <scheme val="minor"/>
      </rPr>
      <t xml:space="preserve"> d'isolant</t>
    </r>
  </si>
  <si>
    <t>Autre équipement non listé sur approbabtion</t>
  </si>
  <si>
    <t>Mesures</t>
  </si>
  <si>
    <t>Non</t>
  </si>
  <si>
    <t>Type de vanne</t>
  </si>
  <si>
    <t>Bilan ok:</t>
  </si>
  <si>
    <r>
      <t xml:space="preserve">Puissance moyenne totale de production de vapeur de la </t>
    </r>
    <r>
      <rPr>
        <b/>
        <sz val="11"/>
        <color theme="1"/>
        <rFont val="Calibri"/>
        <family val="2"/>
        <scheme val="minor"/>
      </rPr>
      <t>chaufferie</t>
    </r>
  </si>
  <si>
    <t>Proportion:</t>
  </si>
  <si>
    <t>vérification:</t>
  </si>
  <si>
    <t>Type de vapeur</t>
  </si>
  <si>
    <t>Vapeur</t>
  </si>
  <si>
    <t>Eau chaude</t>
  </si>
  <si>
    <t>inclus les pertes par les fumées seulement</t>
  </si>
  <si>
    <t>Perte par radiation et convection:</t>
  </si>
  <si>
    <t>Efficacité globale de combustion:</t>
  </si>
  <si>
    <t>Efficacité thermique (%):</t>
  </si>
  <si>
    <t>Perte par convection et radiation:</t>
  </si>
  <si>
    <t>x</t>
  </si>
  <si>
    <t>="average loading"</t>
  </si>
  <si>
    <t>Répartition par chaudière</t>
  </si>
  <si>
    <t>Résultat</t>
  </si>
  <si>
    <t>Bilan d'énergie - sans mesure d'EE</t>
  </si>
  <si>
    <t>Bilan d'énergie - après TOUTES les mesures d'EE</t>
  </si>
  <si>
    <t>Résumé des mesure installée</t>
  </si>
  <si>
    <t>Isolation</t>
  </si>
  <si>
    <t>s</t>
  </si>
  <si>
    <t>Type de condenseur pour validation de la température des fumées à la sortie du condenseur:</t>
  </si>
  <si>
    <t>TEMP. CONDENSATION FUMÉES</t>
  </si>
  <si>
    <t>Humidité relative des fumées</t>
  </si>
  <si>
    <t>mol / mol fumées humides</t>
  </si>
  <si>
    <r>
      <t>o</t>
    </r>
    <r>
      <rPr>
        <sz val="10"/>
        <rFont val="Arial"/>
        <family val="2"/>
      </rPr>
      <t>C</t>
    </r>
  </si>
  <si>
    <t>H2O / mol gaz</t>
  </si>
  <si>
    <t>H2O / Fumées humides</t>
  </si>
  <si>
    <t>H2O / Fumées sèches</t>
  </si>
  <si>
    <r>
      <t>M</t>
    </r>
    <r>
      <rPr>
        <b/>
        <vertAlign val="subscript"/>
        <sz val="10"/>
        <rFont val="Arial"/>
        <family val="2"/>
      </rPr>
      <t>fumées sèches</t>
    </r>
  </si>
  <si>
    <r>
      <t>Humidité (H</t>
    </r>
    <r>
      <rPr>
        <vertAlign val="subscript"/>
        <sz val="10"/>
        <rFont val="Arial"/>
        <family val="2"/>
      </rPr>
      <t>2</t>
    </r>
    <r>
      <rPr>
        <sz val="10"/>
        <rFont val="Arial"/>
        <family val="2"/>
      </rPr>
      <t>O)</t>
    </r>
  </si>
  <si>
    <t>Pression baro, corrigée pour l'altitude</t>
  </si>
  <si>
    <t>Pression barométrique, au niveau de la mer</t>
  </si>
  <si>
    <t>Mtl = 36m</t>
  </si>
  <si>
    <t>m</t>
  </si>
  <si>
    <t>HUMIDITÉ</t>
  </si>
  <si>
    <t>Masse molaire de l'air (ISO 6976-2016):</t>
  </si>
  <si>
    <t>mol / mol combustible</t>
  </si>
  <si>
    <t>Fumées humides</t>
  </si>
  <si>
    <r>
      <t>Saturation (T</t>
    </r>
    <r>
      <rPr>
        <vertAlign val="subscript"/>
        <sz val="10"/>
        <rFont val="Arial"/>
        <family val="2"/>
      </rPr>
      <t>fumées</t>
    </r>
    <r>
      <rPr>
        <sz val="10"/>
        <rFont val="Arial"/>
        <family val="2"/>
      </rPr>
      <t>)</t>
    </r>
  </si>
  <si>
    <r>
      <t>kg/m</t>
    </r>
    <r>
      <rPr>
        <vertAlign val="superscript"/>
        <sz val="10"/>
        <rFont val="Arial"/>
        <family val="2"/>
      </rPr>
      <t>3</t>
    </r>
  </si>
  <si>
    <t>Masse volumique des fumées</t>
  </si>
  <si>
    <t>Masse moléculaire</t>
  </si>
  <si>
    <t>Air stoechiométrique</t>
  </si>
  <si>
    <t>Oxygène stoechiométrique</t>
  </si>
  <si>
    <t>Dioxyde de carbone</t>
  </si>
  <si>
    <t>Dioxyde de carbone dans les fumées (base sèche)</t>
  </si>
  <si>
    <t>mol/mol combustible</t>
  </si>
  <si>
    <t>(mol/mol combustible)</t>
  </si>
  <si>
    <r>
      <t>C</t>
    </r>
    <r>
      <rPr>
        <vertAlign val="subscript"/>
        <sz val="10"/>
        <rFont val="Arial"/>
        <family val="2"/>
      </rPr>
      <t>6</t>
    </r>
    <r>
      <rPr>
        <sz val="10"/>
        <rFont val="Arial"/>
        <family val="2"/>
      </rPr>
      <t>H</t>
    </r>
    <r>
      <rPr>
        <vertAlign val="subscript"/>
        <sz val="10"/>
        <rFont val="Arial"/>
        <family val="2"/>
      </rPr>
      <t>14</t>
    </r>
  </si>
  <si>
    <t>Hexane</t>
  </si>
  <si>
    <r>
      <t>n-C</t>
    </r>
    <r>
      <rPr>
        <vertAlign val="subscript"/>
        <sz val="10"/>
        <rFont val="Arial"/>
        <family val="2"/>
      </rPr>
      <t>5</t>
    </r>
    <r>
      <rPr>
        <sz val="10"/>
        <rFont val="Arial"/>
        <family val="2"/>
      </rPr>
      <t>H</t>
    </r>
    <r>
      <rPr>
        <vertAlign val="subscript"/>
        <sz val="10"/>
        <rFont val="Arial"/>
        <family val="2"/>
      </rPr>
      <t>12</t>
    </r>
  </si>
  <si>
    <t>n-Pentane</t>
  </si>
  <si>
    <r>
      <t>i-C</t>
    </r>
    <r>
      <rPr>
        <vertAlign val="subscript"/>
        <sz val="10"/>
        <rFont val="Arial"/>
        <family val="2"/>
      </rPr>
      <t>5</t>
    </r>
    <r>
      <rPr>
        <sz val="10"/>
        <rFont val="Arial"/>
        <family val="2"/>
      </rPr>
      <t>H</t>
    </r>
    <r>
      <rPr>
        <vertAlign val="subscript"/>
        <sz val="10"/>
        <rFont val="Arial"/>
        <family val="2"/>
      </rPr>
      <t>12</t>
    </r>
  </si>
  <si>
    <t>i-Pentane</t>
  </si>
  <si>
    <r>
      <t>C</t>
    </r>
    <r>
      <rPr>
        <vertAlign val="subscript"/>
        <sz val="10"/>
        <rFont val="Arial"/>
        <family val="2"/>
      </rPr>
      <t>4</t>
    </r>
    <r>
      <rPr>
        <sz val="10"/>
        <rFont val="Arial"/>
        <family val="2"/>
      </rPr>
      <t>H</t>
    </r>
    <r>
      <rPr>
        <vertAlign val="subscript"/>
        <sz val="10"/>
        <rFont val="Arial"/>
        <family val="2"/>
      </rPr>
      <t>10</t>
    </r>
  </si>
  <si>
    <t>i-Butane**</t>
  </si>
  <si>
    <r>
      <t>C</t>
    </r>
    <r>
      <rPr>
        <vertAlign val="subscript"/>
        <sz val="10"/>
        <rFont val="Arial"/>
        <family val="2"/>
      </rPr>
      <t>3</t>
    </r>
    <r>
      <rPr>
        <sz val="10"/>
        <rFont val="Arial"/>
        <family val="2"/>
      </rPr>
      <t>H</t>
    </r>
    <r>
      <rPr>
        <vertAlign val="subscript"/>
        <sz val="10"/>
        <rFont val="Arial"/>
        <family val="2"/>
      </rPr>
      <t>8</t>
    </r>
  </si>
  <si>
    <r>
      <t>C</t>
    </r>
    <r>
      <rPr>
        <vertAlign val="subscript"/>
        <sz val="10"/>
        <rFont val="Arial"/>
        <family val="2"/>
      </rPr>
      <t>2</t>
    </r>
    <r>
      <rPr>
        <sz val="10"/>
        <rFont val="Arial"/>
        <family val="2"/>
      </rPr>
      <t>H</t>
    </r>
    <r>
      <rPr>
        <vertAlign val="subscript"/>
        <sz val="10"/>
        <rFont val="Arial"/>
        <family val="2"/>
      </rPr>
      <t>6</t>
    </r>
  </si>
  <si>
    <r>
      <t>H</t>
    </r>
    <r>
      <rPr>
        <vertAlign val="subscript"/>
        <sz val="10"/>
        <rFont val="Arial"/>
        <family val="2"/>
      </rPr>
      <t>2</t>
    </r>
    <r>
      <rPr>
        <sz val="10"/>
        <rFont val="Arial"/>
        <family val="2"/>
      </rPr>
      <t>O (v)</t>
    </r>
  </si>
  <si>
    <t>Monoxyde de carbone</t>
  </si>
  <si>
    <t>(mol / 100 mol gaz combustible)</t>
  </si>
  <si>
    <r>
      <t>GAZ DE COMBUSTION STOECHIOMÉTRIQUE</t>
    </r>
    <r>
      <rPr>
        <sz val="10"/>
        <rFont val="Arial"/>
        <family val="2"/>
      </rPr>
      <t xml:space="preserve"> (mol/mol combustible)</t>
    </r>
  </si>
  <si>
    <t>CALCUL DE LA COMBUSTION STOECHIOMÉTRIQUE</t>
  </si>
  <si>
    <t>(hyp: gaz parfait)</t>
  </si>
  <si>
    <t>Btu / gal</t>
  </si>
  <si>
    <r>
      <t>Btu / lb</t>
    </r>
    <r>
      <rPr>
        <vertAlign val="subscript"/>
        <sz val="10"/>
        <rFont val="Arial"/>
        <family val="2"/>
      </rPr>
      <t>m</t>
    </r>
  </si>
  <si>
    <t>ISO 6976-2016</t>
  </si>
  <si>
    <r>
      <t>Btu / pi</t>
    </r>
    <r>
      <rPr>
        <vertAlign val="superscript"/>
        <sz val="10"/>
        <rFont val="Arial"/>
        <family val="2"/>
      </rPr>
      <t>3</t>
    </r>
  </si>
  <si>
    <t>R M Felder et R W Rousseau, Elementary Principles of Chemical Processes, Wiley Series in Chemical Engineering, Second Edition</t>
  </si>
  <si>
    <t>Références :</t>
  </si>
  <si>
    <t>J/mol K (source: ISO 6976-2016)</t>
  </si>
  <si>
    <t>Constante molaire des gaz, R =</t>
  </si>
  <si>
    <t>supérieur (PCS)</t>
  </si>
  <si>
    <t>inférieur (PCI)</t>
  </si>
  <si>
    <t>** Hyp.: mêmes propriétés que n-pentane</t>
  </si>
  <si>
    <t>Pourvoir calorifique</t>
  </si>
  <si>
    <t>K</t>
  </si>
  <si>
    <t>psi</t>
  </si>
  <si>
    <r>
      <rPr>
        <sz val="8"/>
        <rFont val="Calibri"/>
        <family val="2"/>
      </rPr>
      <t>°</t>
    </r>
    <r>
      <rPr>
        <sz val="8"/>
        <rFont val="Arial"/>
        <family val="2"/>
      </rPr>
      <t>C</t>
    </r>
  </si>
  <si>
    <t>* Référence. T =</t>
  </si>
  <si>
    <t>i-Pentane**</t>
  </si>
  <si>
    <r>
      <t>n-C</t>
    </r>
    <r>
      <rPr>
        <vertAlign val="subscript"/>
        <sz val="10"/>
        <rFont val="Arial"/>
        <family val="2"/>
      </rPr>
      <t>4</t>
    </r>
    <r>
      <rPr>
        <sz val="10"/>
        <rFont val="Arial"/>
        <family val="2"/>
      </rPr>
      <t>H</t>
    </r>
    <r>
      <rPr>
        <vertAlign val="subscript"/>
        <sz val="10"/>
        <rFont val="Arial"/>
        <family val="2"/>
      </rPr>
      <t>10</t>
    </r>
  </si>
  <si>
    <r>
      <t>i-C</t>
    </r>
    <r>
      <rPr>
        <vertAlign val="subscript"/>
        <sz val="10"/>
        <rFont val="Arial"/>
        <family val="2"/>
      </rPr>
      <t>4</t>
    </r>
    <r>
      <rPr>
        <sz val="10"/>
        <rFont val="Arial"/>
        <family val="2"/>
      </rPr>
      <t>H</t>
    </r>
    <r>
      <rPr>
        <vertAlign val="subscript"/>
        <sz val="10"/>
        <rFont val="Arial"/>
        <family val="2"/>
      </rPr>
      <t>10</t>
    </r>
  </si>
  <si>
    <t>i-Butane</t>
  </si>
  <si>
    <r>
      <t>H</t>
    </r>
    <r>
      <rPr>
        <vertAlign val="subscript"/>
        <sz val="10"/>
        <rFont val="Arial"/>
        <family val="2"/>
      </rPr>
      <t>2</t>
    </r>
    <r>
      <rPr>
        <sz val="10"/>
        <rFont val="Arial"/>
        <family val="2"/>
      </rPr>
      <t>O (l)</t>
    </r>
  </si>
  <si>
    <t>J/mol</t>
  </si>
  <si>
    <t>s.o.</t>
  </si>
  <si>
    <t>ISO 6976:2016,section 7.2</t>
  </si>
  <si>
    <t>ISO 6976:2016</t>
  </si>
  <si>
    <r>
      <t>PCS à 15,55</t>
    </r>
    <r>
      <rPr>
        <b/>
        <sz val="10"/>
        <rFont val="Calibri"/>
        <family val="2"/>
      </rPr>
      <t>°</t>
    </r>
    <r>
      <rPr>
        <b/>
        <sz val="10"/>
        <rFont val="Arial"/>
        <family val="2"/>
      </rPr>
      <t>C</t>
    </r>
  </si>
  <si>
    <r>
      <t>Nbre d'atomes d'H</t>
    </r>
    <r>
      <rPr>
        <b/>
        <vertAlign val="subscript"/>
        <sz val="10"/>
        <rFont val="Arial"/>
        <family val="2"/>
      </rPr>
      <t>2</t>
    </r>
    <r>
      <rPr>
        <b/>
        <sz val="10"/>
        <rFont val="Arial"/>
        <family val="2"/>
      </rPr>
      <t xml:space="preserve"> (b</t>
    </r>
    <r>
      <rPr>
        <b/>
        <vertAlign val="subscript"/>
        <sz val="10"/>
        <rFont val="Arial"/>
        <family val="2"/>
      </rPr>
      <t>j</t>
    </r>
    <r>
      <rPr>
        <b/>
        <sz val="10"/>
        <rFont val="Arial"/>
        <family val="2"/>
      </rPr>
      <t>)</t>
    </r>
  </si>
  <si>
    <t>Pour le calcul du PCI (enthalpie de vap)</t>
  </si>
  <si>
    <t>PCS</t>
  </si>
  <si>
    <r>
      <t xml:space="preserve">Chaleur Spécifique (J / mol </t>
    </r>
    <r>
      <rPr>
        <b/>
        <vertAlign val="superscript"/>
        <sz val="10"/>
        <rFont val="Arial"/>
        <family val="2"/>
      </rPr>
      <t>o</t>
    </r>
    <r>
      <rPr>
        <b/>
        <sz val="10"/>
        <rFont val="Arial"/>
        <family val="2"/>
      </rPr>
      <t>C)</t>
    </r>
  </si>
  <si>
    <t>Constantes</t>
  </si>
  <si>
    <t>Masse molaire</t>
  </si>
  <si>
    <t>COMBUSTIBLE</t>
  </si>
  <si>
    <t>GAZ *</t>
  </si>
  <si>
    <t>v.20230504</t>
  </si>
  <si>
    <t>PROPRIÉTÉ DU COMBUSTIBLE</t>
  </si>
  <si>
    <t>Mesures sélectionnées</t>
  </si>
  <si>
    <t>Économiseurs</t>
  </si>
  <si>
    <t>Éco. standard #1</t>
  </si>
  <si>
    <t>Éco. standard #2</t>
  </si>
  <si>
    <t>Éco. standard #3</t>
  </si>
  <si>
    <t>Éco. standard #4</t>
  </si>
  <si>
    <t>Éco. à condensation #1</t>
  </si>
  <si>
    <t>Éco. à condensation #2</t>
  </si>
  <si>
    <t>Éco. à condensation #3</t>
  </si>
  <si>
    <t>Éco. à condensation #4</t>
  </si>
  <si>
    <t>Calculs micro-modulation et sonde de O2</t>
  </si>
  <si>
    <t>Taux de modulation du brûleur</t>
  </si>
  <si>
    <t>Âge du brûleur</t>
  </si>
  <si>
    <t>Puissance moyenne d'utilisation de la chaudière</t>
  </si>
  <si>
    <t>à pleine puissance</t>
  </si>
  <si>
    <t>à puissance mimimale</t>
  </si>
  <si>
    <t>Potentiel gain en efficacité</t>
  </si>
  <si>
    <t>Gain</t>
  </si>
  <si>
    <t>Age (an)</t>
  </si>
  <si>
    <t>&gt;10</t>
  </si>
  <si>
    <t>[5;10]</t>
  </si>
  <si>
    <t>&lt;5</t>
  </si>
  <si>
    <t>Gain en efficacité selon l'âge du brûleur:</t>
  </si>
  <si>
    <t>à puissance moyenne</t>
  </si>
  <si>
    <t>Puissance</t>
  </si>
  <si>
    <t>Maximum</t>
  </si>
  <si>
    <t>Minimum</t>
  </si>
  <si>
    <t>Moyenne</t>
  </si>
  <si>
    <t>Turndown ratio</t>
  </si>
  <si>
    <t>Yearly fuel cost</t>
  </si>
  <si>
    <t>Energy saving %</t>
  </si>
  <si>
    <t>cst</t>
  </si>
  <si>
    <t>Amélioration vs référence</t>
  </si>
  <si>
    <t>Excès d'O2 dans les fumées:</t>
  </si>
  <si>
    <t>Gain d'efficacité pour la réduction 1% d'O2 dans les fumées:</t>
  </si>
  <si>
    <t>Ratio de modulation standard de référence :</t>
  </si>
  <si>
    <t>Mesure sélectionné</t>
  </si>
  <si>
    <t>Micro + O2</t>
  </si>
  <si>
    <t>Micro</t>
  </si>
  <si>
    <t xml:space="preserve">O2 </t>
  </si>
  <si>
    <t>an</t>
  </si>
  <si>
    <t>O2</t>
  </si>
  <si>
    <t>micro + O2</t>
  </si>
  <si>
    <t>Température de l'air de combustion en début de saison de chauffage</t>
  </si>
  <si>
    <t>°C (nov. à mai)</t>
  </si>
  <si>
    <t>Excès d'air à l'installation</t>
  </si>
  <si>
    <t>chauffage</t>
  </si>
  <si>
    <t>°C (moyenne entre sept. et oct.)</t>
  </si>
  <si>
    <t>°C (toute l'année)</t>
  </si>
  <si>
    <r>
      <rPr>
        <sz val="11"/>
        <color theme="1"/>
        <rFont val="Symbol"/>
        <family val="1"/>
        <charset val="2"/>
      </rPr>
      <t>D</t>
    </r>
    <r>
      <rPr>
        <sz val="11"/>
        <color theme="1"/>
        <rFont val="Calibri"/>
        <family val="2"/>
        <scheme val="minor"/>
      </rPr>
      <t>T air de combustion</t>
    </r>
  </si>
  <si>
    <t>Excès d'air moyen</t>
  </si>
  <si>
    <t>Augmentation de l'excès d'air moyen</t>
  </si>
  <si>
    <t>Gain d'efficacité</t>
  </si>
  <si>
    <t>Application</t>
  </si>
  <si>
    <t>CVAC</t>
  </si>
  <si>
    <t>Économie due à la sonde de O2</t>
  </si>
  <si>
    <t>Micro-modulation +sonde O2</t>
  </si>
  <si>
    <t>Aucune</t>
  </si>
  <si>
    <t>Avant MEE</t>
  </si>
  <si>
    <t>Après MEE</t>
  </si>
  <si>
    <t>RÉSUMÉ</t>
  </si>
  <si>
    <t>gain micro</t>
  </si>
  <si>
    <t>gain sonde o2</t>
  </si>
  <si>
    <t>Gain total selon mesure</t>
  </si>
  <si>
    <t>Sonde O2</t>
  </si>
  <si>
    <t>Économie de gaz naturel</t>
  </si>
  <si>
    <t>avant MEE</t>
  </si>
  <si>
    <t>après MEE</t>
  </si>
  <si>
    <r>
      <t>Quantité totale d'énergie fournie au brûleur - Q</t>
    </r>
    <r>
      <rPr>
        <vertAlign val="subscript"/>
        <sz val="11"/>
        <color theme="1"/>
        <rFont val="Calibri"/>
        <family val="2"/>
        <scheme val="minor"/>
      </rPr>
      <t>produite</t>
    </r>
    <r>
      <rPr>
        <sz val="11"/>
        <color theme="1"/>
        <rFont val="Calibri"/>
        <family val="2"/>
        <scheme val="minor"/>
      </rPr>
      <t>: (avant MEE) :</t>
    </r>
  </si>
  <si>
    <r>
      <t>Exces O</t>
    </r>
    <r>
      <rPr>
        <vertAlign val="subscript"/>
        <sz val="11"/>
        <color theme="1"/>
        <rFont val="Calibri"/>
        <family val="2"/>
        <scheme val="minor"/>
      </rPr>
      <t>2</t>
    </r>
    <r>
      <rPr>
        <sz val="11"/>
        <color theme="1"/>
        <rFont val="Calibri"/>
        <family val="2"/>
        <scheme val="minor"/>
      </rPr>
      <t xml:space="preserve"> dans les fumées</t>
    </r>
  </si>
  <si>
    <t>Économie d'énergie</t>
  </si>
  <si>
    <t>Chauffage</t>
  </si>
  <si>
    <t>RÉSULTAT - gain efficacité selon mesure installée</t>
  </si>
  <si>
    <t>1.B - Gain sur la combustion</t>
  </si>
  <si>
    <t>1.C - Gain sur l'augmentation de la modulation</t>
  </si>
  <si>
    <r>
      <t>2. Sonde de O</t>
    </r>
    <r>
      <rPr>
        <b/>
        <u/>
        <vertAlign val="subscript"/>
        <sz val="11"/>
        <color theme="1"/>
        <rFont val="Calibri"/>
        <family val="2"/>
        <scheme val="minor"/>
      </rPr>
      <t>2</t>
    </r>
    <r>
      <rPr>
        <b/>
        <u/>
        <sz val="11"/>
        <color theme="1"/>
        <rFont val="Calibri"/>
        <family val="2"/>
        <scheme val="minor"/>
      </rPr>
      <t>:</t>
    </r>
  </si>
  <si>
    <t>2.A - Gain sur la combustion</t>
  </si>
  <si>
    <t xml:space="preserve">2.B - Effet de la variation de la températures </t>
  </si>
  <si>
    <t>t° fumée</t>
  </si>
  <si>
    <t>Efficacité ciblée:</t>
  </si>
  <si>
    <t>='Micromodulation et sonde O2'!E51</t>
  </si>
  <si>
    <t>Ittération pour trouver la température des fumées pour atteindre la nouvelle efficacité du à l'ajout de la micro-modulation/sonde d'O2:</t>
  </si>
  <si>
    <t>Efficacité</t>
  </si>
  <si>
    <t>T° fumée (°C)</t>
  </si>
  <si>
    <t>Conséquence sur les autres MEE</t>
  </si>
  <si>
    <t>Impact sur le bilan d'E</t>
  </si>
  <si>
    <t>↓ température des fumées</t>
  </si>
  <si>
    <t>↓consommation de gaz naturel</t>
  </si>
  <si>
    <t>micro-mod. / sonde O2</t>
  </si>
  <si>
    <t>-</t>
  </si>
  <si>
    <t>Micro-modulation / sonde O2</t>
  </si>
  <si>
    <t>RÉSUMÉ DES ÉCONOMIES D'ÉNERGIE</t>
  </si>
  <si>
    <t>Après</t>
  </si>
  <si>
    <t>Économies d'énergie AVEC effets croisés</t>
  </si>
  <si>
    <t>1. Micro-modulation</t>
  </si>
  <si>
    <t>ÉCONOMIE DUE À LA MICRO-MODULATION</t>
  </si>
  <si>
    <t>on suppose que le gain d'économie en dimimuant jusqu'à 3% d'O2 provient de la micro-modulation. L'économie pour passer de 3% à 1,5% provient de la sonde d'O2.</t>
  </si>
  <si>
    <t>Sommaire</t>
  </si>
  <si>
    <t>A.</t>
  </si>
  <si>
    <t>B.</t>
  </si>
  <si>
    <t>Hypothèses</t>
  </si>
  <si>
    <t>Bilan d'énergie</t>
  </si>
  <si>
    <t>Sonde d'O2</t>
  </si>
  <si>
    <t>Effets croisés</t>
  </si>
  <si>
    <t>D.</t>
  </si>
  <si>
    <t>E.</t>
  </si>
  <si>
    <t>F.</t>
  </si>
  <si>
    <t>C.</t>
  </si>
  <si>
    <t>(Info utile au calcul de l'efficacité de combustion)</t>
  </si>
  <si>
    <t>=100 psig</t>
  </si>
  <si>
    <t>% Pertes par l'évent (% de la vapeur alimentée au dégazeur):</t>
  </si>
  <si>
    <r>
      <t>Concentration O</t>
    </r>
    <r>
      <rPr>
        <vertAlign val="subscript"/>
        <sz val="11"/>
        <color theme="1"/>
        <rFont val="Calibri"/>
        <family val="2"/>
        <scheme val="minor"/>
      </rPr>
      <t>2</t>
    </r>
    <r>
      <rPr>
        <sz val="11"/>
        <color theme="1"/>
        <rFont val="Calibri"/>
        <family val="2"/>
        <scheme val="minor"/>
      </rPr>
      <t xml:space="preserve"> min moyenne dans les fumées:</t>
    </r>
  </si>
  <si>
    <t>avec ajout de micro-modulation</t>
  </si>
  <si>
    <t>avec ajout d'une sonde d'O2</t>
  </si>
  <si>
    <t>Équation polynomiale (3e degré):</t>
  </si>
  <si>
    <t>Économie au ratio de référence:</t>
  </si>
  <si>
    <t xml:space="preserve">Description: </t>
  </si>
  <si>
    <t>Le rendement de combustion dépend du ratio air/combustible au sein du brûleur de la chaudière. Une quantité d’air trop faible engendre une combustion incomplète et la production de gaz nocifs, alors qu’une quantité d’air trop importante abaisse la température au sein du brûleur, affectant l’efficacité de la chaudière. L’optimisation du rendement de combustion se fait par la modulation des vannes de gaz et d'air. Sur certaines chaudières, cette modulation se fait par un système de bras de levier connectés les uns aux autres. Ce type de contrôle est bon marché, mais tend à se désajuster au fil du temps. La micromodulation, plus onéreuse, permet un contrôle indépendant du débit d’air et de combustible, augmentant la précision du ratio air/combustible et par conséquent l’efficacité de combustion de la chaudière.</t>
  </si>
  <si>
    <t>1. Projet du CTGN n°123505 "Linkageless Control". Avril 2005.</t>
  </si>
  <si>
    <t>1. Projet du CTGN n°146913 "Guide de bonnes pratiques - Amélioration de l'efficacité énergétique des chaufferies vapeur". Juillet 2014.</t>
  </si>
  <si>
    <t>2. Projet du CTGN n°137410 "Programme d'efficacité énergétique - Mesure de contrôle". Août 2010.</t>
  </si>
  <si>
    <t>Le contrôle de combustion par micromodulation permet de fournir au brûleur des volumes d’air prédéfinis en fonction de la plage d’opération de la chaudière. Étant donné que la densité de l’air varie en fonction de la température et de la pression, la quantité d’oxygène présente dans un même volume d’air peut varier dans le temps. Le ratio air/combustible devrait être ajusté en fonction des variations de température saisonnières et idéalement, des écarts entre le jour et la nuit, ce que la micromodulation ne permet pas de faire à elle seule. Par conséquent, le niveau d’apport d’air au brûleur est généralement fixé à la hausse, afin d’assurer un fonctionnement sécuritaire de la chaudière pour toutes les conditions, en empiétant légèrement sur l’efficacité. L’installation d’une sonde de O2 en complément de la micromodulation permet de mesurer en temps réel le niveau d’oxygène et la température dans les fumées. Les correctifs nécessaires sont ensuite apportés par l’entremise de servomoteurs qui contrôlent l’ouverture du volet d’air et la valve de gaz naturel.</t>
  </si>
  <si>
    <t>Sonde d'O2 - effet de la variation de la température de l'air de combustion</t>
  </si>
  <si>
    <t>Dans les cas des chaudières pour les procédés: on suppose que la chaudière est entretenue en début de saison de chauffage</t>
  </si>
  <si>
    <t>Température de l'air de combustion moyenne durant toute l'opération de la chaudière:</t>
  </si>
  <si>
    <t>Augmentation O2 correspondant:</t>
  </si>
  <si>
    <t>Excès d'air</t>
  </si>
  <si>
    <t>% O2 fumées</t>
  </si>
  <si>
    <t>Augmentation efficacité correspondante</t>
  </si>
  <si>
    <r>
      <t>Objectif de cet onglet:</t>
    </r>
    <r>
      <rPr>
        <sz val="11"/>
        <rFont val="Calibri"/>
        <family val="2"/>
        <scheme val="minor"/>
      </rPr>
      <t xml:space="preserve"> Rassembler l'ensemble des hypothèses utilisées pour le calcul des économies d'énergie</t>
    </r>
    <r>
      <rPr>
        <b/>
        <sz val="11"/>
        <rFont val="Calibri"/>
        <family val="2"/>
        <scheme val="minor"/>
      </rPr>
      <t>.</t>
    </r>
  </si>
  <si>
    <r>
      <t>m</t>
    </r>
    <r>
      <rPr>
        <vertAlign val="superscript"/>
        <sz val="10"/>
        <color rgb="FF002060"/>
        <rFont val="Arial"/>
        <family val="2"/>
      </rPr>
      <t>3</t>
    </r>
    <r>
      <rPr>
        <sz val="10"/>
        <color rgb="FF002060"/>
        <rFont val="Arial"/>
        <family val="2"/>
      </rPr>
      <t>/an</t>
    </r>
  </si>
  <si>
    <t>honeywell</t>
  </si>
  <si>
    <t>3. Données "turdown ratio vs économies: http://www.controls4steam.co.uk/knowledge-sharing-platform/boiler-house/14-knowledge-sharing-platform/boiler-house/29-boiler-efficiency-combustion-efficiency</t>
  </si>
  <si>
    <r>
      <t>x</t>
    </r>
    <r>
      <rPr>
        <vertAlign val="superscript"/>
        <sz val="11"/>
        <color theme="1"/>
        <rFont val="Calibri"/>
        <family val="2"/>
        <scheme val="minor"/>
      </rPr>
      <t>3</t>
    </r>
  </si>
  <si>
    <r>
      <t>x</t>
    </r>
    <r>
      <rPr>
        <vertAlign val="superscript"/>
        <sz val="11"/>
        <color theme="1"/>
        <rFont val="Calibri"/>
        <family val="2"/>
        <scheme val="minor"/>
      </rPr>
      <t>2</t>
    </r>
  </si>
  <si>
    <t>Équation polynomiale (2e degré):</t>
  </si>
  <si>
    <t>Avec une température d'air de combustion qui varie de</t>
  </si>
  <si>
    <t>Jours</t>
  </si>
  <si>
    <t xml:space="preserve"> nombre inférieur ou égal à celui indiqué (jours)</t>
  </si>
  <si>
    <t>Probabilités de période sans gel</t>
  </si>
  <si>
    <t>Oct.  21</t>
  </si>
  <si>
    <t>Oct.  15</t>
  </si>
  <si>
    <t>Oct.  14</t>
  </si>
  <si>
    <t>Oct.  09</t>
  </si>
  <si>
    <t>Oct.  06</t>
  </si>
  <si>
    <t>Oct.  02</t>
  </si>
  <si>
    <t>Sept. 27</t>
  </si>
  <si>
    <t>Date</t>
  </si>
  <si>
    <t>Probabilités de la première température d'automne de l'ordre de 0 °C ou moins aux dates indiquées ou avant</t>
  </si>
  <si>
    <t>Avr.  19</t>
  </si>
  <si>
    <t>Avr.  25</t>
  </si>
  <si>
    <t>Avr.  27</t>
  </si>
  <si>
    <t>Avr.  29</t>
  </si>
  <si>
    <t>Probabilités de la dernière température de printemps de l'ordre de 0 °C ou moins aux dates indiquées ou postérieurement</t>
  </si>
  <si>
    <t>A</t>
  </si>
  <si>
    <t>165 Jours</t>
  </si>
  <si>
    <t>Durée moyenne de la période sans gel</t>
  </si>
  <si>
    <t>Date moyenne du premier gel d'automne</t>
  </si>
  <si>
    <t>Date moyenne du dernier gel du printemps</t>
  </si>
  <si>
    <t>Code</t>
  </si>
  <si>
    <t>Sans gel:</t>
  </si>
  <si>
    <t>Données des stations pour le calcul des normales climatiques au Canada de 1981 à 2010 (Sans gel)</t>
  </si>
  <si>
    <t>C</t>
  </si>
  <si>
    <t>8 à 10 dixièmes</t>
  </si>
  <si>
    <t>3 à 7 dixièmes</t>
  </si>
  <si>
    <t>0 à 2 dixièmes</t>
  </si>
  <si>
    <t>Nébulosité (heures avec)</t>
  </si>
  <si>
    <t>&gt; 9 km</t>
  </si>
  <si>
    <t>1 à 9 km</t>
  </si>
  <si>
    <t>&lt; 1 km</t>
  </si>
  <si>
    <t>Visibilité (heures avec)</t>
  </si>
  <si>
    <t xml:space="preserve"> </t>
  </si>
  <si>
    <t>1992/27</t>
  </si>
  <si>
    <t>1990/13</t>
  </si>
  <si>
    <t>1990/21</t>
  </si>
  <si>
    <t>1997/29</t>
  </si>
  <si>
    <t>1989/24</t>
  </si>
  <si>
    <t>1998/23</t>
  </si>
  <si>
    <t>1990/25</t>
  </si>
  <si>
    <t>1993/29</t>
  </si>
  <si>
    <t>jj)</t>
  </si>
  <si>
    <t>Date(aaaa</t>
  </si>
  <si>
    <t>Diffus extrême - RF2 (MJ/m2)</t>
  </si>
  <si>
    <t>1997/27</t>
  </si>
  <si>
    <t>1992/26</t>
  </si>
  <si>
    <t>1994/30</t>
  </si>
  <si>
    <t>1992/29</t>
  </si>
  <si>
    <t>1994/31</t>
  </si>
  <si>
    <t>Global extrême - RF1 (MJ/m2)</t>
  </si>
  <si>
    <t>Diffus - RF2 (MJ/m2)</t>
  </si>
  <si>
    <t>Rayonnement</t>
  </si>
  <si>
    <t>Pression moyenne au niveau de la mer (kPa)</t>
  </si>
  <si>
    <t>Pression moyenne à la station (kPa)</t>
  </si>
  <si>
    <t>Pression</t>
  </si>
  <si>
    <t>Humidité relative moyenne - 1500HNL (%)</t>
  </si>
  <si>
    <t>Humidité relative moyenne - 0600HNL (%)</t>
  </si>
  <si>
    <t>Pression de vapeur moyenne (kPa)</t>
  </si>
  <si>
    <t>Jours avec refroidissement éolien &lt; -40</t>
  </si>
  <si>
    <t>Jours avec refroidissement éolien  &lt; -30</t>
  </si>
  <si>
    <t>Jours avec refroidissement éolien &lt; -20</t>
  </si>
  <si>
    <t>1980/25</t>
  </si>
  <si>
    <t>1958/30</t>
  </si>
  <si>
    <t>1976/26</t>
  </si>
  <si>
    <t>2000/28</t>
  </si>
  <si>
    <t>1976/23</t>
  </si>
  <si>
    <t>Refroidissement éolien extrême (°C)</t>
  </si>
  <si>
    <t>Refroidissement éolien</t>
  </si>
  <si>
    <t>Jours avec humidex &gt;= 40</t>
  </si>
  <si>
    <t>Jours avec humidex &gt;= 35</t>
  </si>
  <si>
    <t>Jours avec humidex &gt;= 30</t>
  </si>
  <si>
    <t>1953/21</t>
  </si>
  <si>
    <t>2010/26</t>
  </si>
  <si>
    <t>2002/16</t>
  </si>
  <si>
    <t>1977/30</t>
  </si>
  <si>
    <t>1981/22</t>
  </si>
  <si>
    <t>1996/19</t>
  </si>
  <si>
    <t>Indice humidex extrême (°C)</t>
  </si>
  <si>
    <t>Humidex</t>
  </si>
  <si>
    <t>1970/28</t>
  </si>
  <si>
    <t>2000/30</t>
  </si>
  <si>
    <t>1971/31</t>
  </si>
  <si>
    <t>1978/28</t>
  </si>
  <si>
    <t>2000/29</t>
  </si>
  <si>
    <t>Extrême quotidien</t>
  </si>
  <si>
    <t>D</t>
  </si>
  <si>
    <t>% d'heures d'ensoleillement possible</t>
  </si>
  <si>
    <t>Jours avec</t>
  </si>
  <si>
    <t>Total d'heures</t>
  </si>
  <si>
    <t>Insolation effective</t>
  </si>
  <si>
    <t>Évaporation des lacs (mm)</t>
  </si>
  <si>
    <t>Évaporation</t>
  </si>
  <si>
    <t>Au-dessous de 18 °C</t>
  </si>
  <si>
    <t>Au-dessous de 15 °C</t>
  </si>
  <si>
    <t>Au-dessous de 10 °C</t>
  </si>
  <si>
    <t>Au-dessous de 5 °C</t>
  </si>
  <si>
    <t>Au-dessous de 0 °C</t>
  </si>
  <si>
    <t>Au-dessus de 0 °C</t>
  </si>
  <si>
    <t>Au-dessus de 5 °C</t>
  </si>
  <si>
    <t>Au-dessus de 10 °C</t>
  </si>
  <si>
    <t>Au-dessus de 15 °C</t>
  </si>
  <si>
    <t>Au-dessus de 18 °C</t>
  </si>
  <si>
    <t>Au-dessus de 24 °C</t>
  </si>
  <si>
    <t>Degrés-jours</t>
  </si>
  <si>
    <t>S</t>
  </si>
  <si>
    <t>O</t>
  </si>
  <si>
    <t>SO</t>
  </si>
  <si>
    <t>Direction des rafales de vent extrême</t>
  </si>
  <si>
    <t>1989/16</t>
  </si>
  <si>
    <t>1957/29</t>
  </si>
  <si>
    <t>1956/14</t>
  </si>
  <si>
    <t>1975/19</t>
  </si>
  <si>
    <t>1956/25</t>
  </si>
  <si>
    <t>1959/22</t>
  </si>
  <si>
    <t>Vitesse extrême des rafales de vent (km/h)</t>
  </si>
  <si>
    <t>N</t>
  </si>
  <si>
    <t>NE</t>
  </si>
  <si>
    <t>Direction de la vitesse extrême du vent</t>
  </si>
  <si>
    <t>2000/18</t>
  </si>
  <si>
    <t>2005/29</t>
  </si>
  <si>
    <t>1972/22</t>
  </si>
  <si>
    <t>1961/26</t>
  </si>
  <si>
    <t>Vitesse extrême du vent (km/h)</t>
  </si>
  <si>
    <t>Direction dominante du vent</t>
  </si>
  <si>
    <t>Vitesse horaire moyenne du vent (km/h)</t>
  </si>
  <si>
    <t>Vent</t>
  </si>
  <si>
    <t>&gt;= 20 cm</t>
  </si>
  <si>
    <t>&gt;= 10 cm</t>
  </si>
  <si>
    <t>&gt;= 5 cm</t>
  </si>
  <si>
    <t>&gt;= 1 cm</t>
  </si>
  <si>
    <t>Jours avec épaisseur de neige</t>
  </si>
  <si>
    <t>&gt;= 25 mm</t>
  </si>
  <si>
    <t>&gt;= 10 mm</t>
  </si>
  <si>
    <t>&gt;= 5 mm</t>
  </si>
  <si>
    <t>2 mm</t>
  </si>
  <si>
    <t>&gt;= 0</t>
  </si>
  <si>
    <t>Jours avec précipitation</t>
  </si>
  <si>
    <t>&gt;= 25 cm</t>
  </si>
  <si>
    <t>2 cm</t>
  </si>
  <si>
    <t>Jours avec neige</t>
  </si>
  <si>
    <t>Jours avec pluie</t>
  </si>
  <si>
    <t>&lt; - 30 °C</t>
  </si>
  <si>
    <t>&lt; -20 °C</t>
  </si>
  <si>
    <t>&lt; -10 °C</t>
  </si>
  <si>
    <t>&lt; -2 °C</t>
  </si>
  <si>
    <t>&lt;= 0 °C</t>
  </si>
  <si>
    <t>&lt;= 2 °C</t>
  </si>
  <si>
    <t>&gt; 0 °C</t>
  </si>
  <si>
    <t>Jours avec température minimale</t>
  </si>
  <si>
    <t>&gt; 35 °C</t>
  </si>
  <si>
    <t>&gt; 30 °C</t>
  </si>
  <si>
    <t>&gt; 20 °C</t>
  </si>
  <si>
    <t>&gt; 10 °C</t>
  </si>
  <si>
    <t>Jours avec température maximale</t>
  </si>
  <si>
    <t>1970/24</t>
  </si>
  <si>
    <t>1965/22</t>
  </si>
  <si>
    <t>1962/29</t>
  </si>
  <si>
    <t>1958/22</t>
  </si>
  <si>
    <t>1959/17</t>
  </si>
  <si>
    <t>Extrême quotidien couverture de neige (cm)</t>
  </si>
  <si>
    <t>1979/14</t>
  </si>
  <si>
    <t>2005/31</t>
  </si>
  <si>
    <t>1997/21</t>
  </si>
  <si>
    <t>2006/19</t>
  </si>
  <si>
    <t>2006/23</t>
  </si>
  <si>
    <t>2001/22</t>
  </si>
  <si>
    <t>2006/18</t>
  </si>
  <si>
    <t>Extrême quotidien de précipitation (mm)</t>
  </si>
  <si>
    <t>2005/16</t>
  </si>
  <si>
    <t>1944/30</t>
  </si>
  <si>
    <t>1988/22</t>
  </si>
  <si>
    <t>1946/30</t>
  </si>
  <si>
    <t>1954/16</t>
  </si>
  <si>
    <t>1999/15</t>
  </si>
  <si>
    <t>Extrême quotidien de neige (cm)</t>
  </si>
  <si>
    <t>1961/25</t>
  </si>
  <si>
    <t>Extrême quotidien de pluie (mm)</t>
  </si>
  <si>
    <t xml:space="preserve"> fin de mois (cm)</t>
  </si>
  <si>
    <t>Couverture de neige</t>
  </si>
  <si>
    <t>Couverture de neige médiane (cm)</t>
  </si>
  <si>
    <t>Couverture de neige moyenne (cm)</t>
  </si>
  <si>
    <t>Précipitation (mm)</t>
  </si>
  <si>
    <t>Chute de neige (cm)</t>
  </si>
  <si>
    <t>Chute de pluie (mm)</t>
  </si>
  <si>
    <t>Précipitation</t>
  </si>
  <si>
    <t>1949/27</t>
  </si>
  <si>
    <t>1972/20</t>
  </si>
  <si>
    <t>1951/30</t>
  </si>
  <si>
    <t>1957/28</t>
  </si>
  <si>
    <t>1943/15</t>
  </si>
  <si>
    <t>1957/15</t>
  </si>
  <si>
    <t>Minimum extrême (°C)</t>
  </si>
  <si>
    <t>1953/17</t>
  </si>
  <si>
    <t>1964/30</t>
  </si>
  <si>
    <t>1990/27</t>
  </si>
  <si>
    <t>1945/28</t>
  </si>
  <si>
    <t>1950/25</t>
  </si>
  <si>
    <t>Maximum extrême (°C)</t>
  </si>
  <si>
    <t>Minimum quotidien (°C)</t>
  </si>
  <si>
    <t>Maximum quotidien (°C)</t>
  </si>
  <si>
    <t>Écart type</t>
  </si>
  <si>
    <t>Moyenne quotidienne (°C)</t>
  </si>
  <si>
    <t>code</t>
  </si>
  <si>
    <t>année</t>
  </si>
  <si>
    <t>déc.</t>
  </si>
  <si>
    <t>nov.</t>
  </si>
  <si>
    <t>oct.</t>
  </si>
  <si>
    <t>sept.</t>
  </si>
  <si>
    <t>août</t>
  </si>
  <si>
    <t>juil.</t>
  </si>
  <si>
    <t>juin</t>
  </si>
  <si>
    <t>mai</t>
  </si>
  <si>
    <t>avr.</t>
  </si>
  <si>
    <t>mars</t>
  </si>
  <si>
    <t>févr.</t>
  </si>
  <si>
    <t>janv.</t>
  </si>
  <si>
    <t>Données des stations pour le calcul des normales climatiques au Canada de 1981 à 2010</t>
  </si>
  <si>
    <t>D = Au moins 15 ans d'enregistrement</t>
  </si>
  <si>
    <t>C = Au moins 20 ans d'enregistrement</t>
  </si>
  <si>
    <t>B = Au moins 25 ans d'enregistrement</t>
  </si>
  <si>
    <t>A = « Règle des 3/5 » de l'OMM (il ne doit pas manquer de données de la température ou des précipitations pendant plus de 3 années consécutives ou de 5 en tout)</t>
  </si>
  <si>
    <t>Légende</t>
  </si>
  <si>
    <t>* Cette station répond aux normes de l'OMM pour la température et la précipitation.</t>
  </si>
  <si>
    <t>YUL</t>
  </si>
  <si>
    <t>36,0 m</t>
  </si>
  <si>
    <t xml:space="preserve"> 73°45'00,000" O</t>
  </si>
  <si>
    <t xml:space="preserve"> 45°28'00,000" N</t>
  </si>
  <si>
    <t>QC</t>
  </si>
  <si>
    <t>*MONTREAL/PIERRE ELLIOTT TRUDEAU INTL A</t>
  </si>
  <si>
    <t>ID DE TC</t>
  </si>
  <si>
    <t>ID DE l'OMM</t>
  </si>
  <si>
    <t>ID CLIMATOLOGIQUE</t>
  </si>
  <si>
    <t>ALTITUDE</t>
  </si>
  <si>
    <t>LONGITUDE</t>
  </si>
  <si>
    <t>LATITUDE</t>
  </si>
  <si>
    <t>PROVINCE_OU_TERRITOIRE</t>
  </si>
  <si>
    <t>NOM_STATION</t>
  </si>
  <si>
    <t xml:space="preserve"> ID de TC</t>
  </si>
  <si>
    <t xml:space="preserve"> ID de l'OMM</t>
  </si>
  <si>
    <t xml:space="preserve"> ID climatologique</t>
  </si>
  <si>
    <t xml:space="preserve"> altitude</t>
  </si>
  <si>
    <t xml:space="preserve"> longitude</t>
  </si>
  <si>
    <t xml:space="preserve"> latitude</t>
  </si>
  <si>
    <t xml:space="preserve"> province ou territoire</t>
  </si>
  <si>
    <t>Métadonnées de station incluant : nom de la station</t>
  </si>
  <si>
    <t>Données des stations pour le calcul des normales climatiques au Canada de 1981 à 2010.</t>
  </si>
  <si>
    <t>https://climat.meteo.gc.ca/climate_normals/results_1981_2010_f.html?searchType=stnName&amp;txtStationName=trudeau&amp;searchMethod=contains&amp;txtCentralLatMin=0&amp;txtCentralLatSec=0&amp;txtCentralLongMin=0&amp;txtCentralLongSec=0&amp;stnID=5415&amp;dispBack=1</t>
  </si>
  <si>
    <t>Lien:</t>
  </si>
  <si>
    <t>% (valeur par défaut)</t>
  </si>
  <si>
    <t>Constant pour toutes les chaudières</t>
  </si>
  <si>
    <t>Micro-modulation + sonde O2</t>
  </si>
  <si>
    <t>Validation</t>
  </si>
  <si>
    <t>Économies par mesure - énergie fournie au brûleur</t>
  </si>
  <si>
    <t>Économie des effets croisés - énergie fournie au brûleur</t>
  </si>
  <si>
    <t>Économies totales par mesure - consommation de gaz naturel</t>
  </si>
  <si>
    <t>*À cause de l'ajout d'autres MEE, le potentiel d'économie est réduit. Voir l'onglet hypothèses pour plus de détails.</t>
  </si>
  <si>
    <t>L'implantation de plusieurs mesures d'efficacité énergétique dans une chaufferie crée des effets croisés qui peuvent augmenter ou diminuer les économies d'énergie globales. Cette section décrit ses effets croisés.</t>
  </si>
  <si>
    <t>économies avec micro</t>
  </si>
  <si>
    <t>économie avec sonde O2</t>
  </si>
  <si>
    <r>
      <t>Sonde d'O</t>
    </r>
    <r>
      <rPr>
        <vertAlign val="subscript"/>
        <sz val="11"/>
        <color theme="1"/>
        <rFont val="Calibri"/>
        <family val="2"/>
        <scheme val="minor"/>
      </rPr>
      <t>2</t>
    </r>
  </si>
  <si>
    <t>Énergie évité par la micro-modulation à cause de l'additions d'autres MEE</t>
  </si>
  <si>
    <r>
      <t>Énergie évité par la sonde O</t>
    </r>
    <r>
      <rPr>
        <vertAlign val="subscript"/>
        <sz val="11"/>
        <color theme="1"/>
        <rFont val="Calibri"/>
        <family val="2"/>
        <scheme val="minor"/>
      </rPr>
      <t>2</t>
    </r>
    <r>
      <rPr>
        <sz val="11"/>
        <color theme="1"/>
        <rFont val="Calibri"/>
        <family val="2"/>
        <scheme val="minor"/>
      </rPr>
      <t xml:space="preserve"> à cause de l'additions d'autres MEE</t>
    </r>
  </si>
  <si>
    <t>avec micro seulement</t>
  </si>
  <si>
    <t>avec sonde d'O2 seulement</t>
  </si>
  <si>
    <t>*Exclu le fait que les autres mesures réduisent le besoin de charge, donc le potentiel d'économie par la micro modulation est en réalité plus petit avec d'autres MEE</t>
  </si>
  <si>
    <t>*Exclu le fait que les autres mesures réduisent le besoin de charge, donc le potentiel d'économie par la sonde d'O2 est en réalité plus petit avec d'autres MEE</t>
  </si>
  <si>
    <r>
      <t xml:space="preserve">Résumé: </t>
    </r>
    <r>
      <rPr>
        <sz val="11"/>
        <color theme="6"/>
        <rFont val="Calibri"/>
        <family val="2"/>
        <scheme val="minor"/>
      </rPr>
      <t>avant MEE</t>
    </r>
    <r>
      <rPr>
        <b/>
        <sz val="11"/>
        <color theme="6"/>
        <rFont val="Calibri"/>
        <family val="2"/>
        <scheme val="minor"/>
      </rPr>
      <t xml:space="preserve"> </t>
    </r>
    <r>
      <rPr>
        <b/>
        <sz val="11"/>
        <color theme="1"/>
        <rFont val="Calibri"/>
        <family val="2"/>
        <scheme val="minor"/>
      </rPr>
      <t xml:space="preserve">/ </t>
    </r>
    <r>
      <rPr>
        <sz val="11"/>
        <color theme="9"/>
        <rFont val="Calibri"/>
        <family val="2"/>
        <scheme val="minor"/>
      </rPr>
      <t>après MEE</t>
    </r>
  </si>
  <si>
    <r>
      <t xml:space="preserve">Puissance moyenne totale de production de vapeur/ eau chaude de la </t>
    </r>
    <r>
      <rPr>
        <b/>
        <sz val="11"/>
        <color theme="1"/>
        <rFont val="Calibri"/>
        <family val="2"/>
        <scheme val="minor"/>
      </rPr>
      <t>chaufferie</t>
    </r>
  </si>
  <si>
    <t>Pression manométrique de la chaufferie vapeur:</t>
  </si>
  <si>
    <t>Température de l'eau chaude produite:</t>
  </si>
  <si>
    <t>La chaufferie est une chaufferie à vapeur OU à eau chaude.</t>
  </si>
  <si>
    <t>n/a</t>
  </si>
  <si>
    <r>
      <t>Énergie utile - Q</t>
    </r>
    <r>
      <rPr>
        <vertAlign val="subscript"/>
        <sz val="11"/>
        <color theme="1"/>
        <rFont val="Calibri"/>
        <family val="2"/>
        <scheme val="minor"/>
      </rPr>
      <t>utilisateur</t>
    </r>
    <r>
      <rPr>
        <sz val="11"/>
        <color theme="1"/>
        <rFont val="Calibri"/>
        <family val="2"/>
        <scheme val="minor"/>
      </rPr>
      <t>:</t>
    </r>
  </si>
  <si>
    <r>
      <t>Énergie  utile - Q</t>
    </r>
    <r>
      <rPr>
        <vertAlign val="subscript"/>
        <sz val="11"/>
        <color theme="1"/>
        <rFont val="Calibri"/>
        <family val="2"/>
        <scheme val="minor"/>
      </rPr>
      <t>utilisateur</t>
    </r>
    <r>
      <rPr>
        <sz val="11"/>
        <color theme="1"/>
        <rFont val="Calibri"/>
        <family val="2"/>
        <scheme val="minor"/>
      </rPr>
      <t>:</t>
    </r>
  </si>
  <si>
    <t>Enthalpie eau liquide</t>
  </si>
  <si>
    <t>kJ/kg/°C</t>
  </si>
  <si>
    <t>On compare toujours avec une chaudière d'un turndown ratio de 1</t>
  </si>
  <si>
    <t>Actuel sans micro-modulation</t>
  </si>
  <si>
    <t>Référence (avec micro-modulation)</t>
  </si>
  <si>
    <t>comparativement à une moyenne de 1,5% d'O2 dans les fumées avec la sonde d'O2</t>
  </si>
  <si>
    <t>comparativement à une moyenne de 3% d'O2 dans les fumées avec la micromodulation</t>
  </si>
  <si>
    <t>*exclu le changement du besoin énergétique grace à l'ajout d'autres MEE</t>
  </si>
  <si>
    <t>Mesure (en ordre d'impact sur la chaufferie)</t>
  </si>
  <si>
    <t>Micro-modulation/sonde O2</t>
  </si>
  <si>
    <t>a :</t>
  </si>
  <si>
    <t>b :</t>
  </si>
  <si>
    <t xml:space="preserve">Droite linéaire: </t>
  </si>
  <si>
    <t>Efficicaté = a x T°fumée +b</t>
  </si>
  <si>
    <t>Calcul de la température des fumées selon la nouvelle efficacité de combustion calculée:</t>
  </si>
  <si>
    <t>Voir l'onglet "Combustion_Chaud1 (Micro)", colonne AA à AH pour plus de détails.</t>
  </si>
  <si>
    <r>
      <rPr>
        <b/>
        <u/>
        <sz val="11"/>
        <rFont val="Calibri"/>
        <family val="2"/>
        <scheme val="minor"/>
      </rPr>
      <t>Objectif du fichier :</t>
    </r>
    <r>
      <rPr>
        <sz val="11"/>
        <rFont val="Calibri"/>
        <family val="2"/>
        <scheme val="minor"/>
      </rPr>
      <t xml:space="preserve"> Permettre d'estimer les économies de gaz naturel et le montant de subventions liées à l'intégration de 1 à 5 mesures d'EE (économiseur standard, économiseur à condensation, micro-modulation, sonde d'O2 et isolation des composants).</t>
    </r>
  </si>
  <si>
    <r>
      <t xml:space="preserve">note: Il y a </t>
    </r>
    <r>
      <rPr>
        <b/>
        <sz val="11"/>
        <color theme="1"/>
        <rFont val="Calibri"/>
        <family val="2"/>
        <scheme val="minor"/>
      </rPr>
      <t>un</t>
    </r>
    <r>
      <rPr>
        <sz val="11"/>
        <color theme="1"/>
        <rFont val="Calibri"/>
        <family val="2"/>
        <scheme val="minor"/>
      </rPr>
      <t xml:space="preserve"> dégazeur pour la chaufferie. L'apport en vapeur des chaudières est réparti équitablement selon leur % de production de vapeur.</t>
    </r>
  </si>
  <si>
    <t>Économie liée au ratio de modulation:</t>
  </si>
  <si>
    <r>
      <t xml:space="preserve">L'efficacité de combustion est fonction de la température des fumées, selon une </t>
    </r>
    <r>
      <rPr>
        <b/>
        <sz val="11"/>
        <color theme="1"/>
        <rFont val="Calibri"/>
        <family val="2"/>
        <scheme val="minor"/>
      </rPr>
      <t>équation linéaire</t>
    </r>
    <r>
      <rPr>
        <sz val="11"/>
        <color theme="1"/>
        <rFont val="Calibri"/>
        <family val="2"/>
        <scheme val="minor"/>
      </rPr>
      <t xml:space="preserve">. Dépendamment des paramètres d'entrée (ex: température de l'air, excès d'air, température du gaz naturel, etc.), cette équation change. </t>
    </r>
  </si>
  <si>
    <t>°C, on augmente de</t>
  </si>
  <si>
    <t>% l'excès d'air</t>
  </si>
  <si>
    <t>↑ efficacité globale de combustion</t>
  </si>
  <si>
    <t>** Détails du calcul de la réduction du potentiel d'économie d'énergie de la micro-modulation/sonde d'O2 du à l'ajout d'autres MEE</t>
  </si>
  <si>
    <t>ref n°3, voir colonne Q pour plus de détails</t>
  </si>
  <si>
    <t>3. Projet CTGN n°167323 "Développement de la norme CSA P.17". (En cours 2023). (Info sup: https://www.firebridgeinc.com/blog/understanding-the-impact-of-excess-air/, mais avec une compo différente que celle du gaz naturel d'Énergir.)</t>
  </si>
  <si>
    <t>Température du fluide (°C)</t>
  </si>
  <si>
    <t>Nombre d'accessoire identique à isoler (pour ce même diamètre et cette même température)</t>
  </si>
  <si>
    <r>
      <t xml:space="preserve">Enthalpie </t>
    </r>
    <r>
      <rPr>
        <b/>
        <sz val="11"/>
        <color theme="1"/>
        <rFont val="Calibri"/>
        <family val="2"/>
        <scheme val="minor"/>
      </rPr>
      <t>(kJ/kg)</t>
    </r>
  </si>
  <si>
    <r>
      <t xml:space="preserve">Enthalpie </t>
    </r>
    <r>
      <rPr>
        <b/>
        <sz val="11"/>
        <color theme="1"/>
        <rFont val="Calibri"/>
        <family val="2"/>
        <scheme val="minor"/>
      </rPr>
      <t>(btu/lb)</t>
    </r>
  </si>
  <si>
    <t>Intérieur</t>
  </si>
  <si>
    <t>Extérieur</t>
  </si>
  <si>
    <t>Localisation</t>
  </si>
  <si>
    <r>
      <t>O</t>
    </r>
    <r>
      <rPr>
        <sz val="11"/>
        <rFont val="Arial"/>
        <family val="2"/>
      </rPr>
      <t>ù</t>
    </r>
    <r>
      <rPr>
        <sz val="9.9"/>
        <rFont val="Calibri"/>
        <family val="2"/>
      </rPr>
      <t>:</t>
    </r>
  </si>
  <si>
    <r>
      <rPr>
        <i/>
        <sz val="11"/>
        <rFont val="Symbol"/>
        <family val="1"/>
        <charset val="2"/>
      </rPr>
      <t>h</t>
    </r>
    <r>
      <rPr>
        <sz val="11"/>
        <rFont val="Calibri"/>
        <family val="2"/>
        <scheme val="minor"/>
      </rPr>
      <t>: efficacité de la chaudière - voir données plus haut (-)</t>
    </r>
  </si>
  <si>
    <t>CheGuide.com</t>
  </si>
  <si>
    <t>Chemical Engineer's Guide</t>
  </si>
  <si>
    <t>By</t>
  </si>
  <si>
    <t>CheGuide</t>
  </si>
  <si>
    <t>po</t>
  </si>
  <si>
    <t>mm</t>
  </si>
  <si>
    <t>m/s</t>
  </si>
  <si>
    <t>Type</t>
  </si>
  <si>
    <t>Calcium Silicate</t>
  </si>
  <si>
    <t>W/m</t>
  </si>
  <si>
    <t>Btu/h</t>
  </si>
  <si>
    <t>Iterations</t>
  </si>
  <si>
    <t>t_surface</t>
  </si>
  <si>
    <t>t_interface</t>
  </si>
  <si>
    <t>t_average</t>
  </si>
  <si>
    <t>°K</t>
  </si>
  <si>
    <t>k</t>
  </si>
  <si>
    <t>W/m.K</t>
  </si>
  <si>
    <t>µ</t>
  </si>
  <si>
    <t>Prandtl Number</t>
  </si>
  <si>
    <t>Pr</t>
  </si>
  <si>
    <t>β</t>
  </si>
  <si>
    <t>1/K</t>
  </si>
  <si>
    <t>ρ</t>
  </si>
  <si>
    <t>Kinematic Viscosity</t>
  </si>
  <si>
    <t>ν</t>
  </si>
  <si>
    <t>m2/s</t>
  </si>
  <si>
    <t>Cp</t>
  </si>
  <si>
    <t>kJ/Kg.K</t>
  </si>
  <si>
    <t>alpha</t>
  </si>
  <si>
    <t>α</t>
  </si>
  <si>
    <t>Reynold's Number</t>
  </si>
  <si>
    <t>Re</t>
  </si>
  <si>
    <t>Rayleigh Number</t>
  </si>
  <si>
    <t>Ra</t>
  </si>
  <si>
    <t>Radiation</t>
  </si>
  <si>
    <t>h_radiation</t>
  </si>
  <si>
    <t>Convection</t>
  </si>
  <si>
    <t>Nu_forced</t>
  </si>
  <si>
    <t>h_forced</t>
  </si>
  <si>
    <t>Free Convection</t>
  </si>
  <si>
    <t>Nu_free</t>
  </si>
  <si>
    <t>h_free</t>
  </si>
  <si>
    <t>Nu_Combined</t>
  </si>
  <si>
    <t>h_convection</t>
  </si>
  <si>
    <t>h_air</t>
  </si>
  <si>
    <t>k_pipe</t>
  </si>
  <si>
    <t>r_pipe</t>
  </si>
  <si>
    <t>k_insulation</t>
  </si>
  <si>
    <t>r_insulation</t>
  </si>
  <si>
    <t>r_overall</t>
  </si>
  <si>
    <t>Q</t>
  </si>
  <si>
    <t>T_interface</t>
  </si>
  <si>
    <t>T_surface</t>
  </si>
  <si>
    <t>Kg/m3</t>
  </si>
  <si>
    <r>
      <rPr>
        <sz val="11"/>
        <color theme="1"/>
        <rFont val="Calibri"/>
        <family val="2"/>
        <scheme val="minor"/>
      </rPr>
      <t>°C</t>
    </r>
  </si>
  <si>
    <r>
      <t>N/s.m</t>
    </r>
    <r>
      <rPr>
        <sz val="11"/>
        <color theme="1"/>
        <rFont val="Calibri"/>
        <family val="2"/>
        <scheme val="minor"/>
      </rPr>
      <t>²</t>
    </r>
  </si>
  <si>
    <r>
      <t>Kg/m</t>
    </r>
    <r>
      <rPr>
        <sz val="11"/>
        <color theme="1"/>
        <rFont val="Calibri"/>
        <family val="2"/>
        <scheme val="minor"/>
      </rPr>
      <t>³</t>
    </r>
  </si>
  <si>
    <r>
      <t>m</t>
    </r>
    <r>
      <rPr>
        <sz val="11"/>
        <color theme="1"/>
        <rFont val="Calibri"/>
        <family val="2"/>
        <scheme val="minor"/>
      </rPr>
      <t>²/s</t>
    </r>
  </si>
  <si>
    <r>
      <t>W/m</t>
    </r>
    <r>
      <rPr>
        <sz val="11"/>
        <color theme="1"/>
        <rFont val="Calibri"/>
        <family val="2"/>
        <scheme val="minor"/>
      </rPr>
      <t>².K</t>
    </r>
  </si>
  <si>
    <r>
      <t>m</t>
    </r>
    <r>
      <rPr>
        <sz val="11"/>
        <color theme="1"/>
        <rFont val="Calibri"/>
        <family val="2"/>
        <scheme val="minor"/>
      </rPr>
      <t>².K/W</t>
    </r>
  </si>
  <si>
    <r>
      <t>W/m</t>
    </r>
    <r>
      <rPr>
        <sz val="11"/>
        <color theme="1"/>
        <rFont val="Calibri"/>
        <family val="2"/>
        <scheme val="minor"/>
      </rPr>
      <t>²</t>
    </r>
  </si>
  <si>
    <t>Composante</t>
  </si>
  <si>
    <t>Diamètre interne (D1)</t>
  </si>
  <si>
    <t>Diamètre externe</t>
  </si>
  <si>
    <t>Température d'opération</t>
  </si>
  <si>
    <t>Température ambiante</t>
  </si>
  <si>
    <t>Vitesse du vent</t>
  </si>
  <si>
    <t>Émissivité de la surface</t>
  </si>
  <si>
    <t>Épaisseur</t>
  </si>
  <si>
    <t>Composante isolée</t>
  </si>
  <si>
    <t>Température de surface</t>
  </si>
  <si>
    <t>Perte de chaleur</t>
  </si>
  <si>
    <t>Composante nue</t>
  </si>
  <si>
    <t>Température interface</t>
  </si>
  <si>
    <t>Propriétée de l'air</t>
  </si>
  <si>
    <t>Température moyenne du film</t>
  </si>
  <si>
    <t>C5</t>
  </si>
  <si>
    <t>C4.T</t>
  </si>
  <si>
    <t>C3.T^2</t>
  </si>
  <si>
    <t>C2.T^3</t>
  </si>
  <si>
    <t>C1.T^4</t>
  </si>
  <si>
    <t>Prandtl Number Curve Fitting</t>
  </si>
  <si>
    <t>Source : Fundamentals of Heat and Mass Transfer (2007), Frank P Incropera</t>
  </si>
  <si>
    <t>Alpha Curve Fitting</t>
  </si>
  <si>
    <t>Thermal Conductivity Curve Fitting</t>
  </si>
  <si>
    <t>Kinematic Viscosity Curve Fitting</t>
  </si>
  <si>
    <t>Viscosity Curve Fitting</t>
  </si>
  <si>
    <t>w/m.K</t>
  </si>
  <si>
    <t>N.s/m2</t>
  </si>
  <si>
    <r>
      <rPr>
        <sz val="11"/>
        <color theme="1"/>
        <rFont val="Calibri"/>
        <family val="2"/>
      </rPr>
      <t>α</t>
    </r>
    <r>
      <rPr>
        <sz val="11"/>
        <color theme="1"/>
        <rFont val="Calibri"/>
        <family val="2"/>
        <scheme val="minor"/>
      </rPr>
      <t>.10^6</t>
    </r>
  </si>
  <si>
    <t>k.10^3</t>
  </si>
  <si>
    <r>
      <rPr>
        <sz val="11"/>
        <color theme="1"/>
        <rFont val="Calibri"/>
        <family val="2"/>
      </rPr>
      <t>ν</t>
    </r>
    <r>
      <rPr>
        <sz val="11"/>
        <color theme="1"/>
        <rFont val="Calibri"/>
        <family val="2"/>
        <scheme val="minor"/>
      </rPr>
      <t>.10^6</t>
    </r>
  </si>
  <si>
    <r>
      <rPr>
        <sz val="11"/>
        <color theme="1"/>
        <rFont val="Calibri"/>
        <family val="2"/>
      </rPr>
      <t>µ</t>
    </r>
    <r>
      <rPr>
        <sz val="11"/>
        <color theme="1"/>
        <rFont val="Calibri"/>
        <family val="2"/>
        <scheme val="minor"/>
      </rPr>
      <t>.10^7</t>
    </r>
  </si>
  <si>
    <t>Calculated Values</t>
  </si>
  <si>
    <t>Literature Values</t>
  </si>
  <si>
    <t>19-Dec-15</t>
  </si>
  <si>
    <t>Specific Heat Curve Fitting</t>
  </si>
  <si>
    <t>4th Order Polynomial Fitting</t>
  </si>
  <si>
    <t>4th Order Polynomial Curve Fitting</t>
  </si>
  <si>
    <t>K Calculated</t>
  </si>
  <si>
    <t>Thermal Conductivity of Calcium Silicate</t>
  </si>
  <si>
    <t>C4</t>
  </si>
  <si>
    <t>C3.T</t>
  </si>
  <si>
    <t>C2.T^2</t>
  </si>
  <si>
    <t>C1.T^3</t>
  </si>
  <si>
    <t>3rd Order Polynomial Curve Fitting</t>
  </si>
  <si>
    <t>Thermal Conductivity of Plain Carbon Steel</t>
  </si>
  <si>
    <t>Conductivité thermique</t>
  </si>
  <si>
    <t>Viscosité</t>
  </si>
  <si>
    <t>Coefficient d'expension</t>
  </si>
  <si>
    <t>Masse volumique</t>
  </si>
  <si>
    <t>Chaleur spécifique</t>
  </si>
  <si>
    <t>Resistance du film d'air</t>
  </si>
  <si>
    <t>Convection forcée</t>
  </si>
  <si>
    <t>Convection combinée</t>
  </si>
  <si>
    <t xml:space="preserve">Total enthalpie - air </t>
  </si>
  <si>
    <t>Résistance de la composante</t>
  </si>
  <si>
    <t>Résistance des murs</t>
  </si>
  <si>
    <t>Résistance de l'isolant</t>
  </si>
  <si>
    <t>Température d'isolant moyenne</t>
  </si>
  <si>
    <t>Resistance TOTALE</t>
  </si>
  <si>
    <t>Flux de chaleur</t>
  </si>
  <si>
    <t>Température surface</t>
  </si>
  <si>
    <t>Perte de chaleur par longueur</t>
  </si>
  <si>
    <t>Calcul pour la composante nue</t>
  </si>
  <si>
    <t>Emissivité</t>
  </si>
  <si>
    <t>Propriétés de l'air</t>
  </si>
  <si>
    <t>Température moyenne du filme</t>
  </si>
  <si>
    <t>Résistance du film d'air</t>
  </si>
  <si>
    <t>Conductivié thermique</t>
  </si>
  <si>
    <t>TOTAL Résistances</t>
  </si>
  <si>
    <t>Température de l'interface</t>
  </si>
  <si>
    <t>Calcul</t>
  </si>
  <si>
    <t>Économie</t>
  </si>
  <si>
    <t># demande</t>
  </si>
  <si>
    <t>Diamètre</t>
  </si>
  <si>
    <t>T° opération</t>
  </si>
  <si>
    <t>Localisation simplifiée</t>
  </si>
  <si>
    <t>vitesse vent</t>
  </si>
  <si>
    <t>(po)</t>
  </si>
  <si>
    <t>(°C)</t>
  </si>
  <si>
    <t>m/s (=5mph)</t>
  </si>
  <si>
    <t>Tableau de résultats</t>
  </si>
  <si>
    <t xml:space="preserve">Cas 1 </t>
  </si>
  <si>
    <t xml:space="preserve">Localisation </t>
  </si>
  <si>
    <t>T°ambiante</t>
  </si>
  <si>
    <t>Étiquette</t>
  </si>
  <si>
    <t>ENTRÉE DE DONNÉES</t>
  </si>
  <si>
    <t>Perte de chaleur - isolation composante - CAS 1</t>
  </si>
  <si>
    <t>/longueur</t>
  </si>
  <si>
    <t>/surface</t>
  </si>
  <si>
    <t>Btu/h/pi</t>
  </si>
  <si>
    <t>W/m2</t>
  </si>
  <si>
    <t>Btu/h/pi2</t>
  </si>
  <si>
    <t>Diagnonal</t>
  </si>
  <si>
    <t>NPS</t>
  </si>
  <si>
    <t>(mm)</t>
  </si>
  <si>
    <t>Diamètre externe (po)</t>
  </si>
  <si>
    <t>ref 1</t>
  </si>
  <si>
    <t>ref 1 et 2</t>
  </si>
  <si>
    <r>
      <t xml:space="preserve">1. Illinois, Reference Manual for Energy Efficiency (version 11.0). Disponible https://www.ilsag.info/technical-reference-manual/ - </t>
    </r>
    <r>
      <rPr>
        <b/>
        <sz val="11"/>
        <color theme="1"/>
        <rFont val="Calibri"/>
        <family val="2"/>
        <scheme val="minor"/>
      </rPr>
      <t>p.295</t>
    </r>
  </si>
  <si>
    <r>
      <t xml:space="preserve">2. State of Minnesota,Technical Reference Manual 2023 (version 4.0). Disponible : https://mn.gov/commerce/energy/industry-government/cip/technical-reference-manual/ - </t>
    </r>
    <r>
      <rPr>
        <b/>
        <sz val="11"/>
        <color theme="1"/>
        <rFont val="Calibri"/>
        <family val="2"/>
        <scheme val="minor"/>
      </rPr>
      <t>p.354 - Table 1</t>
    </r>
  </si>
  <si>
    <t>3. Chemical Engineer's Guide. Heat Loss from an Insulated Pipe. Disponible:  https://cheguide.com/heat_loss_insulation.html</t>
  </si>
  <si>
    <t>ref 3</t>
  </si>
  <si>
    <r>
      <t>4. Illinois, Reference Manuel For Energy Efficiency (version 9.0). Disponible:  https://www.ilsag.info/wp-content/uploads/IL-TRM_Effective_010121_v9.0_Volumes_1-4_9-25-2020_Final_Compiled.pdf -</t>
    </r>
    <r>
      <rPr>
        <b/>
        <sz val="11"/>
        <color theme="1"/>
        <rFont val="Calibri"/>
        <family val="2"/>
        <scheme val="minor"/>
      </rPr>
      <t xml:space="preserve"> p.321</t>
    </r>
  </si>
  <si>
    <t>5. ASTM C1129-12 : https://tajhizkala.ir/doc/ASTM/C1129.pdf</t>
  </si>
  <si>
    <t>Longueur équivalente - Vanne</t>
  </si>
  <si>
    <t>ref 5</t>
  </si>
  <si>
    <t>Leq: Longueur équivalente (pi)</t>
  </si>
  <si>
    <t>A : Aire de surface (pi2) - selon norme ASTM C1129-12. Voir plus bas</t>
  </si>
  <si>
    <t>NPS (po)</t>
  </si>
  <si>
    <t>A (pi2)</t>
  </si>
  <si>
    <t>ANSI Class</t>
  </si>
  <si>
    <t>x3</t>
  </si>
  <si>
    <t>x2</t>
  </si>
  <si>
    <t>Cas 2</t>
  </si>
  <si>
    <t>Économies</t>
  </si>
  <si>
    <t>(°C</t>
  </si>
  <si>
    <t xml:space="preserve">Diamètre </t>
  </si>
  <si>
    <t>Température du fluide</t>
  </si>
  <si>
    <t>(h)</t>
  </si>
  <si>
    <t>(pi)</t>
  </si>
  <si>
    <t>(btu/an)</t>
  </si>
  <si>
    <t>Leq</t>
  </si>
  <si>
    <t xml:space="preserve">Économies d'énergie annuelles totales </t>
  </si>
  <si>
    <t xml:space="preserve">Économies de gaz naturel </t>
  </si>
  <si>
    <t>ISOLATION</t>
  </si>
  <si>
    <t>Vanne, régulateur, séparateur et filtres</t>
  </si>
  <si>
    <r>
      <t>(pi</t>
    </r>
    <r>
      <rPr>
        <b/>
        <vertAlign val="superscript"/>
        <sz val="10"/>
        <color theme="1"/>
        <rFont val="Arial"/>
        <family val="2"/>
      </rPr>
      <t>2</t>
    </r>
    <r>
      <rPr>
        <b/>
        <sz val="10"/>
        <color theme="1"/>
        <rFont val="Arial"/>
        <family val="2"/>
      </rPr>
      <t>)</t>
    </r>
  </si>
  <si>
    <r>
      <t>(m</t>
    </r>
    <r>
      <rPr>
        <b/>
        <vertAlign val="superscript"/>
        <sz val="10"/>
        <color theme="1"/>
        <rFont val="Arial"/>
        <family val="2"/>
      </rPr>
      <t>3</t>
    </r>
    <r>
      <rPr>
        <b/>
        <sz val="10"/>
        <color theme="1"/>
        <rFont val="Arial"/>
        <family val="2"/>
      </rPr>
      <t>/an)</t>
    </r>
  </si>
  <si>
    <t xml:space="preserve">Épaisseur isolant </t>
  </si>
  <si>
    <t>Cas 3</t>
  </si>
  <si>
    <t>Économies(W/m)</t>
  </si>
  <si>
    <t>Économies (W/m)</t>
  </si>
  <si>
    <t>Longueur équivalente - Réservoir</t>
  </si>
  <si>
    <t>Ratio D/L (x)</t>
  </si>
  <si>
    <r>
      <rPr>
        <i/>
        <sz val="11"/>
        <color theme="1"/>
        <rFont val="Calibri"/>
        <family val="2"/>
        <scheme val="minor"/>
      </rPr>
      <t>L:</t>
    </r>
    <r>
      <rPr>
        <sz val="11"/>
        <color theme="1"/>
        <rFont val="Calibri"/>
        <family val="2"/>
        <scheme val="minor"/>
      </rPr>
      <t xml:space="preserve"> Longueur du réservoir (pi)</t>
    </r>
  </si>
  <si>
    <r>
      <rPr>
        <i/>
        <sz val="11"/>
        <color theme="1"/>
        <rFont val="Calibri"/>
        <family val="2"/>
        <scheme val="minor"/>
      </rPr>
      <t>A</t>
    </r>
    <r>
      <rPr>
        <sz val="11"/>
        <color theme="1"/>
        <rFont val="Calibri"/>
        <family val="2"/>
        <scheme val="minor"/>
      </rPr>
      <t xml:space="preserve"> : Aire de surface (pi2) - donnée d'entrée</t>
    </r>
  </si>
  <si>
    <r>
      <rPr>
        <i/>
        <sz val="11"/>
        <color theme="1"/>
        <rFont val="Calibri"/>
        <family val="2"/>
        <scheme val="minor"/>
      </rPr>
      <t>D</t>
    </r>
    <r>
      <rPr>
        <sz val="11"/>
        <color theme="1"/>
        <rFont val="Calibri"/>
        <family val="2"/>
        <scheme val="minor"/>
      </rPr>
      <t>: Diamètre du résevoir (pi)</t>
    </r>
  </si>
  <si>
    <r>
      <rPr>
        <i/>
        <sz val="11"/>
        <rFont val="Calibri"/>
        <family val="2"/>
        <scheme val="minor"/>
      </rPr>
      <t>x</t>
    </r>
    <r>
      <rPr>
        <sz val="11"/>
        <rFont val="Calibri"/>
        <family val="2"/>
        <scheme val="minor"/>
      </rPr>
      <t xml:space="preserve"> : ratio D/L -voir plus bas</t>
    </r>
  </si>
  <si>
    <t>VANNE</t>
  </si>
  <si>
    <t>RÉSERVOIR</t>
  </si>
  <si>
    <t>D2</t>
  </si>
  <si>
    <t>Diamètre vanne D2 (mm)</t>
  </si>
  <si>
    <t>Surface</t>
  </si>
  <si>
    <t>(pi2)</t>
  </si>
  <si>
    <r>
      <t>W/m</t>
    </r>
    <r>
      <rPr>
        <b/>
        <vertAlign val="superscript"/>
        <sz val="10"/>
        <color theme="1"/>
        <rFont val="Arial"/>
        <family val="2"/>
      </rPr>
      <t>2</t>
    </r>
  </si>
  <si>
    <r>
      <t>Économies (W/m</t>
    </r>
    <r>
      <rPr>
        <vertAlign val="superscript"/>
        <sz val="11"/>
        <color theme="1"/>
        <rFont val="Calibri"/>
        <family val="2"/>
        <scheme val="minor"/>
      </rPr>
      <t>2</t>
    </r>
    <r>
      <rPr>
        <sz val="11"/>
        <color theme="1"/>
        <rFont val="Calibri"/>
        <family val="2"/>
        <scheme val="minor"/>
      </rPr>
      <t>)</t>
    </r>
  </si>
  <si>
    <t>Diamètre externe (D2)</t>
  </si>
  <si>
    <t>Note: Très peu d'influence sur les économies d'énergie</t>
  </si>
  <si>
    <t>VANNES</t>
  </si>
  <si>
    <t>(W/m)</t>
  </si>
  <si>
    <r>
      <t>(W/m</t>
    </r>
    <r>
      <rPr>
        <b/>
        <vertAlign val="superscript"/>
        <sz val="11"/>
        <color theme="1"/>
        <rFont val="Calibri"/>
        <family val="2"/>
        <scheme val="minor"/>
      </rPr>
      <t>2</t>
    </r>
    <r>
      <rPr>
        <b/>
        <sz val="11"/>
        <color theme="1"/>
        <rFont val="Calibri"/>
        <family val="2"/>
        <scheme val="minor"/>
      </rPr>
      <t>)</t>
    </r>
  </si>
  <si>
    <r>
      <t>Conversion NPS en diamètre externe  -</t>
    </r>
    <r>
      <rPr>
        <b/>
        <i/>
        <sz val="11"/>
        <rFont val="Calibri"/>
        <family val="2"/>
        <scheme val="minor"/>
      </rPr>
      <t xml:space="preserve"> ref 6</t>
    </r>
  </si>
  <si>
    <t>Longueur équivalente - Échangeur de chaleur à tubes</t>
  </si>
  <si>
    <t>ÉCHANGEUR DE CHALEUR</t>
  </si>
  <si>
    <r>
      <t>(pi</t>
    </r>
    <r>
      <rPr>
        <b/>
        <vertAlign val="superscript"/>
        <sz val="11"/>
        <color theme="1"/>
        <rFont val="Calibri"/>
        <family val="2"/>
        <scheme val="minor"/>
      </rPr>
      <t>2</t>
    </r>
    <r>
      <rPr>
        <b/>
        <sz val="11"/>
        <color theme="1"/>
        <rFont val="Calibri"/>
        <family val="2"/>
        <scheme val="minor"/>
      </rPr>
      <t>)</t>
    </r>
  </si>
  <si>
    <t>Isolation thermique:</t>
  </si>
  <si>
    <r>
      <t>Objectif de cet onglet:</t>
    </r>
    <r>
      <rPr>
        <sz val="11"/>
        <rFont val="Calibri"/>
        <family val="2"/>
        <scheme val="minor"/>
      </rPr>
      <t xml:space="preserve"> Expliquer la fonctionalité de tous les onglets</t>
    </r>
  </si>
  <si>
    <t>Onglets</t>
  </si>
  <si>
    <t>Isolation - CAS 1</t>
  </si>
  <si>
    <t>Isolation - CAS 2</t>
  </si>
  <si>
    <t>Isolation - CAS 3</t>
  </si>
  <si>
    <t>Propriété_air</t>
  </si>
  <si>
    <t>Propriété_matériau</t>
  </si>
  <si>
    <t>P opération brûleur - avant MEE</t>
  </si>
  <si>
    <t>P opération brûleur - éco</t>
  </si>
  <si>
    <t>Combustion_Chaud1</t>
  </si>
  <si>
    <t>Combustion_Chaud2</t>
  </si>
  <si>
    <t>Combustion_Chaud3</t>
  </si>
  <si>
    <t>Combustion_Chaud4</t>
  </si>
  <si>
    <t xml:space="preserve">Économiseur condensant </t>
  </si>
  <si>
    <t>Économiseur non-condensant</t>
  </si>
  <si>
    <t>Micromodulation et sonde O2</t>
  </si>
  <si>
    <t>Combustion_Chaud1 (Micro)</t>
  </si>
  <si>
    <t>Combustion_Chaud2 (Micro)</t>
  </si>
  <si>
    <t>Combustion_Chaud3 (Micro)</t>
  </si>
  <si>
    <t>Combustion_Chaud4 (Micro)</t>
  </si>
  <si>
    <t>Subvention</t>
  </si>
  <si>
    <t>Tables vapeur</t>
  </si>
  <si>
    <t>Facteurs conversion</t>
  </si>
  <si>
    <t>normales 1981-2010</t>
  </si>
  <si>
    <t>Cond_valid</t>
  </si>
  <si>
    <t>Menus déroulants</t>
  </si>
  <si>
    <t>Fonctionalité</t>
  </si>
  <si>
    <t>Liste de données à entrer par le participant pour les mesures d'isolation</t>
  </si>
  <si>
    <t>Listes de toutes les hypothèses utilisés ainsi qu'explication de la démarche de calcul des économies d'énergie</t>
  </si>
  <si>
    <t>Calcul des économies d'énergie liée à l'isolation</t>
  </si>
  <si>
    <t>Catégorie</t>
  </si>
  <si>
    <t>G</t>
  </si>
  <si>
    <t>I</t>
  </si>
  <si>
    <t xml:space="preserve">Proprété de l'air </t>
  </si>
  <si>
    <t>Propriété du matériau isolé et de l'isolant</t>
  </si>
  <si>
    <t>Bilan d'énergie de la chaufferie avant l'implantation de mesures d'efficacité énergitique</t>
  </si>
  <si>
    <t>Bilan d'énergie de la chaufferie après l'implantation de mesures d'efficacité énergitique</t>
  </si>
  <si>
    <t>Calcul de l'effiacité de combsution de la chaudière n°1</t>
  </si>
  <si>
    <t>Calcul de l'effiacité de combsution de la chaudière n°2</t>
  </si>
  <si>
    <t>Calcul de l'effiacité de combsution de la chaudière n°3</t>
  </si>
  <si>
    <t>Calcul de l'effiacité de combsution de la chaudière n°4</t>
  </si>
  <si>
    <t>Calcul des économies d'énergie liée aux économiseurs condensants</t>
  </si>
  <si>
    <t>Calcul des économies d'énergie liée aux économiseurs non-condensants</t>
  </si>
  <si>
    <t>Calcul des économies d'énergie liée à la micromodulation et/ou l'ajout d'une sonde d'O2</t>
  </si>
  <si>
    <t>Calcul de la température des fumées suite à la micromodulation et/ou l'ajout d'une sonde d'O2 sur la chaudière n°1</t>
  </si>
  <si>
    <t>Calcul de la température des fumées suite à la micromodulation et/ou l'ajout d'une sonde d'O2 sur la chaudière n°2</t>
  </si>
  <si>
    <t>Calcul de la température des fumées suite à la micromodulation et/ou l'ajout d'une sonde d'O2 sur la chaudière n°3</t>
  </si>
  <si>
    <t>Calcul de la température des fumées suite à la micromodulation et/ou l'ajout d'une sonde d'O2 sur la chaudière n°4</t>
  </si>
  <si>
    <t>Montant des subvention</t>
  </si>
  <si>
    <t>Table de données de vapeur (enthalpies)</t>
  </si>
  <si>
    <t>Facteurs de conversion des unités</t>
  </si>
  <si>
    <t>Données météorologiques normales des années 1981 à 2010 à Montréal</t>
  </si>
  <si>
    <t>Conditions de validation des économiseurs</t>
  </si>
  <si>
    <t>Liste des menus déroulants</t>
  </si>
  <si>
    <t>Général</t>
  </si>
  <si>
    <t>MEE - économiseur</t>
  </si>
  <si>
    <t>MEE - micromodulation et ou sonde O2</t>
  </si>
  <si>
    <t>MEE - isolation</t>
  </si>
  <si>
    <t>E</t>
  </si>
  <si>
    <t>EM</t>
  </si>
  <si>
    <t>Légende:</t>
  </si>
  <si>
    <r>
      <t xml:space="preserve">Aire de surface Vanne - </t>
    </r>
    <r>
      <rPr>
        <b/>
        <i/>
        <sz val="11"/>
        <color theme="1"/>
        <rFont val="Calibri"/>
        <family val="2"/>
        <scheme val="minor"/>
      </rPr>
      <t>ref 5</t>
    </r>
  </si>
  <si>
    <t>6. Wikipedia. Nominal Pipe Size</t>
  </si>
  <si>
    <t>7. Edwards, J. "Design and Rating Shell and Tube Heat Exchangers". Disponible: http://www.cit-wulkow.chemstations.com/content/documents/Technical_Articles/shell.pdf</t>
  </si>
  <si>
    <t>ref 7</t>
  </si>
  <si>
    <t>8. Hall, S. "Rules of Thumb: Tanks and vessels". Disponible: https://www.thechemicalengineer.com/features/rules-of-thumb-tanks-and-vessels/#:~:text=The%20aspect%20ratio%20(vertical%20straight,or%20for%20other%20process%20requirements.</t>
  </si>
  <si>
    <t>ref 8</t>
  </si>
  <si>
    <t>Aucune (indépendant)</t>
  </si>
  <si>
    <r>
      <rPr>
        <i/>
        <sz val="11"/>
        <rFont val="Calibri"/>
        <family val="2"/>
        <scheme val="minor"/>
      </rPr>
      <t>Q</t>
    </r>
    <r>
      <rPr>
        <i/>
        <vertAlign val="subscript"/>
        <sz val="11"/>
        <rFont val="Calibri"/>
        <family val="2"/>
        <scheme val="minor"/>
      </rPr>
      <t>nue</t>
    </r>
    <r>
      <rPr>
        <sz val="11"/>
        <rFont val="Calibri"/>
        <family val="2"/>
        <scheme val="minor"/>
      </rPr>
      <t>: Perte de chaleur de la composante non isolée (Btu/h) - voir les onglets "Isolation - CAS x"</t>
    </r>
  </si>
  <si>
    <r>
      <rPr>
        <i/>
        <sz val="11"/>
        <rFont val="Calibri"/>
        <family val="2"/>
        <scheme val="minor"/>
      </rPr>
      <t>Q</t>
    </r>
    <r>
      <rPr>
        <i/>
        <vertAlign val="subscript"/>
        <sz val="11"/>
        <rFont val="Calibri"/>
        <family val="2"/>
        <scheme val="minor"/>
      </rPr>
      <t>isolé</t>
    </r>
    <r>
      <rPr>
        <sz val="11"/>
        <rFont val="Calibri"/>
        <family val="2"/>
        <scheme val="minor"/>
      </rPr>
      <t>: Perte de chaleur de la composante  isolée (Btu/h) - voir les onglets "Isolation - CAS x"</t>
    </r>
  </si>
  <si>
    <r>
      <rPr>
        <i/>
        <sz val="11"/>
        <rFont val="Calibri"/>
        <family val="2"/>
        <scheme val="minor"/>
      </rPr>
      <t>h</t>
    </r>
    <r>
      <rPr>
        <sz val="11"/>
        <rFont val="Calibri"/>
        <family val="2"/>
        <scheme val="minor"/>
      </rPr>
      <t>: nombre d'heures d'opération - entrée de donnée (h) - entrée de donnée</t>
    </r>
  </si>
  <si>
    <t>D: Diamètre externe de la vanne (po) - voir plus bas pour conversion NPS en diamètre externe</t>
  </si>
  <si>
    <r>
      <rPr>
        <i/>
        <sz val="11"/>
        <color theme="1"/>
        <rFont val="Calibri"/>
        <family val="2"/>
        <scheme val="minor"/>
      </rPr>
      <t>D</t>
    </r>
    <r>
      <rPr>
        <sz val="11"/>
        <color theme="1"/>
        <rFont val="Calibri"/>
        <family val="2"/>
        <scheme val="minor"/>
      </rPr>
      <t>: Diamètre du réservoir (pi)</t>
    </r>
  </si>
  <si>
    <t>Perte de chaleur - isolation composante - CAS 2</t>
  </si>
  <si>
    <t>Perte de chaleur - isolation composante - CAS 3</t>
  </si>
  <si>
    <t>1.A - Gain d'efficacité lié à l'âge du système</t>
  </si>
  <si>
    <t>Dégazeur</t>
  </si>
  <si>
    <t>Quantité d'eau alimentée  (après ajout économiseur n-c ou c 2 stages):</t>
  </si>
  <si>
    <r>
      <t>Q</t>
    </r>
    <r>
      <rPr>
        <vertAlign val="subscript"/>
        <sz val="11"/>
        <color theme="1"/>
        <rFont val="Calibri"/>
        <family val="2"/>
        <scheme val="minor"/>
      </rPr>
      <t>produite</t>
    </r>
    <r>
      <rPr>
        <sz val="11"/>
        <color theme="1"/>
        <rFont val="Calibri"/>
        <family val="2"/>
        <scheme val="minor"/>
      </rPr>
      <t>/efficacité de combustion:</t>
    </r>
  </si>
  <si>
    <t>chaudière n°1</t>
  </si>
  <si>
    <t>chaudière n°2</t>
  </si>
  <si>
    <t>chaudière n°3</t>
  </si>
  <si>
    <t>chaudière n°4</t>
  </si>
  <si>
    <t>Étiquette
intégration(n-i,i)_capacité(bas,moy,haut)_type(s,c)</t>
  </si>
  <si>
    <t>n-i_bas_s</t>
  </si>
  <si>
    <t>n-i_moy_c</t>
  </si>
  <si>
    <t>n-i_haut_s</t>
  </si>
  <si>
    <t>n-i_moy_s</t>
  </si>
  <si>
    <t>n-i_bas_c</t>
  </si>
  <si>
    <t>n-i_haut_c</t>
  </si>
  <si>
    <t>i_bas_s</t>
  </si>
  <si>
    <t>i_moy_s</t>
  </si>
  <si>
    <t>i_haut_s</t>
  </si>
  <si>
    <t>i_bas_c</t>
  </si>
  <si>
    <t>i_moy_c</t>
  </si>
  <si>
    <t>i_haut_c</t>
  </si>
  <si>
    <t>montant ($/HP)</t>
  </si>
  <si>
    <t>type</t>
  </si>
  <si>
    <t>Étiquette
type_diamètre</t>
  </si>
  <si>
    <t>vc_1</t>
  </si>
  <si>
    <t>vc_1à2</t>
  </si>
  <si>
    <t>vc_2à4</t>
  </si>
  <si>
    <t>vc_4à6</t>
  </si>
  <si>
    <t>vc_6</t>
  </si>
  <si>
    <t>r_1</t>
  </si>
  <si>
    <t>r_1à2</t>
  </si>
  <si>
    <t>r_2à4</t>
  </si>
  <si>
    <t>r_4à6</t>
  </si>
  <si>
    <t>r_6</t>
  </si>
  <si>
    <t>vi_1</t>
  </si>
  <si>
    <t>vi_1à2</t>
  </si>
  <si>
    <t>vi_2à4</t>
  </si>
  <si>
    <t>vi_4à6</t>
  </si>
  <si>
    <t>vi_6</t>
  </si>
  <si>
    <t>vs_1</t>
  </si>
  <si>
    <t>vs_1à2</t>
  </si>
  <si>
    <t>vs_2à4</t>
  </si>
  <si>
    <t>vs_4à6</t>
  </si>
  <si>
    <t>vs_6</t>
  </si>
  <si>
    <t>s_1</t>
  </si>
  <si>
    <t>s_1à2</t>
  </si>
  <si>
    <t>s_2à4</t>
  </si>
  <si>
    <t>s_4à6</t>
  </si>
  <si>
    <t>s_6</t>
  </si>
  <si>
    <t>f_1</t>
  </si>
  <si>
    <t>f_1à2</t>
  </si>
  <si>
    <t>f_2à4</t>
  </si>
  <si>
    <t>f_4à6</t>
  </si>
  <si>
    <t>f_6</t>
  </si>
  <si>
    <t>montant ($/unité)</t>
  </si>
  <si>
    <t>diamètre</t>
  </si>
  <si>
    <t>vc</t>
  </si>
  <si>
    <t>r</t>
  </si>
  <si>
    <t>vi</t>
  </si>
  <si>
    <t>vs</t>
  </si>
  <si>
    <t>f</t>
  </si>
  <si>
    <t>Type équippement</t>
  </si>
  <si>
    <t>Étiquette cout</t>
  </si>
  <si>
    <t>Aide financière</t>
  </si>
  <si>
    <t>($)</t>
  </si>
  <si>
    <t>AIDE FINANCIÈRE</t>
  </si>
  <si>
    <t>Menu déroulant</t>
  </si>
  <si>
    <t>ISOLATION - CAS 1</t>
  </si>
  <si>
    <t>ISOLATION - CAS 2</t>
  </si>
  <si>
    <t>ISOLATION - CAS 3</t>
  </si>
  <si>
    <t>Propriétés thermodynamiques de l'air</t>
  </si>
  <si>
    <t>Propriétés thermophysique</t>
  </si>
  <si>
    <t>(D3)</t>
  </si>
  <si>
    <t>Épaisseur de la composante</t>
  </si>
  <si>
    <t>Température ambiante moyenne:</t>
  </si>
  <si>
    <t>Diamètre externe (D2) (mm)</t>
  </si>
  <si>
    <t>Données statistiques</t>
  </si>
  <si>
    <t>acier carbone</t>
  </si>
  <si>
    <t>Silicate de calcium</t>
  </si>
  <si>
    <t>Matériau de l'isolant:</t>
  </si>
  <si>
    <t>Matériau de la composante:</t>
  </si>
  <si>
    <t>Source d'énergie</t>
  </si>
  <si>
    <t>ans</t>
  </si>
  <si>
    <r>
      <t>Sonde O</t>
    </r>
    <r>
      <rPr>
        <b/>
        <vertAlign val="subscript"/>
        <sz val="11"/>
        <color theme="0"/>
        <rFont val="Calibri"/>
        <family val="2"/>
        <scheme val="minor"/>
      </rPr>
      <t>2</t>
    </r>
  </si>
  <si>
    <t>Gain d'efficacité max</t>
  </si>
  <si>
    <t>Selon expérience de Stéphane Brunet, car la méthode de calcul utilisé est un gain théorique en conditions idéales.</t>
  </si>
  <si>
    <t>Commentaire sur l'admissibilité</t>
  </si>
  <si>
    <t>pi</t>
  </si>
  <si>
    <t xml:space="preserve">1 po = </t>
  </si>
  <si>
    <t>1 m =</t>
  </si>
  <si>
    <t>GJ</t>
  </si>
  <si>
    <t>1 m3 =</t>
  </si>
  <si>
    <t>bar</t>
  </si>
  <si>
    <t>1 PSI =</t>
  </si>
  <si>
    <t>1 kPa=</t>
  </si>
  <si>
    <t>PSI</t>
  </si>
  <si>
    <t>1 kW =</t>
  </si>
  <si>
    <t>1 kJ/h =</t>
  </si>
  <si>
    <t>MJ</t>
  </si>
  <si>
    <t>kg</t>
  </si>
  <si>
    <t>m3</t>
  </si>
  <si>
    <r>
      <t>1 000m</t>
    </r>
    <r>
      <rPr>
        <b/>
        <vertAlign val="superscript"/>
        <sz val="11"/>
        <color theme="0"/>
        <rFont val="Calibri"/>
        <family val="2"/>
        <scheme val="minor"/>
      </rPr>
      <t>3</t>
    </r>
    <r>
      <rPr>
        <b/>
        <sz val="11"/>
        <color theme="0"/>
        <rFont val="Calibri"/>
        <family val="2"/>
        <scheme val="minor"/>
      </rPr>
      <t xml:space="preserve"> =</t>
    </r>
  </si>
  <si>
    <t>1million Btu/h</t>
  </si>
  <si>
    <t>Btu</t>
  </si>
  <si>
    <t>1 lb  =</t>
  </si>
  <si>
    <t>1 million Btu/h =</t>
  </si>
  <si>
    <t>1 m3 gaz naturel =</t>
  </si>
  <si>
    <t>1 kw =</t>
  </si>
  <si>
    <t>btu/lb</t>
  </si>
  <si>
    <t>1 lb =</t>
  </si>
  <si>
    <t>1 kJ/kg =</t>
  </si>
  <si>
    <t>(Btu/an)</t>
  </si>
  <si>
    <t>Notes:</t>
  </si>
  <si>
    <t>Onglet Énergir</t>
  </si>
  <si>
    <t>Réservé à Énergir</t>
  </si>
  <si>
    <r>
      <t>m</t>
    </r>
    <r>
      <rPr>
        <i/>
        <vertAlign val="superscript"/>
        <sz val="10"/>
        <color rgb="FF002060"/>
        <rFont val="Arial"/>
        <family val="2"/>
      </rPr>
      <t>3</t>
    </r>
    <r>
      <rPr>
        <i/>
        <sz val="10"/>
        <color rgb="FF002060"/>
        <rFont val="Arial"/>
        <family val="2"/>
      </rPr>
      <t>/an</t>
    </r>
  </si>
  <si>
    <t>L'age d'une chaudière existante: &gt;=</t>
  </si>
  <si>
    <t>Température du gaz naturel (°C) :</t>
  </si>
  <si>
    <t>Température de l'air de combustion (°C) :</t>
  </si>
  <si>
    <t>Total :</t>
  </si>
  <si>
    <t>valeur à utiliser:</t>
  </si>
  <si>
    <t>Type chaufferie</t>
  </si>
  <si>
    <t>Ancienneté:</t>
  </si>
  <si>
    <t>Application :</t>
  </si>
  <si>
    <t>ECS</t>
  </si>
  <si>
    <t>CVAC et procédé</t>
  </si>
  <si>
    <t>procédé / ECS</t>
  </si>
  <si>
    <t>Procédé / ECS</t>
  </si>
  <si>
    <t>Ancienneté</t>
  </si>
  <si>
    <t>Calcul des pertes de chaleur économisées dû à l'ajout d'isolation sur une conduite intérieure</t>
  </si>
  <si>
    <t>Calcul des pertes de chaleur économisées dû à l'ajout d'isolation sur une conduite extérieure pour une utilisation en procédé</t>
  </si>
  <si>
    <t>Calcul des pertes de chaleur économisées dû à l'ajout d'isolation sur une conduite extérieure pour une utilisation CVAC</t>
  </si>
  <si>
    <t>L'hypothèse provient du TRM de l'Illinois et Minnesota</t>
  </si>
  <si>
    <t>Hypothèses pour les calculs de Q:</t>
  </si>
  <si>
    <r>
      <rPr>
        <i/>
        <sz val="11"/>
        <color theme="1"/>
        <rFont val="Calibri"/>
        <family val="2"/>
        <scheme val="minor"/>
      </rPr>
      <t>L:</t>
    </r>
    <r>
      <rPr>
        <sz val="11"/>
        <color theme="1"/>
        <rFont val="Calibri"/>
        <family val="2"/>
        <scheme val="minor"/>
      </rPr>
      <t xml:space="preserve"> Longueur de l'échangeur (pi)</t>
    </r>
  </si>
  <si>
    <t>Diagonale</t>
  </si>
  <si>
    <t>Calcul pour la composante isolée</t>
  </si>
  <si>
    <t>https://cheguide.com/heat_loss_insulation.html</t>
  </si>
  <si>
    <t>x4</t>
  </si>
  <si>
    <t>x1</t>
  </si>
  <si>
    <t>9. Andrews, J. "Thermal Regain From Displacement of Duct Leakage Within Insulation". Mai 2002. Disponible: https://www.bnl.gov/isd/documents/24602.pdf</t>
  </si>
  <si>
    <t>(Voir onglet "Détails calcul isolation" pour explications)</t>
  </si>
  <si>
    <t>Détails calcul istolation</t>
  </si>
  <si>
    <t>Présente en détails les calculs pour l'estimation des économies liées à l'isolation tiré du manuel Chemical Engineer's Guide</t>
  </si>
  <si>
    <t>G.</t>
  </si>
  <si>
    <t>ρ air</t>
  </si>
  <si>
    <t>C1/T</t>
  </si>
  <si>
    <t>PV=nRT =&gt; rho = PM/RT</t>
  </si>
  <si>
    <t>P</t>
  </si>
  <si>
    <t>R</t>
  </si>
  <si>
    <r>
      <t>σ has a value of </t>
    </r>
    <r>
      <rPr>
        <sz val="15"/>
        <color rgb="FF040C28"/>
        <rFont val="Arial"/>
        <family val="2"/>
      </rPr>
      <t>5.670374419 × 10</t>
    </r>
    <r>
      <rPr>
        <vertAlign val="superscript"/>
        <sz val="15"/>
        <color rgb="FF040C28"/>
        <rFont val="Arial"/>
        <family val="2"/>
      </rPr>
      <t>−8</t>
    </r>
    <r>
      <rPr>
        <sz val="15"/>
        <color rgb="FF040C28"/>
        <rFont val="Arial"/>
        <family val="2"/>
      </rPr>
      <t> watt per square meter per kelvin to the fourth (W / (m</t>
    </r>
    <r>
      <rPr>
        <vertAlign val="superscript"/>
        <sz val="15"/>
        <color rgb="FF040C28"/>
        <rFont val="Arial"/>
        <family val="2"/>
      </rPr>
      <t>2</t>
    </r>
    <r>
      <rPr>
        <sz val="15"/>
        <color rgb="FF040C28"/>
        <rFont val="Arial"/>
        <family val="2"/>
      </rPr>
      <t> x K</t>
    </r>
    <r>
      <rPr>
        <vertAlign val="superscript"/>
        <sz val="15"/>
        <color rgb="FF040C28"/>
        <rFont val="Arial"/>
        <family val="2"/>
      </rPr>
      <t>4</t>
    </r>
    <r>
      <rPr>
        <sz val="15"/>
        <color rgb="FF040C28"/>
        <rFont val="Arial"/>
        <family val="2"/>
      </rPr>
      <t>)</t>
    </r>
    <r>
      <rPr>
        <sz val="15"/>
        <color rgb="FF202124"/>
        <rFont val="Arial"/>
        <family val="2"/>
      </rPr>
      <t>. σ represents the constant of proportionality between these two variables.</t>
    </r>
  </si>
  <si>
    <t>Constante</t>
  </si>
  <si>
    <r>
      <t>W / (m</t>
    </r>
    <r>
      <rPr>
        <vertAlign val="superscript"/>
        <sz val="11"/>
        <color theme="1"/>
        <rFont val="Calibri"/>
        <family val="2"/>
        <scheme val="minor"/>
      </rPr>
      <t>2</t>
    </r>
    <r>
      <rPr>
        <sz val="11"/>
        <color theme="1"/>
        <rFont val="Calibri"/>
        <family val="2"/>
        <scheme val="minor"/>
      </rPr>
      <t> x K</t>
    </r>
    <r>
      <rPr>
        <vertAlign val="superscript"/>
        <sz val="11"/>
        <color theme="1"/>
        <rFont val="Calibri"/>
        <family val="2"/>
        <scheme val="minor"/>
      </rPr>
      <t>4</t>
    </r>
    <r>
      <rPr>
        <sz val="11"/>
        <color theme="1"/>
        <rFont val="Calibri"/>
        <family val="2"/>
        <scheme val="minor"/>
      </rPr>
      <t>)</t>
    </r>
  </si>
  <si>
    <t xml:space="preserve">σ </t>
  </si>
  <si>
    <t>emissivité</t>
  </si>
  <si>
    <t>�</t>
  </si>
  <si>
    <t>(1)</t>
  </si>
  <si>
    <t>(2)</t>
  </si>
  <si>
    <t>(3)</t>
  </si>
  <si>
    <t>(4)</t>
  </si>
  <si>
    <t>selon les données de Prodimax</t>
  </si>
  <si>
    <t>POMPES</t>
  </si>
  <si>
    <t>Pompes</t>
  </si>
  <si>
    <t xml:space="preserve">VANNES - Compilation des tableaux de résultats </t>
  </si>
  <si>
    <t xml:space="preserve">ÉCHANGEUR DE CHALEUR - Compilation des tableaux de résultats </t>
  </si>
  <si>
    <t xml:space="preserve">RÉSERVOIR - Compilation des tableaux de résultats </t>
  </si>
  <si>
    <t xml:space="preserve">POMPE - Compilation des tableaux de résultats </t>
  </si>
  <si>
    <r>
      <t xml:space="preserve">Le calcul des économies d'énergie liée à l'isolation d'une conduite (un cylindre) est utilisé pour chaque accessoire, en convertissant la forme de chaque accessoire en un cylindre. 
Pour les vannes, filtre, séparateur, etc.: leur aire de surface, détermiée avec la norme ASTM C1129-12 (ref 4 et 5), est convertie en longueur équivalente de tuyau. On suppose que la surface des vannes "gate" est semblable aux autres types de vannes et accessoires.
Pour les réservoirs: on suppose qu'ils sont cylindriques.
Pour les échangeurs de chaleur: on suppose 1 type d'échangeur: échangeur à tubes (un cylindre).
</t>
    </r>
    <r>
      <rPr>
        <sz val="11"/>
        <color theme="1"/>
        <rFont val="Calibri"/>
        <family val="2"/>
        <scheme val="minor"/>
      </rPr>
      <t>Pour les pompes: on suppose que l'isolant augmente de 35% la superficie.
Autre équipements: idem aux pompes.</t>
    </r>
  </si>
  <si>
    <t>Dimensions - Pompes et autres équipements</t>
  </si>
  <si>
    <t xml:space="preserve">L'isolant augemente la superficie de la pompe (ou aure équi.) de </t>
  </si>
  <si>
    <t xml:space="preserve">AUTRES ÉQUIPEMENTS - Compilation des tableaux de résultats </t>
  </si>
  <si>
    <t>AUTRES ÉQUIPEMENTS</t>
  </si>
  <si>
    <t>Surface isolant (pi*D3*L)</t>
  </si>
  <si>
    <t>L</t>
  </si>
  <si>
    <t>epaisseur isolant</t>
  </si>
  <si>
    <t>Surface isolant (35% de +)</t>
  </si>
  <si>
    <t>Type chaufferie -</t>
  </si>
  <si>
    <t>Estimation de l'aide financière sans plafond maximal</t>
  </si>
  <si>
    <t>Total - sans plafond maximal:</t>
  </si>
  <si>
    <t>Total par chaudière - sans plafond maximal :</t>
  </si>
  <si>
    <t>Total - sans plafond maximal :</t>
  </si>
  <si>
    <t>Note:</t>
  </si>
  <si>
    <t>Total</t>
  </si>
  <si>
    <t>MEÉ1 - Isolation thermique:</t>
  </si>
  <si>
    <t>MEÉ2 - Micromodulation:</t>
  </si>
  <si>
    <r>
      <t>MEÉ3 - Sonde de O</t>
    </r>
    <r>
      <rPr>
        <vertAlign val="subscript"/>
        <sz val="10"/>
        <color rgb="FF002060"/>
        <rFont val="Arial"/>
        <family val="2"/>
      </rPr>
      <t>2</t>
    </r>
    <r>
      <rPr>
        <sz val="10"/>
        <color rgb="FF002060"/>
        <rFont val="Arial"/>
        <family val="2"/>
      </rPr>
      <t>:</t>
    </r>
  </si>
  <si>
    <t>Vérification requise?</t>
  </si>
  <si>
    <t>Numéro de chaudière</t>
  </si>
  <si>
    <t>Puissance (BHP)</t>
  </si>
  <si>
    <t>Chaudière</t>
  </si>
  <si>
    <t>Neuve/existante</t>
  </si>
  <si>
    <t>Tableau à masquer</t>
  </si>
  <si>
    <t>Ligne à masquer</t>
  </si>
  <si>
    <t>Mesure recommandée</t>
  </si>
  <si>
    <t>MEÉ2 - Micromodulation - chaudière 1</t>
  </si>
  <si>
    <t>MEÉ2 - Micromodulation - chaudière 2</t>
  </si>
  <si>
    <t>MEÉ2 - Micromodulation - chaudière 3</t>
  </si>
  <si>
    <t>MEÉ2 - Micromodulation - chaudière 4</t>
  </si>
  <si>
    <t>Équation polynomiale 4e degré</t>
  </si>
  <si>
    <t>MEÉ1 - Isolation thermique</t>
  </si>
  <si>
    <t>MEÉ2 - Micromodulation</t>
  </si>
  <si>
    <t>Nombre de notes</t>
  </si>
  <si>
    <r>
      <t>Économies de gaz naturel (m</t>
    </r>
    <r>
      <rPr>
        <b/>
        <vertAlign val="superscript"/>
        <sz val="10"/>
        <color theme="0"/>
        <rFont val="Arial"/>
        <family val="2"/>
      </rPr>
      <t>3</t>
    </r>
    <r>
      <rPr>
        <b/>
        <sz val="10"/>
        <color theme="0"/>
        <rFont val="Arial"/>
        <family val="2"/>
      </rPr>
      <t>/an)</t>
    </r>
  </si>
  <si>
    <t xml:space="preserve">Total </t>
  </si>
  <si>
    <t>=10 psig</t>
  </si>
  <si>
    <t>Application - vapeur</t>
  </si>
  <si>
    <t>Application - eau chaude</t>
  </si>
  <si>
    <t>eff globale</t>
  </si>
  <si>
    <t>Ratio des gains</t>
  </si>
  <si>
    <t>Efficacité de combustion chaudière au gaz naturel:</t>
  </si>
  <si>
    <t>Efficacité chaudière électrique:</t>
  </si>
  <si>
    <t>Numéro de la mesure</t>
  </si>
  <si>
    <t>1) Section à compléter par les commis</t>
  </si>
  <si>
    <t>2) Résumé pour saisie dans Salesforce</t>
  </si>
  <si>
    <r>
      <t>m</t>
    </r>
    <r>
      <rPr>
        <vertAlign val="superscript"/>
        <sz val="9"/>
        <color rgb="FF002060"/>
        <rFont val="Arial"/>
        <family val="2"/>
      </rPr>
      <t>3</t>
    </r>
    <r>
      <rPr>
        <sz val="9"/>
        <color rgb="FF002060"/>
        <rFont val="Arial"/>
        <family val="2"/>
      </rPr>
      <t>/an</t>
    </r>
  </si>
  <si>
    <t>Consommation annuelle (12 derniers mois) de gaz naturel du client (valeur provenant des factures):</t>
  </si>
  <si>
    <t>a) Vérification des coûts</t>
  </si>
  <si>
    <t>b) Vérification de la consommation de gaz naturel calculée de la chaufferie en fonction de la consommation totale réelle du client</t>
  </si>
  <si>
    <t>c) Vérification du pourcentage d'économie par rapport à la consommation totale du client</t>
  </si>
  <si>
    <t>Nombre de mesure installée</t>
  </si>
  <si>
    <t>$/unité isolée</t>
  </si>
  <si>
    <t>$/chaudière</t>
  </si>
  <si>
    <t>Coût de référence total</t>
  </si>
  <si>
    <t>Coûts admissibles déclarés par le participant</t>
  </si>
  <si>
    <r>
      <t>Sonde de O</t>
    </r>
    <r>
      <rPr>
        <b/>
        <vertAlign val="subscript"/>
        <sz val="10"/>
        <color rgb="FF002060"/>
        <rFont val="Arial"/>
        <family val="2"/>
      </rPr>
      <t>2</t>
    </r>
  </si>
  <si>
    <r>
      <t>MEÉ3 - Sonde de O</t>
    </r>
    <r>
      <rPr>
        <b/>
        <vertAlign val="subscript"/>
        <sz val="10"/>
        <color rgb="FF002060"/>
        <rFont val="Arial"/>
        <family val="2"/>
      </rPr>
      <t>2</t>
    </r>
    <r>
      <rPr>
        <b/>
        <sz val="10"/>
        <color rgb="FF002060"/>
        <rFont val="Arial"/>
        <family val="2"/>
      </rPr>
      <t xml:space="preserve"> - chaudière 1</t>
    </r>
  </si>
  <si>
    <r>
      <t>MEÉ3 - Sonde O</t>
    </r>
    <r>
      <rPr>
        <b/>
        <vertAlign val="subscript"/>
        <sz val="10"/>
        <color rgb="FF002060"/>
        <rFont val="Arial"/>
        <family val="2"/>
      </rPr>
      <t>2</t>
    </r>
    <r>
      <rPr>
        <b/>
        <sz val="10"/>
        <color rgb="FF002060"/>
        <rFont val="Arial"/>
        <family val="2"/>
      </rPr>
      <t xml:space="preserve"> - chaudière 2</t>
    </r>
  </si>
  <si>
    <r>
      <t>MEÉ3 -  Sonde de O</t>
    </r>
    <r>
      <rPr>
        <b/>
        <vertAlign val="subscript"/>
        <sz val="10"/>
        <color rgb="FF002060"/>
        <rFont val="Arial"/>
        <family val="2"/>
      </rPr>
      <t>2</t>
    </r>
    <r>
      <rPr>
        <b/>
        <sz val="10"/>
        <color rgb="FF002060"/>
        <rFont val="Arial"/>
        <family val="2"/>
      </rPr>
      <t xml:space="preserve"> - chaudière 3</t>
    </r>
  </si>
  <si>
    <r>
      <t>MEÉ3 -  Sonde de O</t>
    </r>
    <r>
      <rPr>
        <b/>
        <vertAlign val="subscript"/>
        <sz val="10"/>
        <color rgb="FF002060"/>
        <rFont val="Arial"/>
        <family val="2"/>
      </rPr>
      <t>2</t>
    </r>
    <r>
      <rPr>
        <b/>
        <sz val="10"/>
        <color rgb="FF002060"/>
        <rFont val="Arial"/>
        <family val="2"/>
      </rPr>
      <t xml:space="preserve"> - chaudière 4</t>
    </r>
  </si>
  <si>
    <t>BHP total des chaudières</t>
  </si>
  <si>
    <r>
      <t xml:space="preserve">Estimation de la consommation annuelle de gaz naturel </t>
    </r>
    <r>
      <rPr>
        <u/>
        <sz val="10"/>
        <color rgb="FF002060"/>
        <rFont val="Arial"/>
        <family val="2"/>
      </rPr>
      <t>de la chaufferie</t>
    </r>
    <r>
      <rPr>
        <sz val="10"/>
        <color rgb="FF002060"/>
        <rFont val="Arial"/>
        <family val="2"/>
      </rPr>
      <t xml:space="preserve"> (valeur calculée par le calculateur) :</t>
    </r>
  </si>
  <si>
    <r>
      <t>Consommation annuelle</t>
    </r>
    <r>
      <rPr>
        <u/>
        <sz val="10"/>
        <color rgb="FF002060"/>
        <rFont val="Arial"/>
        <family val="2"/>
      </rPr>
      <t xml:space="preserve"> totale </t>
    </r>
    <r>
      <rPr>
        <sz val="10"/>
        <color rgb="FF002060"/>
        <rFont val="Arial"/>
        <family val="2"/>
      </rPr>
      <t>(12 derniers mois) de gaz naturel du client (valeur provenant des factures):</t>
    </r>
  </si>
  <si>
    <t>Efficacité de combustion de la chaudière avant l'implantation des mesures:</t>
  </si>
  <si>
    <r>
      <t>Sonde de O</t>
    </r>
    <r>
      <rPr>
        <i/>
        <vertAlign val="subscript"/>
        <sz val="9"/>
        <color rgb="FF002060"/>
        <rFont val="Arial"/>
        <family val="2"/>
      </rPr>
      <t>2</t>
    </r>
  </si>
  <si>
    <t>Si les coûts déclarés par le participant sont 3X supérieurs aux coûts de référence</t>
  </si>
  <si>
    <t>Isolation thermique (vannes, régulateurs de pression, séparateurs et filtres)</t>
  </si>
  <si>
    <t>Isolation thermique (pompe)</t>
  </si>
  <si>
    <t>Isolation thermique (échangeur de chaleur)</t>
  </si>
  <si>
    <t>Isolation thermique (réservoir)</t>
  </si>
  <si>
    <t>Coût de référence datant de 2022</t>
  </si>
  <si>
    <t>d) Vérification de l'efficacité calculée de la chaudière avant l'implantation des mesures</t>
  </si>
  <si>
    <t>Économies électriques (kWh/an)</t>
  </si>
  <si>
    <t>Si le % d'économie est supérieur à (par rapport à la consommation totale):</t>
  </si>
  <si>
    <r>
      <rPr>
        <vertAlign val="superscript"/>
        <sz val="9"/>
        <color rgb="FF002060"/>
        <rFont val="Calibri"/>
        <family val="2"/>
        <scheme val="minor"/>
      </rPr>
      <t xml:space="preserve">3 </t>
    </r>
    <r>
      <rPr>
        <sz val="9"/>
        <color rgb="FF002060"/>
        <rFont val="Calibri"/>
        <family val="2"/>
        <scheme val="minor"/>
      </rPr>
      <t>Certains accessoires ne sont pas admissibles, car la température du réseau sur lequel ils sont installés est inférieure à 49°C</t>
    </r>
  </si>
  <si>
    <t>Récapitulatif de mesures implantées</t>
  </si>
  <si>
    <t>Résumé des mesures installées</t>
  </si>
  <si>
    <t>Chaufferie</t>
  </si>
  <si>
    <t>MEE1</t>
  </si>
  <si>
    <t>MEE2-3-4</t>
  </si>
  <si>
    <t>meme réseau</t>
  </si>
  <si>
    <t>mesure installée?</t>
  </si>
  <si>
    <t>Problème?</t>
  </si>
  <si>
    <t>*</t>
  </si>
  <si>
    <r>
      <rPr>
        <sz val="10"/>
        <color rgb="FFFF0000"/>
        <rFont val="Arial"/>
        <family val="2"/>
      </rPr>
      <t>*</t>
    </r>
    <r>
      <rPr>
        <sz val="10"/>
        <color rgb="FF002D5B"/>
        <rFont val="Arial"/>
        <family val="2"/>
      </rPr>
      <t xml:space="preserve"> Date : </t>
    </r>
  </si>
  <si>
    <t>2. Rapport détaillé des coûts</t>
  </si>
  <si>
    <t>Ligne d'exemple</t>
  </si>
  <si>
    <t>Onglet 2 Rapport détaillé des coûts</t>
  </si>
  <si>
    <t>Onglet 1 Informations générales</t>
  </si>
  <si>
    <t>Travaux terminés?</t>
  </si>
  <si>
    <t>Section à masquer</t>
  </si>
  <si>
    <t>Récapitulatif des mesures implantées</t>
  </si>
  <si>
    <t>Estimation de l'aide financière avant plafond maximal</t>
  </si>
  <si>
    <t>Coûts admissibles</t>
  </si>
  <si>
    <t>Aide financière totale:</t>
  </si>
  <si>
    <t xml:space="preserve">Micromodulation </t>
  </si>
  <si>
    <t xml:space="preserve">Les montants présentés ci-dessous n'incluent pas les plafonds maximums des aides financières définis par Énergir. </t>
  </si>
  <si>
    <t>Colonnes à masquer</t>
  </si>
  <si>
    <t>Plafond maximal - % des coûts admissibles</t>
  </si>
  <si>
    <t>Par BHP</t>
  </si>
  <si>
    <t>&lt;150 BHP</t>
  </si>
  <si>
    <t>150 à 300 BHP</t>
  </si>
  <si>
    <t>&gt;300 BHP</t>
  </si>
  <si>
    <t>Diamètre de raccord sur la tuyauterie</t>
  </si>
  <si>
    <r>
      <rPr>
        <b/>
        <sz val="11"/>
        <rFont val="Calibri"/>
        <family val="2"/>
      </rPr>
      <t>&gt;</t>
    </r>
    <r>
      <rPr>
        <b/>
        <sz val="11"/>
        <rFont val="Calibri"/>
        <family val="2"/>
        <scheme val="minor"/>
      </rPr>
      <t>2 à 4''</t>
    </r>
  </si>
  <si>
    <r>
      <rPr>
        <b/>
        <sz val="11"/>
        <rFont val="Calibri"/>
        <family val="2"/>
      </rPr>
      <t>&gt;</t>
    </r>
    <r>
      <rPr>
        <b/>
        <sz val="11"/>
        <rFont val="Calibri"/>
        <family val="2"/>
        <scheme val="minor"/>
      </rPr>
      <t>4 à 6''</t>
    </r>
  </si>
  <si>
    <t>TOTAl</t>
  </si>
  <si>
    <t>Réseau eau chaude</t>
  </si>
  <si>
    <t>1. Informations générales</t>
  </si>
  <si>
    <t>3a.Calculateur - Instructions</t>
  </si>
  <si>
    <t>Instructions, schéma et définitions</t>
  </si>
  <si>
    <t>Détails des onglets</t>
  </si>
  <si>
    <t>3b. Calculateur - MEÉ 1</t>
  </si>
  <si>
    <t>3c. Calculateur MEÉ 2-3</t>
  </si>
  <si>
    <t>4. Demande de versement</t>
  </si>
  <si>
    <t>Listes des onglets et leur fonctionalité</t>
  </si>
  <si>
    <t>Formulaire d'information générale à compléter par le participant</t>
  </si>
  <si>
    <t>Formulaire de détails des coûts à compléter par le participant</t>
  </si>
  <si>
    <t xml:space="preserve">Liste de données à entrer par le participant pour les mesures sur la micromodulation et/ou l'ajout d'une sonde d'O2 </t>
  </si>
  <si>
    <t>Présente : résumé des mesures, montant subvention sans plafond puis avec plafond</t>
  </si>
  <si>
    <t>MI</t>
  </si>
  <si>
    <t>Vanne, régulateur de pression, séparateur et filtre</t>
  </si>
  <si>
    <t>Onglet réservé à Énergir</t>
  </si>
  <si>
    <t>3) Section réservée à DATECH</t>
  </si>
  <si>
    <r>
      <t>MEÉ3 - Sonde de O</t>
    </r>
    <r>
      <rPr>
        <vertAlign val="subscript"/>
        <sz val="10"/>
        <color rgb="FF002060"/>
        <rFont val="Arial"/>
        <family val="2"/>
      </rPr>
      <t>2</t>
    </r>
  </si>
  <si>
    <t>Si l'efficacité de combustion de la chaudière à eau (avant mesure) est inférieure à:</t>
  </si>
  <si>
    <t>Si l'efficacité de combustion de la chaudière à eau (avant mesure) est supérieure à:</t>
  </si>
  <si>
    <t>il n'y a pas de purge ni de retour de condensat dans une chaufferie eau chaude, donc eau alimenté = eau appoint.</t>
  </si>
  <si>
    <r>
      <t>Q vapeur produite = meau alim *</t>
    </r>
    <r>
      <rPr>
        <sz val="10"/>
        <color rgb="FFBFBFBF"/>
        <rFont val="Symbol"/>
        <family val="1"/>
        <charset val="2"/>
      </rPr>
      <t>D</t>
    </r>
    <r>
      <rPr>
        <sz val="10"/>
        <color rgb="FFBFBFBF"/>
        <rFont val="Calibri"/>
        <family val="2"/>
      </rPr>
      <t xml:space="preserve">hvap </t>
    </r>
  </si>
  <si>
    <t xml:space="preserve">Q vapeur produite = m_eau_alimenté * (hV,sat - hL)  </t>
  </si>
  <si>
    <t xml:space="preserve">&lt;=&gt; m_eau_alimenté = Q vapeur produite / (hV,sat - hL) </t>
  </si>
  <si>
    <t>Eau chaude utile:</t>
  </si>
  <si>
    <t>Quantité produite</t>
  </si>
  <si>
    <t>Enthalpie de l'eau chaude (kJ/kg)</t>
  </si>
  <si>
    <t xml:space="preserve">Température de l'eau alimenté à la chaudière </t>
  </si>
  <si>
    <t xml:space="preserve">Température de l'eau d'appoint </t>
  </si>
  <si>
    <t>Quantité d'eau d'appoint :</t>
  </si>
  <si>
    <r>
      <t>=Q</t>
    </r>
    <r>
      <rPr>
        <vertAlign val="subscript"/>
        <sz val="10"/>
        <color theme="6"/>
        <rFont val="Arial"/>
        <family val="2"/>
      </rPr>
      <t>produit</t>
    </r>
    <r>
      <rPr>
        <sz val="10"/>
        <color theme="6"/>
        <rFont val="Arial"/>
        <family val="2"/>
      </rPr>
      <t>=Qdispo utilisateur-Qeau alimentée</t>
    </r>
  </si>
  <si>
    <t>Est-ce qu'une vérification par DATECH est requise?</t>
  </si>
  <si>
    <t>Révision par DATECH requise si:</t>
  </si>
  <si>
    <t xml:space="preserve">a) Révision par DATECH requise pour les coûts? 
</t>
  </si>
  <si>
    <t>b) Révision par DATECH requise pour la consommation calculée de la chaufferie vs la consommation totale réelle?</t>
  </si>
  <si>
    <t>c) Révision par DATECH requise pour le % d'économies?</t>
  </si>
  <si>
    <t>d) Révision par DATECH requise pour l'efficacité de combustion de la chaudière avant l'implantation des mesures?</t>
  </si>
  <si>
    <t>Efficacité thermique</t>
  </si>
  <si>
    <r>
      <t>Q</t>
    </r>
    <r>
      <rPr>
        <vertAlign val="subscript"/>
        <sz val="11"/>
        <color theme="1"/>
        <rFont val="Calibri"/>
        <family val="2"/>
        <scheme val="minor"/>
      </rPr>
      <t>produite</t>
    </r>
    <r>
      <rPr>
        <sz val="11"/>
        <color theme="1"/>
        <rFont val="Calibri"/>
        <family val="2"/>
        <scheme val="minor"/>
      </rPr>
      <t>/efficacité globale de combustion :</t>
    </r>
  </si>
  <si>
    <t>Pertes par radiation/convection</t>
  </si>
  <si>
    <t>Numéro de la chaudière</t>
  </si>
  <si>
    <t>Nom fusionné</t>
  </si>
  <si>
    <r>
      <t>N</t>
    </r>
    <r>
      <rPr>
        <sz val="11"/>
        <color theme="1"/>
        <rFont val="Calibri"/>
        <family val="2"/>
      </rPr>
      <t>° chaudière</t>
    </r>
  </si>
  <si>
    <t>Colonne à masquer</t>
  </si>
  <si>
    <t>Somme ($)</t>
  </si>
  <si>
    <r>
      <t>version n</t>
    </r>
    <r>
      <rPr>
        <sz val="8"/>
        <color rgb="FF002060"/>
        <rFont val="Calibri"/>
        <family val="2"/>
      </rPr>
      <t>°1 2024-02</t>
    </r>
  </si>
  <si>
    <t>Hypo: température de surface de l'eau à Montauk, NY</t>
  </si>
  <si>
    <t>Température de l'eau d'appoint</t>
  </si>
  <si>
    <t>ref:</t>
  </si>
  <si>
    <t xml:space="preserve">https://tidesandcurrents.noaa.gov/physocean.html?id=8510560). </t>
  </si>
  <si>
    <t>La température de l’eau de surface au Québec (1.2m) devrait être à analogue ou près de celle de la température de l’eau potable, donc il propose d’utiliser la température de l’eau de surface. Pour l’instant, les données au Canada ne sont pas disponibles (https://navigation-electronique.canada.ca/topics/niveaux-deau/central/temperatures-fr), alors on prend celles du NOAA le plus près du Québec (Montauk, NY) (https://tidesandcurrents.noaa.gov/physocean.html?id=8510560).</t>
  </si>
  <si>
    <t>mois</t>
  </si>
  <si>
    <t>Water Temp (°F)</t>
  </si>
  <si>
    <t>Water Temp (°C)</t>
  </si>
  <si>
    <t>Mois</t>
  </si>
  <si>
    <t>Janvier</t>
  </si>
  <si>
    <t>Février</t>
  </si>
  <si>
    <t>Mars</t>
  </si>
  <si>
    <t>Avril</t>
  </si>
  <si>
    <t>Mai</t>
  </si>
  <si>
    <t>Juin</t>
  </si>
  <si>
    <t>Juillet</t>
  </si>
  <si>
    <t>Août</t>
  </si>
  <si>
    <t>Septembre</t>
  </si>
  <si>
    <t>Octobre</t>
  </si>
  <si>
    <t>Novembre</t>
  </si>
  <si>
    <t>Décembre</t>
  </si>
  <si>
    <t>45</t>
  </si>
  <si>
    <t xml:space="preserve"> (nov. à mai)</t>
  </si>
  <si>
    <t>Procédé/ECS</t>
  </si>
  <si>
    <t xml:space="preserve"> (toute l'année)</t>
  </si>
  <si>
    <t>41</t>
  </si>
  <si>
    <t>43</t>
  </si>
  <si>
    <t>39</t>
  </si>
  <si>
    <t>37</t>
  </si>
  <si>
    <t>36</t>
  </si>
  <si>
    <t>46</t>
  </si>
  <si>
    <t>48</t>
  </si>
  <si>
    <t>50</t>
  </si>
  <si>
    <t>52</t>
  </si>
  <si>
    <t>54</t>
  </si>
  <si>
    <t>55</t>
  </si>
  <si>
    <t>57</t>
  </si>
  <si>
    <t>59</t>
  </si>
  <si>
    <t>61</t>
  </si>
  <si>
    <t>63</t>
  </si>
  <si>
    <t>64</t>
  </si>
  <si>
    <t>66</t>
  </si>
  <si>
    <t>68</t>
  </si>
  <si>
    <t>70</t>
  </si>
  <si>
    <t>Condensation des fumée</t>
  </si>
  <si>
    <t>Type de chaudière</t>
  </si>
  <si>
    <t>Condensante</t>
  </si>
  <si>
    <t>Non-condensante</t>
  </si>
  <si>
    <t xml:space="preserve">N° Chaudière </t>
  </si>
  <si>
    <t>Perte par radiation et convection à 100% de la charge</t>
  </si>
  <si>
    <t>Perte par radiation et convection à 100% de charge</t>
  </si>
  <si>
    <t>Enthalpie de l'eau d'appoint</t>
  </si>
  <si>
    <t>Nombre de participants</t>
  </si>
  <si>
    <t>&lt; select &gt;</t>
  </si>
  <si>
    <t>Yes</t>
  </si>
  <si>
    <t>No</t>
  </si>
  <si>
    <t>EEM2 - Micromodulation</t>
  </si>
  <si>
    <t>EEM4 - Integrated Standard Economizer</t>
  </si>
  <si>
    <t>EEM4 - Non-Integrated Standard Economizer</t>
  </si>
  <si>
    <t>EEM4 - Non-Integrated Condensing Economizer</t>
  </si>
  <si>
    <t xml:space="preserve"> &lt; select &gt;</t>
  </si>
  <si>
    <t>Boiler #1</t>
  </si>
  <si>
    <t>Boiler #2</t>
  </si>
  <si>
    <t>Boiler #3</t>
  </si>
  <si>
    <t>Boiler #4</t>
  </si>
  <si>
    <t>n/a (e.g., insulation measure)</t>
  </si>
  <si>
    <t>Steam</t>
  </si>
  <si>
    <t>Hot Water</t>
  </si>
  <si>
    <t>Saturated Steam</t>
  </si>
  <si>
    <t>Superheated Steam</t>
  </si>
  <si>
    <t>HVAC</t>
  </si>
  <si>
    <t>Process</t>
  </si>
  <si>
    <t>Domestic Hot Water</t>
  </si>
  <si>
    <t>New</t>
  </si>
  <si>
    <t>Existing</t>
  </si>
  <si>
    <t>Combustion Oxygen Trim</t>
  </si>
  <si>
    <t>Micromodulation + Combustion Oxygen Trim</t>
  </si>
  <si>
    <t>Outdoor</t>
  </si>
  <si>
    <t>Indoor</t>
  </si>
  <si>
    <t>Control Valve</t>
  </si>
  <si>
    <t>Pressure Reducing Valve</t>
  </si>
  <si>
    <t>Isolation Valve</t>
  </si>
  <si>
    <t>Shut-off Valve</t>
  </si>
  <si>
    <t>Separator</t>
  </si>
  <si>
    <t>Filter</t>
  </si>
  <si>
    <t>1. Application for admissibility</t>
  </si>
  <si>
    <t>* Mandatory fields</t>
  </si>
  <si>
    <t>Section 1 – Customer identification</t>
  </si>
  <si>
    <r>
      <rPr>
        <sz val="10"/>
        <color rgb="FFFF0000"/>
        <rFont val="Arial"/>
        <family val="2"/>
      </rPr>
      <t>*</t>
    </r>
    <r>
      <rPr>
        <sz val="10"/>
        <color rgb="FF002D5B"/>
        <rFont val="Arial"/>
        <family val="2"/>
      </rPr>
      <t xml:space="preserve"> Énergir File No. PE242:  �</t>
    </r>
  </si>
  <si>
    <t>Customer identification</t>
  </si>
  <si>
    <r>
      <rPr>
        <sz val="10"/>
        <color rgb="FFED1D24"/>
        <rFont val="Arial"/>
        <family val="2"/>
      </rPr>
      <t xml:space="preserve">* </t>
    </r>
    <r>
      <rPr>
        <sz val="10"/>
        <color rgb="FF002D5B"/>
        <rFont val="Arial"/>
        <family val="2"/>
      </rPr>
      <t>Name of company:</t>
    </r>
  </si>
  <si>
    <r>
      <rPr>
        <sz val="10"/>
        <color rgb="FFED1D24"/>
        <rFont val="Arial"/>
        <family val="2"/>
      </rPr>
      <t xml:space="preserve">* </t>
    </r>
    <r>
      <rPr>
        <sz val="10"/>
        <color rgb="FF002D5B"/>
        <rFont val="Arial"/>
        <family val="2"/>
      </rPr>
      <t xml:space="preserve">Contact person:                                                 </t>
    </r>
  </si>
  <si>
    <r>
      <t xml:space="preserve">* </t>
    </r>
    <r>
      <rPr>
        <sz val="10"/>
        <color rgb="FF002060"/>
        <rFont val="Arial"/>
        <family val="2"/>
      </rPr>
      <t>Municipality:</t>
    </r>
  </si>
  <si>
    <r>
      <rPr>
        <sz val="10"/>
        <color rgb="FFED1D24"/>
        <rFont val="Arial"/>
        <family val="2"/>
      </rPr>
      <t xml:space="preserve">* </t>
    </r>
    <r>
      <rPr>
        <sz val="10"/>
        <color rgb="FF002D5B"/>
        <rFont val="Arial"/>
        <family val="2"/>
      </rPr>
      <t>Postal code:</t>
    </r>
  </si>
  <si>
    <r>
      <t xml:space="preserve">* </t>
    </r>
    <r>
      <rPr>
        <sz val="10"/>
        <color rgb="FF002060"/>
        <rFont val="Arial"/>
        <family val="2"/>
      </rPr>
      <t>Office telephone:</t>
    </r>
  </si>
  <si>
    <r>
      <rPr>
        <sz val="10"/>
        <color rgb="FFED1D24"/>
        <rFont val="Arial"/>
        <family val="2"/>
      </rPr>
      <t xml:space="preserve">  </t>
    </r>
    <r>
      <rPr>
        <sz val="10"/>
        <color rgb="FF002D5B"/>
        <rFont val="Arial"/>
        <family val="2"/>
      </rPr>
      <t>Cell number:</t>
    </r>
  </si>
  <si>
    <t>Address of project facilities</t>
  </si>
  <si>
    <r>
      <t xml:space="preserve">* </t>
    </r>
    <r>
      <rPr>
        <sz val="10"/>
        <color rgb="FF002060"/>
        <rFont val="Arial"/>
        <family val="2"/>
      </rPr>
      <t>Address of building covered by the project:</t>
    </r>
    <r>
      <rPr>
        <sz val="10"/>
        <color rgb="FFFF0000"/>
        <rFont val="Arial"/>
        <family val="2"/>
      </rPr>
      <t xml:space="preserve">                                                </t>
    </r>
  </si>
  <si>
    <r>
      <rPr>
        <sz val="10"/>
        <color rgb="FFED1D24"/>
        <rFont val="Arial"/>
        <family val="2"/>
      </rPr>
      <t xml:space="preserve">* </t>
    </r>
    <r>
      <rPr>
        <sz val="10"/>
        <color rgb="FF002D5B"/>
        <rFont val="Arial"/>
        <family val="2"/>
      </rPr>
      <t>Municipality:</t>
    </r>
  </si>
  <si>
    <r>
      <rPr>
        <vertAlign val="superscript"/>
        <sz val="8"/>
        <color rgb="FF002060"/>
        <rFont val="Arial"/>
        <family val="2"/>
      </rPr>
      <t>1</t>
    </r>
    <r>
      <rPr>
        <sz val="8"/>
        <color rgb="FF002060"/>
        <rFont val="Arial"/>
        <family val="2"/>
      </rPr>
      <t>If the facilities or buildings have different Énergir account numbers, submit a separate request for financial assistance for each Énergir account number.</t>
    </r>
  </si>
  <si>
    <r>
      <rPr>
        <sz val="10"/>
        <color rgb="FFED1D24"/>
        <rFont val="Arial"/>
        <family val="2"/>
      </rPr>
      <t xml:space="preserve">* </t>
    </r>
    <r>
      <rPr>
        <sz val="10"/>
        <color rgb="FF002D5B"/>
        <rFont val="Arial"/>
        <family val="2"/>
      </rPr>
      <t>Énergir Account No. of building:</t>
    </r>
    <r>
      <rPr>
        <vertAlign val="superscript"/>
        <sz val="10"/>
        <color rgb="FF002D5B"/>
        <rFont val="Arial"/>
        <family val="2"/>
      </rPr>
      <t>1</t>
    </r>
    <r>
      <rPr>
        <sz val="10"/>
        <color rgb="FF002D5B"/>
        <rFont val="Arial"/>
        <family val="2"/>
      </rPr>
      <t xml:space="preserve"> </t>
    </r>
  </si>
  <si>
    <r>
      <t>By checking this box, you confirm that you respect the condition stating that financial assistance for the “Boiler System Optimization” and “Implementation</t>
    </r>
    <r>
      <rPr>
        <sz val="10"/>
        <color rgb="FF002060"/>
        <rFont val="Arial"/>
        <family val="2"/>
      </rPr>
      <t>” components</t>
    </r>
    <r>
      <rPr>
        <sz val="10"/>
        <color rgb="FF002D5B"/>
        <rFont val="Arial"/>
        <family val="2"/>
      </rPr>
      <t xml:space="preserve"> cannot be combined for the same measure.</t>
    </r>
  </si>
  <si>
    <t>2. Detailed report of costs</t>
  </si>
  <si>
    <t>Énergir File No. PE242:</t>
  </si>
  <si>
    <t xml:space="preserve">Monitoring of costs  – AFTER THE WORK	</t>
  </si>
  <si>
    <t>Description of measure</t>
  </si>
  <si>
    <t>Boiler number</t>
  </si>
  <si>
    <t>Example line</t>
  </si>
  <si>
    <t>e.g. Material</t>
  </si>
  <si>
    <t>e.g. Installation cost</t>
  </si>
  <si>
    <t>e.g. Other expenses (combustion test, boiler certification, etc.)</t>
  </si>
  <si>
    <t>Cost of measure</t>
  </si>
  <si>
    <t>Cost type</t>
  </si>
  <si>
    <t>Amount ($)</t>
  </si>
  <si>
    <t>Invoice</t>
  </si>
  <si>
    <t>Invoice #</t>
  </si>
  <si>
    <t>Comments �</t>
  </si>
  <si>
    <t>Justification/Comments (DATECH)</t>
  </si>
  <si>
    <t>Sub-total</t>
  </si>
  <si>
    <t>Total project costs</t>
  </si>
  <si>
    <t>Calculator User Guide</t>
  </si>
  <si>
    <t>Tabs 3b, 3c and 4 allow you to estimate the energy savings, as well as the amount of financial assistance associated with the implementation of the following energy efficiency measures:</t>
  </si>
  <si>
    <t>First, complete the required information in tabs 3b and 3c (see table below).</t>
  </si>
  <si>
    <t>Energy Efficiency Measure
 (EEM)</t>
  </si>
  <si>
    <t>Tab to fill out depending on the measure installed</t>
  </si>
  <si>
    <t>EEM1 - Thermal insulation</t>
  </si>
  <si>
    <t>Secondly, complete the "4. Request for payement" tab.</t>
  </si>
  <si>
    <r>
      <t xml:space="preserve">Make-up water </t>
    </r>
    <r>
      <rPr>
        <sz val="11"/>
        <color theme="1"/>
        <rFont val="Tahoma"/>
        <family val="2"/>
      </rPr>
      <t>�</t>
    </r>
  </si>
  <si>
    <t>3a. Hot Water Boiler Calculator - Instructions</t>
  </si>
  <si>
    <t>2.    Micromodulation on a hot water boiler.</t>
  </si>
  <si>
    <t>3.    Combustion oxygen trim on a hot water boiler.</t>
  </si>
  <si>
    <t xml:space="preserve">                                    Feed water </t>
  </si>
  <si>
    <t xml:space="preserve">Feed water </t>
  </si>
  <si>
    <t>What is the application of the steam boiler system?</t>
  </si>
  <si>
    <t>Energy Source</t>
  </si>
  <si>
    <t>Electricity</t>
  </si>
  <si>
    <t>Oil</t>
  </si>
  <si>
    <t>Other (please specify below)</t>
  </si>
  <si>
    <t>Quantity of Hot Water Produced Annually by Energy Source
(Btu/yr)</t>
  </si>
  <si>
    <t>If other, please specify:</t>
  </si>
  <si>
    <t>By checking this box, you confirm that all boilers supply the same hot water network. If this is not the case, please complete a separate Form II per hot water network. For more details on the meaning of a hot water network, please refer to tab "3a. Calculator - Instructions".</t>
  </si>
  <si>
    <r>
      <rPr>
        <vertAlign val="superscript"/>
        <sz val="8"/>
        <color rgb="FF002060"/>
        <rFont val="Arial"/>
        <family val="2"/>
      </rPr>
      <t>1</t>
    </r>
    <r>
      <rPr>
        <sz val="8"/>
        <color rgb="FF002060"/>
        <rFont val="Arial"/>
        <family val="2"/>
      </rPr>
      <t xml:space="preserve"> The hot water must be mainly produced by natural gas (&gt;50%). Systems not meeting this criterion may be submitted to Énergir for discussion.</t>
    </r>
  </si>
  <si>
    <t>2a) Valve, separator and filter</t>
  </si>
  <si>
    <t>Location</t>
  </si>
  <si>
    <t>Annual operating hours 
(h)</t>
  </si>
  <si>
    <r>
      <t xml:space="preserve">Fluid temperature (°C) </t>
    </r>
    <r>
      <rPr>
        <sz val="10"/>
        <color rgb="FF002060"/>
        <rFont val="Tahoma"/>
        <family val="2"/>
      </rPr>
      <t>�</t>
    </r>
  </si>
  <si>
    <t>2b) Pump</t>
  </si>
  <si>
    <t>Pump identification</t>
  </si>
  <si>
    <r>
      <t>Pump outer surface area (ft</t>
    </r>
    <r>
      <rPr>
        <vertAlign val="superscript"/>
        <sz val="10"/>
        <color rgb="FF002060"/>
        <rFont val="Arial"/>
        <family val="2"/>
      </rPr>
      <t>2</t>
    </r>
    <r>
      <rPr>
        <sz val="10"/>
        <color rgb="FF002060"/>
        <rFont val="Arial"/>
        <family val="2"/>
      </rPr>
      <t>)</t>
    </r>
  </si>
  <si>
    <t>2c) Heat exchanger</t>
  </si>
  <si>
    <t>Heat exchanger identification</t>
  </si>
  <si>
    <r>
      <t>Heat exchanger outer surface area (ft</t>
    </r>
    <r>
      <rPr>
        <vertAlign val="superscript"/>
        <sz val="10"/>
        <color rgb="FF002060"/>
        <rFont val="Arial"/>
        <family val="2"/>
      </rPr>
      <t>2</t>
    </r>
    <r>
      <rPr>
        <sz val="10"/>
        <color rgb="FF002060"/>
        <rFont val="Arial"/>
        <family val="2"/>
      </rPr>
      <t>)</t>
    </r>
  </si>
  <si>
    <t>2d) Tank</t>
  </si>
  <si>
    <t>Tank identification</t>
  </si>
  <si>
    <r>
      <t>Tank outer surface area (ft</t>
    </r>
    <r>
      <rPr>
        <vertAlign val="superscript"/>
        <sz val="10"/>
        <color rgb="FF002060"/>
        <rFont val="Arial"/>
        <family val="2"/>
      </rPr>
      <t>2</t>
    </r>
    <r>
      <rPr>
        <sz val="10"/>
        <color rgb="FF002060"/>
        <rFont val="Arial"/>
        <family val="2"/>
      </rPr>
      <t>)</t>
    </r>
  </si>
  <si>
    <t>By checking this box, you confirm that you have obtained approval from Énergir regarding the eligibility of this equipment for financial assistance.</t>
  </si>
  <si>
    <t>The savings shown below are based on assumptions and depend on user input. For these reasons, the results may differ from the results of other calculations carried out with different tools. The table below is for informational purposes only.</t>
  </si>
  <si>
    <t>Valve, separator and filter</t>
  </si>
  <si>
    <t>Condensate pump</t>
  </si>
  <si>
    <t>Heat exchanger</t>
  </si>
  <si>
    <t>Tank</t>
  </si>
  <si>
    <r>
      <t>Natural gas savings
(m</t>
    </r>
    <r>
      <rPr>
        <b/>
        <vertAlign val="superscript"/>
        <sz val="10"/>
        <color theme="0"/>
        <rFont val="Arial"/>
        <family val="2"/>
      </rPr>
      <t>3</t>
    </r>
    <r>
      <rPr>
        <b/>
        <sz val="10"/>
        <color theme="0"/>
        <rFont val="Arial"/>
        <family val="2"/>
      </rPr>
      <t>/yr)</t>
    </r>
  </si>
  <si>
    <t>Electricity savings (if applicable)
(GJ/yr)</t>
  </si>
  <si>
    <t>3b. Hot Water Boiler Calculator - EEM 1 (Thermal Insulation)</t>
  </si>
  <si>
    <t>3c. Hot Water Boiler Calculator - EEM 2 (Micromodulation) and EEM 3 (Combustion Oxygen Trim)</t>
  </si>
  <si>
    <t>Please enter the following data for the boilers impacted by an energy efficiency measure</t>
  </si>
  <si>
    <t>Type of network:</t>
  </si>
  <si>
    <t>What is the application of the hot water boiler system?</t>
  </si>
  <si>
    <t>h/yr</t>
  </si>
  <si>
    <t>yr</t>
  </si>
  <si>
    <t>Number of annual operating hours:</t>
  </si>
  <si>
    <t>% excess air:</t>
  </si>
  <si>
    <t>Flue gas temperature at boiler stack:</t>
  </si>
  <si>
    <t>Age of boiler:</t>
  </si>
  <si>
    <t>Micromodulation and combustion oxygen trim</t>
  </si>
  <si>
    <t>Select the installed measure(s):</t>
  </si>
  <si>
    <r>
      <t>Excess O</t>
    </r>
    <r>
      <rPr>
        <vertAlign val="subscript"/>
        <sz val="10"/>
        <color rgb="FF002060"/>
        <rFont val="Arial"/>
        <family val="2"/>
      </rPr>
      <t>2</t>
    </r>
    <r>
      <rPr>
        <sz val="10"/>
        <color rgb="FF002060"/>
        <rFont val="Arial"/>
        <family val="2"/>
      </rPr>
      <t xml:space="preserve"> in the flue gas before adding the measure(s):</t>
    </r>
  </si>
  <si>
    <t>At maximum operating capacity:</t>
  </si>
  <si>
    <t>At minimum operating capacity:</t>
  </si>
  <si>
    <t>Burner modulation rate before implementing the measure(s):</t>
  </si>
  <si>
    <t>Estimated annual natural gas consumption of the hot water boiler system:</t>
  </si>
  <si>
    <r>
      <t>m</t>
    </r>
    <r>
      <rPr>
        <vertAlign val="superscript"/>
        <sz val="10"/>
        <color rgb="FF002060"/>
        <rFont val="Arial"/>
        <family val="2"/>
      </rPr>
      <t>3</t>
    </r>
    <r>
      <rPr>
        <sz val="10"/>
        <color rgb="FF002060"/>
        <rFont val="Arial"/>
        <family val="2"/>
      </rPr>
      <t>/yr</t>
    </r>
  </si>
  <si>
    <t>Measure</t>
  </si>
  <si>
    <t>Global combustion efficiency before the measure</t>
  </si>
  <si>
    <t>Global combustion efficiency after the measure</t>
  </si>
  <si>
    <t>Gain in efficiency</t>
  </si>
  <si>
    <t>EEM3 - Combustion oxygen trim</t>
  </si>
  <si>
    <r>
      <t>Natural gas savings (m</t>
    </r>
    <r>
      <rPr>
        <b/>
        <vertAlign val="superscript"/>
        <sz val="10"/>
        <color theme="0"/>
        <rFont val="Arial"/>
        <family val="2"/>
      </rPr>
      <t>3</t>
    </r>
    <r>
      <rPr>
        <b/>
        <sz val="10"/>
        <color theme="0"/>
        <rFont val="Arial"/>
        <family val="2"/>
      </rPr>
      <t>/yr)</t>
    </r>
  </si>
  <si>
    <t>Total per boiler:</t>
  </si>
  <si>
    <t>4. Request for payment of financial assistance and implementation certification</t>
  </si>
  <si>
    <t>Section 1 – Summary of measures covered by the request for financial assistance</t>
  </si>
  <si>
    <t>EEM2- Micromodulation</t>
  </si>
  <si>
    <t xml:space="preserve">EEM3 - Combustion oxygen trim </t>
  </si>
  <si>
    <t>Section 2 – Estimate of amount of financial assistance before maximum ceiling</t>
  </si>
  <si>
    <t>Estimate of amount of financial assistance before maximum ceiling</t>
  </si>
  <si>
    <t>Section 3 - Information on external sources of financial assistance</t>
  </si>
  <si>
    <t>The customer declares the following financial assistance that it has received from other organizations for the implementation of these measures (please indicate only the amounts received and not the amounts to come):</t>
  </si>
  <si>
    <t>Name of organization</t>
  </si>
  <si>
    <t>Name of grant</t>
  </si>
  <si>
    <t>Amount received to date ($)</t>
  </si>
  <si>
    <t>The customer agrees that Énergir may share information with these external organizations. The customer also agrees that Énergir may revise the amount of financial assistance to take into account this external financial assistance.</t>
  </si>
  <si>
    <t>Section 4 - Estimate of amount of financial assistance including the maximum ceilings</t>
  </si>
  <si>
    <t>If for the current year (January 1 to December 31) you have already received financial assistance from the Boiler System Optimization component for the EEM1 measure (thermal insulation), please indicate the amount:</t>
  </si>
  <si>
    <t>The amounts presented in this section are for informational purposes only and are calculated based on the information provided by the participant. Énergir will confirm the exact amount after analyzing the file. The participant can then provide an invoice in the name of Énergir and the amount of financial assistance to be paid.</t>
  </si>
  <si>
    <t>Ajusted financial assistance according to the maximum ceiling</t>
  </si>
  <si>
    <t xml:space="preserve">Eligible costs </t>
  </si>
  <si>
    <t>Adjusted financial assistance if &gt; 75% of eligible costs</t>
  </si>
  <si>
    <t>Other grants received to date ($)</t>
  </si>
  <si>
    <t>Adjusted financial assistance if &gt; 75% of eligible costs, including other grants</t>
  </si>
  <si>
    <t>Total financial assistance:</t>
  </si>
  <si>
    <t>Section 5 - Payment request</t>
  </si>
  <si>
    <t>The client declares that the efficiency measures presented in this form have been implemented.</t>
  </si>
  <si>
    <t>The implementation of the measure(s) was (were) completed on</t>
  </si>
  <si>
    <t>day / month / year</t>
  </si>
  <si>
    <r>
      <t xml:space="preserve">In accordance with Step 4 of </t>
    </r>
    <r>
      <rPr>
        <i/>
        <sz val="10"/>
        <color rgb="FF002060"/>
        <rFont val="Arial"/>
        <family val="2"/>
      </rPr>
      <t>Form I – Declaration of Intent</t>
    </r>
    <r>
      <rPr>
        <sz val="10"/>
        <color rgb="FF002060"/>
        <rFont val="Arial"/>
        <family val="2"/>
      </rPr>
      <t xml:space="preserve">, attached are:	</t>
    </r>
  </si>
  <si>
    <t>Tab 1 (General Information);</t>
  </si>
  <si>
    <t>Tab 2 (Detailed report of costs);</t>
  </si>
  <si>
    <t>Tabs 3b and/or 3c (Calculator);</t>
  </si>
  <si>
    <t>Tab 4 (Request for payment);</t>
  </si>
  <si>
    <t>A copy of the bills for goods and services rendered related to the measure(s) implemented, including:</t>
  </si>
  <si>
    <t>•  Customer contact details and Énergir account number.</t>
  </si>
  <si>
    <t>•  Contact details of supplier of the goods provided or services rendered.</t>
  </si>
  <si>
    <t>For each measure installed, the following supporting documents:</t>
  </si>
  <si>
    <t>Thermal insulation</t>
  </si>
  <si>
    <t>Insulation characteristics (via the manufacturer's technical specifications) including at least its thermal resistance at the temperature of the fluid (or the thickness of the insulation if the thermal resistance is not available) and the type of insulating material installed.</t>
  </si>
  <si>
    <r>
      <t>Boiler characteristics</t>
    </r>
    <r>
      <rPr>
        <vertAlign val="superscript"/>
        <sz val="10"/>
        <color theme="1"/>
        <rFont val="Arial"/>
        <family val="2"/>
      </rPr>
      <t>1</t>
    </r>
    <r>
      <rPr>
        <sz val="10"/>
        <color theme="1"/>
        <rFont val="Arial"/>
        <family val="2"/>
      </rPr>
      <t xml:space="preserve"> </t>
    </r>
  </si>
  <si>
    <t>Technical specifications of the equipment</t>
  </si>
  <si>
    <t>Combustion test before installation</t>
  </si>
  <si>
    <t>Combustion test after installation</t>
  </si>
  <si>
    <r>
      <rPr>
        <vertAlign val="superscript"/>
        <sz val="8"/>
        <color rgb="FF002060"/>
        <rFont val="Arial"/>
        <family val="2"/>
      </rPr>
      <t xml:space="preserve">1 </t>
    </r>
    <r>
      <rPr>
        <sz val="8"/>
        <color rgb="FF002060"/>
        <rFont val="Arial"/>
        <family val="2"/>
      </rPr>
      <t>Via a photograph of its nameplate, allowing you to obtain its brand, model, capacity, and all other nominal specifications of the boiler. If the nameplate is no longer up to date or not legible, please provide all supporting documents to validate the requested information.</t>
    </r>
  </si>
  <si>
    <t>The customer hereby agrees to give access to the building that is the subject of the financial assistance paid by Énergir. Its duly authorized representative may, on request, verify the implementation of the measures, even though the financial assistance may have already been paid.</t>
  </si>
  <si>
    <r>
      <t xml:space="preserve">* </t>
    </r>
    <r>
      <rPr>
        <sz val="10"/>
        <color rgb="FF002060"/>
        <rFont val="Arial"/>
        <family val="2"/>
      </rPr>
      <t>Name of customer’s company:</t>
    </r>
  </si>
  <si>
    <r>
      <rPr>
        <sz val="10"/>
        <color rgb="FFFF0000"/>
        <rFont val="Arial"/>
        <family val="2"/>
      </rPr>
      <t>*</t>
    </r>
    <r>
      <rPr>
        <sz val="10"/>
        <color rgb="FF002D5B"/>
        <rFont val="Arial"/>
        <family val="2"/>
      </rPr>
      <t xml:space="preserve"> Name of customer’s contact person:</t>
    </r>
  </si>
  <si>
    <r>
      <rPr>
        <sz val="10"/>
        <color rgb="FFFF0000"/>
        <rFont val="Arial"/>
        <family val="2"/>
      </rPr>
      <t>*</t>
    </r>
    <r>
      <rPr>
        <sz val="10"/>
        <color rgb="FF002D5B"/>
        <rFont val="Arial"/>
        <family val="2"/>
      </rPr>
      <t xml:space="preserve"> Title:</t>
    </r>
  </si>
  <si>
    <t>The customer declares that the information provided in all the documents submitted to get Energir financial assistance is accurate and complete. The customer agrees that Énergir may check with other organizations likely to be participating financially in this project and to share information with them. The customer acknowledges that any false declaration may lead to a full repayment of the financial assistance paid by Énergir.</t>
  </si>
  <si>
    <r>
      <rPr>
        <b/>
        <sz val="14"/>
        <color rgb="FF00B0F0"/>
        <rFont val="Arial"/>
        <family val="2"/>
      </rPr>
      <t xml:space="preserve">Send this form in Excel to:  </t>
    </r>
    <r>
      <rPr>
        <b/>
        <u/>
        <sz val="14"/>
        <color rgb="FF00B0F0"/>
        <rFont val="Arial"/>
        <family val="2"/>
      </rPr>
      <t>efficaciteenergetique@energir.com</t>
    </r>
  </si>
  <si>
    <t>Énergir reserves the right to modify the program or to end it at any time without advance notice.  
Énergir promises to handle the requests submitted within a time limit it judges reasonable.</t>
  </si>
  <si>
    <r>
      <rPr>
        <sz val="10"/>
        <color rgb="FFED1D24"/>
        <rFont val="Arial"/>
        <family val="2"/>
      </rPr>
      <t xml:space="preserve">* </t>
    </r>
    <r>
      <rPr>
        <sz val="10"/>
        <color rgb="FF002D5B"/>
        <rFont val="Arial"/>
        <family val="2"/>
      </rPr>
      <t>Email:</t>
    </r>
  </si>
  <si>
    <t>Section 2 – General project information</t>
  </si>
  <si>
    <t>2.    If you have questions about the meaning of certain terms, see the diagram below illustrating a hot water boiler system. Information bubbles (�) provide additional information.</t>
  </si>
  <si>
    <t>1.    Blue cells must be filled out.</t>
  </si>
  <si>
    <t>Diagram of 2 hot water systems, each consisting of 2 boilers</t>
  </si>
  <si>
    <r>
      <rPr>
        <sz val="10"/>
        <color rgb="FFED1D24"/>
        <rFont val="Arial"/>
        <family val="2"/>
      </rPr>
      <t xml:space="preserve">* </t>
    </r>
    <r>
      <rPr>
        <sz val="10"/>
        <color rgb="FF002D5B"/>
        <rFont val="Arial"/>
        <family val="2"/>
      </rPr>
      <t xml:space="preserve">Title of contact person:           </t>
    </r>
  </si>
  <si>
    <r>
      <rPr>
        <sz val="10"/>
        <color rgb="FFED1D24"/>
        <rFont val="Arial"/>
        <family val="2"/>
      </rPr>
      <t xml:space="preserve">* </t>
    </r>
    <r>
      <rPr>
        <sz val="10"/>
        <color rgb="FF002D5B"/>
        <rFont val="Arial"/>
        <family val="2"/>
      </rPr>
      <t>Address of contact person:</t>
    </r>
  </si>
  <si>
    <t>Have you completed the work? �</t>
  </si>
  <si>
    <t>Installed measures</t>
  </si>
  <si>
    <t>Optimizing Boiler Systems</t>
  </si>
  <si>
    <t>Section 1 – Boiler system information</t>
  </si>
  <si>
    <r>
      <t>Is the hot water system on which the accessories were insulated 100% powered by natural gas</t>
    </r>
    <r>
      <rPr>
        <vertAlign val="superscript"/>
        <sz val="10"/>
        <color rgb="FF002060"/>
        <rFont val="Arial"/>
        <family val="2"/>
      </rPr>
      <t>1</t>
    </r>
    <r>
      <rPr>
        <sz val="10"/>
        <color rgb="FF002060"/>
        <rFont val="Arial"/>
        <family val="2"/>
      </rPr>
      <t>?</t>
    </r>
  </si>
  <si>
    <t>If the hot water is not produced 100% by natural gas, please complete the table below according to the number of boilers supplying your hot water system:</t>
  </si>
  <si>
    <t>Percentage</t>
  </si>
  <si>
    <t>Natural gas</t>
  </si>
  <si>
    <t>Section 2 – Insulated equipment and accessories information</t>
  </si>
  <si>
    <t>Equipment Type</t>
  </si>
  <si>
    <t>Control valve</t>
  </si>
  <si>
    <t>Pressure reducing valve</t>
  </si>
  <si>
    <t>Isolation valve</t>
  </si>
  <si>
    <t>Shut-off valve</t>
  </si>
  <si>
    <r>
      <t xml:space="preserve">Nominal diameter of the component pipe connection (inches) </t>
    </r>
    <r>
      <rPr>
        <sz val="10"/>
        <color rgb="FF002060"/>
        <rFont val="Tahoma"/>
        <family val="2"/>
      </rPr>
      <t>�</t>
    </r>
  </si>
  <si>
    <t>Number of identical insulated accessories (for the same diameter, temperature, location and number of operating hours)</t>
  </si>
  <si>
    <t>Number of identical insulated pumps (for the same surface area, temperature, location and number of operating hours)</t>
  </si>
  <si>
    <t>Number of identical heat exchangers (for the same surface area, temperature, location and number of operating hours)</t>
  </si>
  <si>
    <t>Number of identical tanks (for the same surface area, temperature, location and number of operating hours)</t>
  </si>
  <si>
    <t>2e) Other equipment</t>
  </si>
  <si>
    <t>Equipment identification (equipment type and identification number)</t>
  </si>
  <si>
    <r>
      <t>Equipment outer surface area (ft</t>
    </r>
    <r>
      <rPr>
        <vertAlign val="superscript"/>
        <sz val="10"/>
        <color rgb="FF002060"/>
        <rFont val="Arial"/>
        <family val="2"/>
      </rPr>
      <t>2</t>
    </r>
    <r>
      <rPr>
        <sz val="10"/>
        <color rgb="FF002060"/>
        <rFont val="Arial"/>
        <family val="2"/>
      </rPr>
      <t>)</t>
    </r>
  </si>
  <si>
    <t>Number of identical equipment (for the same surface area, temperature, location and number of operating hours)</t>
  </si>
  <si>
    <t>Section 3 – Estimated energy savings</t>
  </si>
  <si>
    <t>Other equipment</t>
  </si>
  <si>
    <t>Section 1 – Data on hot water boilers before implementing the measures</t>
  </si>
  <si>
    <t>Installed capacity of burner:</t>
  </si>
  <si>
    <t>By checking this box, you confirm that all boilers supply the same hot water system. If this is not the case, please complete a separate Form II for each hot water system. For more information on the meaning of a hot water system, please refer to tab "3a. Calculator - Instructions".</t>
  </si>
  <si>
    <t>1.   Thermal insulation of equipment and accessories on a hot water system.</t>
  </si>
  <si>
    <r>
      <t xml:space="preserve">The calculator can include up to 4 hot water boilers. They must all supply </t>
    </r>
    <r>
      <rPr>
        <b/>
        <sz val="11"/>
        <color rgb="FF002060"/>
        <rFont val="Arial"/>
        <family val="2"/>
      </rPr>
      <t>the same</t>
    </r>
    <r>
      <rPr>
        <sz val="11"/>
        <color rgb="FF002060"/>
        <rFont val="Arial"/>
        <family val="2"/>
      </rPr>
      <t xml:space="preserve"> hot water system and therefore be used for the same application. The operation of a hot water system is illustrated below. If the measures implemented are located on different hot water systems, please complete a separate Form II for each system.</t>
    </r>
  </si>
  <si>
    <t>Section 2 – Data on implemented measures</t>
  </si>
  <si>
    <t>Combustion oxygen trim</t>
  </si>
  <si>
    <t>Micromodulation + combustion oxygen trim</t>
  </si>
  <si>
    <t>Hot water system</t>
  </si>
  <si>
    <t>The amounts presented below do not yet include the maximum financial assistance ceilings defined by Énergir (see Section 4 to obtain the final amount including the ceilings). If a note appears in red in the table below, please read the corresponding legend at the bottom of this section and make the necessary corrections.</t>
  </si>
  <si>
    <t>Financial assistance: eligible unit</t>
  </si>
  <si>
    <t>Oxygen trim</t>
  </si>
  <si>
    <t>Section 6 – Client signature</t>
  </si>
  <si>
    <t>This form must be emailed to Énergir by the customer’s contact person; alternalety, the contact person must be copied on the email.</t>
  </si>
  <si>
    <t>PE242-XXX</t>
  </si>
  <si>
    <t>Admissible (par rapport au nombre d'heures d'opérations) :</t>
  </si>
  <si>
    <t>Prix du gaz naturel</t>
  </si>
  <si>
    <t>Pour les clients assujettis aux tarifs D1 ou D3 :</t>
  </si>
  <si>
    <t>Moyenne des 12 derniers mois :</t>
  </si>
  <si>
    <t>A:</t>
  </si>
  <si>
    <r>
      <t>$/m</t>
    </r>
    <r>
      <rPr>
        <vertAlign val="superscript"/>
        <sz val="11"/>
        <color theme="1"/>
        <rFont val="Calibri"/>
        <family val="2"/>
        <scheme val="minor"/>
      </rPr>
      <t>3</t>
    </r>
  </si>
  <si>
    <t>Pour les clients grandes entreprises assujettis aux tarifs D4 ou D5 :</t>
  </si>
  <si>
    <t>Prix du gaz naturel pour 
le calcul de la subvention</t>
  </si>
  <si>
    <t>Montants réels payés</t>
  </si>
  <si>
    <t>Montants par défaut</t>
  </si>
  <si>
    <t>Transport - Équilibrage - Inventaire - Distribution</t>
  </si>
  <si>
    <t>Facture d'Énergir</t>
  </si>
  <si>
    <r>
      <t>$/m</t>
    </r>
    <r>
      <rPr>
        <vertAlign val="superscript"/>
        <sz val="10"/>
        <color theme="1"/>
        <rFont val="Calibri"/>
        <family val="2"/>
        <scheme val="minor"/>
      </rPr>
      <t>3</t>
    </r>
  </si>
  <si>
    <t>Fourniture</t>
  </si>
  <si>
    <t>Prix réel payé</t>
  </si>
  <si>
    <t>Prix Énergir (affiché en ligne)</t>
  </si>
  <si>
    <t>SPEDE</t>
  </si>
  <si>
    <r>
      <t xml:space="preserve">Total </t>
    </r>
    <r>
      <rPr>
        <b/>
        <sz val="11"/>
        <color theme="1"/>
        <rFont val="Calibri"/>
        <family val="2"/>
        <scheme val="minor"/>
      </rPr>
      <t>B</t>
    </r>
  </si>
  <si>
    <r>
      <t xml:space="preserve">Total </t>
    </r>
    <r>
      <rPr>
        <b/>
        <sz val="11"/>
        <color theme="1"/>
        <rFont val="Calibri"/>
        <family val="2"/>
        <scheme val="minor"/>
      </rPr>
      <t>C</t>
    </r>
  </si>
  <si>
    <t>Économies annuelles ($)
A, B ou C *D</t>
  </si>
  <si>
    <t>PRI (années)</t>
  </si>
  <si>
    <r>
      <rPr>
        <vertAlign val="superscript"/>
        <sz val="9"/>
        <color rgb="FF002060"/>
        <rFont val="Calibri"/>
        <family val="2"/>
        <scheme val="minor"/>
      </rPr>
      <t>2</t>
    </r>
    <r>
      <rPr>
        <sz val="9"/>
        <color rgb="FF002060"/>
        <rFont val="Calibri"/>
        <family val="2"/>
        <scheme val="minor"/>
      </rPr>
      <t xml:space="preserve"> Note that the annual usage hours of the boiler can impact the profitability of the project.</t>
    </r>
  </si>
  <si>
    <r>
      <rPr>
        <vertAlign val="superscript"/>
        <sz val="9"/>
        <color rgb="FF002060"/>
        <rFont val="Calibri"/>
        <family val="2"/>
        <scheme val="minor"/>
      </rPr>
      <t>3</t>
    </r>
    <r>
      <rPr>
        <sz val="9"/>
        <color rgb="FF002060"/>
        <rFont val="Calibri"/>
        <family val="2"/>
        <scheme val="minor"/>
      </rPr>
      <t xml:space="preserve"> Measurement not applicable, because the boiler is too recent. The boiler must be at least 3 years old to qualify.</t>
    </r>
  </si>
  <si>
    <r>
      <rPr>
        <vertAlign val="superscript"/>
        <sz val="9"/>
        <color rgb="FF002060"/>
        <rFont val="Calibri"/>
        <family val="2"/>
        <scheme val="minor"/>
      </rPr>
      <t>4</t>
    </r>
    <r>
      <rPr>
        <sz val="9"/>
        <color rgb="FF002060"/>
        <rFont val="Calibri"/>
        <family val="2"/>
        <scheme val="minor"/>
      </rPr>
      <t xml:space="preserve"> Some accessories are not eligible because the temperature of the network on which they are installed is below 49°C.</t>
    </r>
  </si>
  <si>
    <t>e) PRI des mesures - Section réservée à DATECH dans le cas d'un nombre d'heures inférieurs à 2000 par an</t>
  </si>
  <si>
    <t>Économies de gaz naturel (m3/an)</t>
  </si>
  <si>
    <t>¹  Measure not applicable because the annual number of operating hours is less than 2000 hours/year. Cases that do not meet this criterion can be submitted to Énergir for discussion.</t>
  </si>
  <si>
    <r>
      <rPr>
        <vertAlign val="superscript"/>
        <sz val="9"/>
        <color rgb="FF002060"/>
        <rFont val="Calibri"/>
        <family val="2"/>
        <scheme val="minor"/>
      </rPr>
      <t>2</t>
    </r>
    <r>
      <rPr>
        <sz val="9"/>
        <color rgb="FF002060"/>
        <rFont val="Calibri"/>
        <family val="2"/>
        <scheme val="minor"/>
      </rPr>
      <t xml:space="preserve"> Note that the annual number of hours of boiler usage can impact the profitability of the project. If you would like more information on your profitability, please contact Énergir.</t>
    </r>
  </si>
  <si>
    <r>
      <rPr>
        <vertAlign val="superscript"/>
        <sz val="9"/>
        <color rgb="FF002060"/>
        <rFont val="Calibri"/>
        <family val="2"/>
        <scheme val="minor"/>
      </rPr>
      <t>3</t>
    </r>
    <r>
      <rPr>
        <sz val="9"/>
        <color rgb="FF002060"/>
        <rFont val="Calibri"/>
        <family val="2"/>
        <scheme val="minor"/>
      </rPr>
      <t xml:space="preserve"> Measure not applicable because the boiler is too new. The boiler must be at least 3 years old to be eligible.</t>
    </r>
  </si>
  <si>
    <t>Le détails des coûts de subvention se trouvent à l'onglet "Subvention A1"</t>
  </si>
  <si>
    <t>Nombre d'heures</t>
  </si>
  <si>
    <t>e) Révision par Datech pour analyse de rentabilité si nombre d'heure &lt;2000 h/an ?</t>
  </si>
  <si>
    <t>Proof of boiler certification, or that the certification process is underway, after adding micromodulation</t>
  </si>
  <si>
    <t>MEÉ1- Isolation thermique</t>
  </si>
  <si>
    <t>La mesure n'est pas admissible si la PRI est supérieure à 20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</si>
</sst>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 * #,##0.00_)\ &quot;$&quot;_ ;_ * \(#,##0.00\)\ &quot;$&quot;_ ;_ * &quot;-&quot;??_)\ &quot;$&quot;_ ;_ @_ "/>
    <numFmt numFmtId="43" formatCode="_ * #,##0.00_)_ ;_ * \(#,##0.00\)_ ;_ * &quot;-&quot;??_)_ ;_ @_ "/>
    <numFmt numFmtId="164" formatCode="0.000000"/>
    <numFmt numFmtId="165" formatCode="0.00000"/>
    <numFmt numFmtId="166" formatCode="0.0000"/>
    <numFmt numFmtId="167" formatCode="0.000"/>
    <numFmt numFmtId="168" formatCode="0.0"/>
    <numFmt numFmtId="169" formatCode="0.000%"/>
    <numFmt numFmtId="170" formatCode="0.0%"/>
    <numFmt numFmtId="171" formatCode="0.0000%"/>
    <numFmt numFmtId="172" formatCode="#,##0.000"/>
    <numFmt numFmtId="173" formatCode="_ * #,##0_)\ &quot;$&quot;_ ;_ * \(#,##0\)\ &quot;$&quot;_ ;_ * &quot;-&quot;??_)\ &quot;$&quot;_ ;_ @_ "/>
    <numFmt numFmtId="174" formatCode="#,##0\ &quot;$&quot;"/>
    <numFmt numFmtId="175" formatCode="#,##0.0"/>
    <numFmt numFmtId="176" formatCode="_-* #,##0\ _$_-;_-* #,##0\ _$\-;_-* &quot;-&quot;??\ _$_-;_-@_-"/>
    <numFmt numFmtId="177" formatCode="_-* #,##0.0\ _$_-;_-* #,##0.0\ _$\-;_-* &quot;-&quot;??\ _$_-;_-@_-"/>
    <numFmt numFmtId="178" formatCode="#,##0.0000"/>
    <numFmt numFmtId="179" formatCode="[$-14009]dd/mm/yy;@"/>
    <numFmt numFmtId="180" formatCode="0.0000000"/>
    <numFmt numFmtId="181" formatCode="0.000E+00"/>
    <numFmt numFmtId="182" formatCode="0&quot;.&quot;"/>
    <numFmt numFmtId="183" formatCode="_-* #,##0.00\ _$_-;_-* #,##0.00\ _$\-;_-* &quot;-&quot;??\ _$_-;_-@_-"/>
    <numFmt numFmtId="184" formatCode="#,##0.00000"/>
    <numFmt numFmtId="185" formatCode="#,##0.000000"/>
    <numFmt numFmtId="186" formatCode="#,##0.00\ &quot;$&quot;"/>
  </numFmts>
  <fonts count="202">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1"/>
      <name val="Calibri"/>
      <family val="2"/>
    </font>
    <font>
      <b/>
      <sz val="11"/>
      <name val="Calibri"/>
      <family val="2"/>
      <scheme val="minor"/>
    </font>
    <font>
      <b/>
      <vertAlign val="superscript"/>
      <sz val="11"/>
      <color theme="0"/>
      <name val="Calibri"/>
      <family val="2"/>
      <scheme val="minor"/>
    </font>
    <font>
      <b/>
      <sz val="9"/>
      <color indexed="81"/>
      <name val="Tahoma"/>
      <family val="2"/>
    </font>
    <font>
      <sz val="9"/>
      <color indexed="81"/>
      <name val="Tahoma"/>
      <family val="2"/>
    </font>
    <font>
      <sz val="8"/>
      <color theme="1"/>
      <name val="Calibri"/>
      <family val="2"/>
      <scheme val="minor"/>
    </font>
    <font>
      <sz val="10"/>
      <name val="Arial"/>
      <family val="2"/>
    </font>
    <font>
      <b/>
      <sz val="10"/>
      <name val="Arial"/>
      <family val="2"/>
    </font>
    <font>
      <b/>
      <sz val="10"/>
      <color indexed="9"/>
      <name val="Arial"/>
      <family val="2"/>
    </font>
    <font>
      <b/>
      <vertAlign val="superscript"/>
      <sz val="10"/>
      <name val="Arial"/>
      <family val="2"/>
    </font>
    <font>
      <b/>
      <vertAlign val="subscript"/>
      <sz val="10"/>
      <name val="Arial"/>
      <family val="2"/>
    </font>
    <font>
      <sz val="8"/>
      <name val="Arial"/>
      <family val="2"/>
    </font>
    <font>
      <b/>
      <sz val="8"/>
      <name val="Arial"/>
      <family val="2"/>
    </font>
    <font>
      <b/>
      <vertAlign val="superscript"/>
      <sz val="8"/>
      <name val="Arial"/>
      <family val="2"/>
    </font>
    <font>
      <vertAlign val="subscript"/>
      <sz val="10"/>
      <name val="Arial"/>
      <family val="2"/>
    </font>
    <font>
      <sz val="10"/>
      <color indexed="8"/>
      <name val="Arial"/>
      <family val="2"/>
    </font>
    <font>
      <vertAlign val="superscript"/>
      <sz val="8"/>
      <name val="Arial"/>
      <family val="2"/>
    </font>
    <font>
      <vertAlign val="superscript"/>
      <sz val="10"/>
      <name val="Arial"/>
      <family val="2"/>
    </font>
    <font>
      <sz val="10"/>
      <color indexed="10"/>
      <name val="Arial"/>
      <family val="2"/>
    </font>
    <font>
      <sz val="10"/>
      <color theme="1"/>
      <name val="Calibri"/>
      <family val="2"/>
      <scheme val="minor"/>
    </font>
    <font>
      <vertAlign val="subscript"/>
      <sz val="11"/>
      <color theme="1"/>
      <name val="Calibri"/>
      <family val="2"/>
      <scheme val="minor"/>
    </font>
    <font>
      <sz val="12"/>
      <color theme="1"/>
      <name val="Calibri"/>
      <family val="2"/>
      <scheme val="minor"/>
    </font>
    <font>
      <sz val="11"/>
      <color theme="0" tint="-0.34998626667073579"/>
      <name val="Calibri"/>
      <family val="2"/>
      <scheme val="minor"/>
    </font>
    <font>
      <vertAlign val="subscript"/>
      <sz val="11"/>
      <color theme="0" tint="-0.34998626667073579"/>
      <name val="Calibri"/>
      <family val="2"/>
      <scheme val="minor"/>
    </font>
    <font>
      <sz val="10"/>
      <name val="Calibri"/>
      <family val="2"/>
      <scheme val="minor"/>
    </font>
    <font>
      <b/>
      <vertAlign val="subscript"/>
      <sz val="11"/>
      <color theme="1"/>
      <name val="Calibri"/>
      <family val="2"/>
      <scheme val="minor"/>
    </font>
    <font>
      <sz val="11"/>
      <color rgb="FF002060"/>
      <name val="Calibri"/>
      <family val="2"/>
      <scheme val="minor"/>
    </font>
    <font>
      <vertAlign val="superscript"/>
      <sz val="11"/>
      <color theme="1"/>
      <name val="Calibri"/>
      <family val="2"/>
      <scheme val="minor"/>
    </font>
    <font>
      <sz val="11"/>
      <color theme="0"/>
      <name val="Calibri"/>
      <family val="2"/>
      <scheme val="minor"/>
    </font>
    <font>
      <b/>
      <vertAlign val="subscript"/>
      <sz val="11"/>
      <color theme="0"/>
      <name val="Calibri"/>
      <family val="2"/>
      <scheme val="minor"/>
    </font>
    <font>
      <u/>
      <sz val="11"/>
      <color theme="10"/>
      <name val="Calibri"/>
      <family val="2"/>
      <scheme val="minor"/>
    </font>
    <font>
      <b/>
      <sz val="16"/>
      <color rgb="FF002060"/>
      <name val="Arial"/>
      <family val="2"/>
    </font>
    <font>
      <b/>
      <sz val="14"/>
      <color rgb="FF002060"/>
      <name val="Arial"/>
      <family val="2"/>
    </font>
    <font>
      <sz val="10"/>
      <color rgb="FFFF0000"/>
      <name val="Arial"/>
      <family val="2"/>
    </font>
    <font>
      <b/>
      <sz val="10"/>
      <color rgb="FF00AEEF"/>
      <name val="Calibri"/>
      <family val="2"/>
      <scheme val="minor"/>
    </font>
    <font>
      <b/>
      <sz val="10"/>
      <color rgb="FFFFFFFF"/>
      <name val="Arial"/>
      <family val="2"/>
    </font>
    <font>
      <b/>
      <sz val="10"/>
      <color rgb="FFFF0000"/>
      <name val="Arial"/>
      <family val="2"/>
    </font>
    <font>
      <sz val="10"/>
      <color theme="1"/>
      <name val="Arial"/>
      <family val="2"/>
    </font>
    <font>
      <sz val="10"/>
      <color rgb="FF002060"/>
      <name val="Arial"/>
      <family val="2"/>
    </font>
    <font>
      <sz val="9"/>
      <color rgb="FF002060"/>
      <name val="Arial"/>
      <family val="2"/>
    </font>
    <font>
      <sz val="8"/>
      <color rgb="FF002060"/>
      <name val="Arial"/>
      <family val="2"/>
    </font>
    <font>
      <b/>
      <sz val="10"/>
      <color theme="1"/>
      <name val="Arial"/>
      <family val="2"/>
    </font>
    <font>
      <b/>
      <sz val="10"/>
      <color rgb="FF002060"/>
      <name val="Arial"/>
      <family val="2"/>
    </font>
    <font>
      <b/>
      <sz val="10"/>
      <color theme="0"/>
      <name val="Arial"/>
      <family val="2"/>
    </font>
    <font>
      <vertAlign val="superscript"/>
      <sz val="10"/>
      <color rgb="FF002060"/>
      <name val="Arial"/>
      <family val="2"/>
    </font>
    <font>
      <b/>
      <sz val="11"/>
      <name val="Calibri"/>
      <family val="2"/>
    </font>
    <font>
      <b/>
      <vertAlign val="superscript"/>
      <sz val="11"/>
      <color theme="1"/>
      <name val="Calibri"/>
      <family val="2"/>
      <scheme val="minor"/>
    </font>
    <font>
      <b/>
      <u/>
      <sz val="11"/>
      <name val="Calibri"/>
      <family val="2"/>
      <scheme val="minor"/>
    </font>
    <font>
      <sz val="11"/>
      <color rgb="FFA5A5A5"/>
      <name val="Calibri"/>
      <family val="2"/>
    </font>
    <font>
      <sz val="10"/>
      <color rgb="FFBFBFBF"/>
      <name val="Symbol"/>
      <family val="1"/>
      <charset val="2"/>
    </font>
    <font>
      <sz val="10"/>
      <color rgb="FFBFBFBF"/>
      <name val="Calibri"/>
      <family val="2"/>
    </font>
    <font>
      <sz val="11"/>
      <color theme="6"/>
      <name val="Calibri"/>
      <family val="2"/>
      <scheme val="minor"/>
    </font>
    <font>
      <sz val="10"/>
      <color theme="6"/>
      <name val="Calibri"/>
      <family val="2"/>
      <scheme val="minor"/>
    </font>
    <font>
      <i/>
      <sz val="10"/>
      <color theme="1"/>
      <name val="Calibri"/>
      <family val="2"/>
      <scheme val="minor"/>
    </font>
    <font>
      <sz val="10"/>
      <color theme="6"/>
      <name val="Arial"/>
      <family val="2"/>
    </font>
    <font>
      <vertAlign val="subscript"/>
      <sz val="10"/>
      <color theme="6"/>
      <name val="Arial"/>
      <family val="2"/>
    </font>
    <font>
      <b/>
      <sz val="11"/>
      <color rgb="FF002060"/>
      <name val="Calibri"/>
      <family val="2"/>
      <scheme val="minor"/>
    </font>
    <font>
      <i/>
      <sz val="11"/>
      <color theme="1"/>
      <name val="Calibri"/>
      <family val="2"/>
      <scheme val="minor"/>
    </font>
    <font>
      <sz val="11"/>
      <color theme="0" tint="-0.499984740745262"/>
      <name val="Calibri"/>
      <family val="2"/>
      <scheme val="minor"/>
    </font>
    <font>
      <sz val="8"/>
      <name val="Calibri"/>
      <family val="2"/>
      <scheme val="minor"/>
    </font>
    <font>
      <u/>
      <sz val="10"/>
      <color rgb="FF002060"/>
      <name val="Arial"/>
      <family val="2"/>
    </font>
    <font>
      <sz val="10"/>
      <color theme="1" tint="0.499984740745262"/>
      <name val="Arial"/>
      <family val="2"/>
    </font>
    <font>
      <sz val="8"/>
      <name val="Calibri"/>
      <family val="2"/>
    </font>
    <font>
      <b/>
      <sz val="8"/>
      <color theme="1" tint="0.499984740745262"/>
      <name val="Arial"/>
      <family val="2"/>
    </font>
    <font>
      <sz val="8"/>
      <color theme="1" tint="0.499984740745262"/>
      <name val="Arial"/>
      <family val="2"/>
    </font>
    <font>
      <b/>
      <sz val="10"/>
      <name val="Calibri"/>
      <family val="2"/>
    </font>
    <font>
      <i/>
      <sz val="9"/>
      <name val="Arial"/>
      <family val="2"/>
    </font>
    <font>
      <sz val="9"/>
      <color theme="4"/>
      <name val="Calibri"/>
      <family val="2"/>
      <scheme val="minor"/>
    </font>
    <font>
      <b/>
      <u/>
      <sz val="11"/>
      <color theme="1"/>
      <name val="Calibri"/>
      <family val="2"/>
      <scheme val="minor"/>
    </font>
    <font>
      <b/>
      <u/>
      <vertAlign val="subscript"/>
      <sz val="11"/>
      <color theme="1"/>
      <name val="Calibri"/>
      <family val="2"/>
      <scheme val="minor"/>
    </font>
    <font>
      <sz val="9"/>
      <color rgb="FF002060"/>
      <name val="Calibri"/>
      <family val="2"/>
      <scheme val="minor"/>
    </font>
    <font>
      <vertAlign val="subscript"/>
      <sz val="10"/>
      <color rgb="FF002060"/>
      <name val="Arial"/>
      <family val="2"/>
    </font>
    <font>
      <u/>
      <sz val="11"/>
      <color theme="1"/>
      <name val="Calibri"/>
      <family val="2"/>
      <scheme val="minor"/>
    </font>
    <font>
      <i/>
      <u/>
      <sz val="11"/>
      <color theme="1"/>
      <name val="Calibri"/>
      <family val="2"/>
      <scheme val="minor"/>
    </font>
    <font>
      <sz val="11"/>
      <color theme="1"/>
      <name val="Symbol"/>
      <family val="1"/>
      <charset val="2"/>
    </font>
    <font>
      <sz val="11"/>
      <color theme="1"/>
      <name val="Calibri"/>
      <family val="1"/>
      <charset val="2"/>
      <scheme val="minor"/>
    </font>
    <font>
      <b/>
      <sz val="11"/>
      <color theme="4"/>
      <name val="Calibri"/>
      <family val="2"/>
      <scheme val="minor"/>
    </font>
    <font>
      <b/>
      <sz val="11"/>
      <color theme="9"/>
      <name val="Calibri"/>
      <family val="2"/>
      <scheme val="minor"/>
    </font>
    <font>
      <b/>
      <sz val="9"/>
      <color theme="0"/>
      <name val="Arial"/>
      <family val="2"/>
    </font>
    <font>
      <b/>
      <sz val="28"/>
      <name val="Calibri"/>
      <family val="2"/>
      <scheme val="minor"/>
    </font>
    <font>
      <b/>
      <sz val="14"/>
      <color rgb="FF0070C0"/>
      <name val="Calibri"/>
      <family val="2"/>
      <scheme val="minor"/>
    </font>
    <font>
      <b/>
      <sz val="12"/>
      <color theme="9"/>
      <name val="Calibri"/>
      <family val="2"/>
      <scheme val="minor"/>
    </font>
    <font>
      <b/>
      <sz val="11"/>
      <color rgb="FF7030A0"/>
      <name val="Calibri"/>
      <family val="2"/>
      <scheme val="minor"/>
    </font>
    <font>
      <i/>
      <sz val="11"/>
      <name val="Calibri"/>
      <family val="2"/>
      <scheme val="minor"/>
    </font>
    <font>
      <b/>
      <i/>
      <sz val="11"/>
      <color theme="0"/>
      <name val="Calibri"/>
      <family val="2"/>
      <scheme val="minor"/>
    </font>
    <font>
      <sz val="9"/>
      <color theme="1"/>
      <name val="Calibri"/>
      <family val="2"/>
      <scheme val="minor"/>
    </font>
    <font>
      <sz val="9"/>
      <color theme="1"/>
      <name val="Segoe UI"/>
      <family val="2"/>
    </font>
    <font>
      <i/>
      <sz val="10"/>
      <color theme="6"/>
      <name val="Calibri"/>
      <family val="2"/>
      <scheme val="minor"/>
    </font>
    <font>
      <b/>
      <i/>
      <sz val="10"/>
      <color theme="6"/>
      <name val="Calibri"/>
      <family val="2"/>
      <scheme val="minor"/>
    </font>
    <font>
      <b/>
      <i/>
      <sz val="11"/>
      <color theme="1"/>
      <name val="Calibri"/>
      <family val="2"/>
      <scheme val="minor"/>
    </font>
    <font>
      <b/>
      <sz val="11"/>
      <color theme="2"/>
      <name val="Calibri"/>
      <family val="2"/>
      <scheme val="minor"/>
    </font>
    <font>
      <sz val="9"/>
      <color theme="2"/>
      <name val="Calibri"/>
      <family val="2"/>
      <scheme val="minor"/>
    </font>
    <font>
      <sz val="10"/>
      <color rgb="FF002060"/>
      <name val="Tahoma"/>
      <family val="2"/>
    </font>
    <font>
      <sz val="11"/>
      <color theme="9"/>
      <name val="Calibri"/>
      <family val="2"/>
      <scheme val="minor"/>
    </font>
    <font>
      <b/>
      <sz val="11"/>
      <color theme="6"/>
      <name val="Calibri"/>
      <family val="2"/>
      <scheme val="minor"/>
    </font>
    <font>
      <i/>
      <sz val="10"/>
      <name val="Arial"/>
      <family val="2"/>
    </font>
    <font>
      <sz val="11"/>
      <color rgb="FFC00000"/>
      <name val="Calibri"/>
      <family val="2"/>
    </font>
    <font>
      <sz val="11"/>
      <name val="Arial"/>
      <family val="2"/>
    </font>
    <font>
      <sz val="9.9"/>
      <name val="Calibri"/>
      <family val="2"/>
    </font>
    <font>
      <sz val="11"/>
      <name val="Calibri"/>
      <family val="1"/>
      <charset val="2"/>
      <scheme val="minor"/>
    </font>
    <font>
      <u/>
      <sz val="11"/>
      <name val="Calibri"/>
      <family val="2"/>
      <scheme val="minor"/>
    </font>
    <font>
      <i/>
      <sz val="11"/>
      <name val="Symbol"/>
      <family val="1"/>
      <charset val="2"/>
    </font>
    <font>
      <i/>
      <sz val="11"/>
      <color theme="6" tint="-0.499984740745262"/>
      <name val="Calibri"/>
      <family val="2"/>
      <scheme val="minor"/>
    </font>
    <font>
      <b/>
      <sz val="11"/>
      <color theme="3" tint="0.39997558519241921"/>
      <name val="Calibri"/>
      <family val="2"/>
      <scheme val="minor"/>
    </font>
    <font>
      <b/>
      <sz val="14"/>
      <color theme="0"/>
      <name val="Calibri"/>
      <family val="2"/>
      <scheme val="minor"/>
    </font>
    <font>
      <sz val="11"/>
      <color theme="2"/>
      <name val="Calibri"/>
      <family val="2"/>
      <scheme val="minor"/>
    </font>
    <font>
      <i/>
      <vertAlign val="subscript"/>
      <sz val="11"/>
      <name val="Calibri"/>
      <family val="2"/>
      <scheme val="minor"/>
    </font>
    <font>
      <b/>
      <i/>
      <sz val="10"/>
      <color theme="1"/>
      <name val="Arial"/>
      <family val="2"/>
    </font>
    <font>
      <b/>
      <vertAlign val="superscript"/>
      <sz val="10"/>
      <color theme="1"/>
      <name val="Arial"/>
      <family val="2"/>
    </font>
    <font>
      <i/>
      <sz val="8"/>
      <color theme="0" tint="-0.499984740745262"/>
      <name val="Calibri"/>
      <family val="2"/>
      <scheme val="minor"/>
    </font>
    <font>
      <b/>
      <i/>
      <sz val="11"/>
      <name val="Calibri"/>
      <family val="2"/>
      <scheme val="minor"/>
    </font>
    <font>
      <vertAlign val="superscript"/>
      <sz val="8"/>
      <color rgb="FF002060"/>
      <name val="Arial"/>
      <family val="2"/>
    </font>
    <font>
      <sz val="11"/>
      <color theme="5"/>
      <name val="Calibri"/>
      <family val="2"/>
      <scheme val="minor"/>
    </font>
    <font>
      <b/>
      <sz val="9"/>
      <name val="Calibri"/>
      <family val="2"/>
      <scheme val="minor"/>
    </font>
    <font>
      <vertAlign val="superscript"/>
      <sz val="9"/>
      <color rgb="FF002060"/>
      <name val="Calibri"/>
      <family val="2"/>
      <scheme val="minor"/>
    </font>
    <font>
      <i/>
      <sz val="10"/>
      <color rgb="FF002060"/>
      <name val="Arial"/>
      <family val="2"/>
    </font>
    <font>
      <i/>
      <vertAlign val="superscript"/>
      <sz val="10"/>
      <color rgb="FF002060"/>
      <name val="Arial"/>
      <family val="2"/>
    </font>
    <font>
      <b/>
      <sz val="15"/>
      <color theme="4" tint="-0.499984740745262"/>
      <name val="Calibri"/>
      <family val="2"/>
      <scheme val="minor"/>
    </font>
    <font>
      <sz val="11"/>
      <color theme="1"/>
      <name val="Tahoma"/>
      <family val="2"/>
    </font>
    <font>
      <b/>
      <i/>
      <sz val="10"/>
      <color rgb="FF002060"/>
      <name val="Arial"/>
      <family val="2"/>
    </font>
    <font>
      <b/>
      <sz val="9"/>
      <color rgb="FF002060"/>
      <name val="Arial"/>
      <family val="2"/>
    </font>
    <font>
      <i/>
      <sz val="11"/>
      <color rgb="FF002060"/>
      <name val="Calibri"/>
      <family val="2"/>
      <scheme val="minor"/>
    </font>
    <font>
      <b/>
      <i/>
      <sz val="11"/>
      <color theme="0" tint="-0.14999847407452621"/>
      <name val="Calibri"/>
      <family val="2"/>
      <scheme val="minor"/>
    </font>
    <font>
      <sz val="15"/>
      <color rgb="FF202124"/>
      <name val="Arial"/>
      <family val="2"/>
    </font>
    <font>
      <sz val="15"/>
      <color rgb="FF040C28"/>
      <name val="Arial"/>
      <family val="2"/>
    </font>
    <font>
      <vertAlign val="superscript"/>
      <sz val="15"/>
      <color rgb="FF040C28"/>
      <name val="Arial"/>
      <family val="2"/>
    </font>
    <font>
      <b/>
      <sz val="12"/>
      <color rgb="FF002060"/>
      <name val="Arial"/>
      <family val="2"/>
    </font>
    <font>
      <b/>
      <sz val="10"/>
      <color theme="0"/>
      <name val="Calibri"/>
      <family val="2"/>
      <scheme val="minor"/>
    </font>
    <font>
      <b/>
      <vertAlign val="superscript"/>
      <sz val="10"/>
      <color theme="0"/>
      <name val="Arial"/>
      <family val="2"/>
    </font>
    <font>
      <b/>
      <sz val="10"/>
      <name val="Calibri"/>
      <family val="2"/>
      <scheme val="minor"/>
    </font>
    <font>
      <b/>
      <sz val="10"/>
      <color rgb="FF002060"/>
      <name val="Calibri"/>
      <family val="2"/>
      <scheme val="minor"/>
    </font>
    <font>
      <sz val="11"/>
      <color theme="0" tint="-0.249977111117893"/>
      <name val="Calibri"/>
      <family val="2"/>
      <scheme val="minor"/>
    </font>
    <font>
      <b/>
      <sz val="11"/>
      <color rgb="FF002060"/>
      <name val="Arial"/>
      <family val="2"/>
    </font>
    <font>
      <sz val="11"/>
      <color rgb="FF002060"/>
      <name val="Arial"/>
      <family val="2"/>
    </font>
    <font>
      <b/>
      <sz val="11"/>
      <color theme="0"/>
      <name val="Arial"/>
      <family val="2"/>
    </font>
    <font>
      <i/>
      <sz val="16"/>
      <color rgb="FF002060"/>
      <name val="Arial"/>
      <family val="2"/>
    </font>
    <font>
      <sz val="11"/>
      <color theme="4" tint="0.39997558519241921"/>
      <name val="Calibri"/>
      <family val="2"/>
      <scheme val="minor"/>
    </font>
    <font>
      <b/>
      <sz val="10"/>
      <color theme="6" tint="0.79998168889431442"/>
      <name val="Calibri"/>
      <family val="2"/>
      <scheme val="minor"/>
    </font>
    <font>
      <sz val="10"/>
      <color theme="6" tint="0.79998168889431442"/>
      <name val="Calibri"/>
      <family val="2"/>
      <scheme val="minor"/>
    </font>
    <font>
      <u/>
      <sz val="11"/>
      <color rgb="FF002060"/>
      <name val="Arial"/>
      <family val="2"/>
    </font>
    <font>
      <vertAlign val="superscript"/>
      <sz val="9"/>
      <color rgb="FF002060"/>
      <name val="Arial"/>
      <family val="2"/>
    </font>
    <font>
      <sz val="10"/>
      <color theme="0"/>
      <name val="Calibri"/>
      <family val="2"/>
      <scheme val="minor"/>
    </font>
    <font>
      <b/>
      <vertAlign val="subscript"/>
      <sz val="10"/>
      <color rgb="FF002060"/>
      <name val="Arial"/>
      <family val="2"/>
    </font>
    <font>
      <i/>
      <sz val="9"/>
      <color rgb="FF002060"/>
      <name val="Arial"/>
      <family val="2"/>
    </font>
    <font>
      <i/>
      <vertAlign val="subscript"/>
      <sz val="9"/>
      <color rgb="FF002060"/>
      <name val="Arial"/>
      <family val="2"/>
    </font>
    <font>
      <sz val="10"/>
      <color theme="0" tint="-0.14999847407452621"/>
      <name val="Tahoma"/>
      <family val="2"/>
    </font>
    <font>
      <b/>
      <sz val="16"/>
      <color theme="1"/>
      <name val="Calibri"/>
      <family val="2"/>
      <scheme val="minor"/>
    </font>
    <font>
      <b/>
      <sz val="20"/>
      <color rgb="FF004070"/>
      <name val="Calibri"/>
      <family val="2"/>
      <scheme val="minor"/>
    </font>
    <font>
      <sz val="10"/>
      <color rgb="FF002855"/>
      <name val="Calibri"/>
      <family val="2"/>
      <scheme val="minor"/>
    </font>
    <font>
      <sz val="10"/>
      <color rgb="FF000000"/>
      <name val="Calibri"/>
      <family val="2"/>
      <scheme val="minor"/>
    </font>
    <font>
      <sz val="10"/>
      <color rgb="FF002D5B"/>
      <name val="Calibri"/>
      <family val="2"/>
      <scheme val="minor"/>
    </font>
    <font>
      <sz val="10"/>
      <color rgb="FF002D5B"/>
      <name val="Arial"/>
      <family val="2"/>
    </font>
    <font>
      <sz val="11"/>
      <color theme="1"/>
      <name val="Arial"/>
      <family val="2"/>
    </font>
    <font>
      <sz val="10"/>
      <color rgb="FF002855"/>
      <name val="Arial"/>
      <family val="2"/>
    </font>
    <font>
      <sz val="10"/>
      <color rgb="FF000000"/>
      <name val="Arial"/>
      <family val="2"/>
    </font>
    <font>
      <sz val="8"/>
      <color rgb="FFFF0000"/>
      <name val="Arial"/>
      <family val="2"/>
    </font>
    <font>
      <sz val="11"/>
      <color rgb="FFFF0000"/>
      <name val="Arial"/>
      <family val="2"/>
    </font>
    <font>
      <b/>
      <sz val="10"/>
      <color rgb="FF002D5B"/>
      <name val="Arial"/>
      <family val="2"/>
    </font>
    <font>
      <b/>
      <sz val="10"/>
      <color rgb="FF00AEEF"/>
      <name val="Arial"/>
      <family val="2"/>
    </font>
    <font>
      <sz val="10"/>
      <color rgb="FFED1D24"/>
      <name val="Arial"/>
      <family val="2"/>
    </font>
    <font>
      <sz val="9"/>
      <color theme="1"/>
      <name val="Arial"/>
      <family val="2"/>
    </font>
    <font>
      <vertAlign val="superscript"/>
      <sz val="10"/>
      <color rgb="FF002D5B"/>
      <name val="Arial"/>
      <family val="2"/>
    </font>
    <font>
      <b/>
      <sz val="10"/>
      <color rgb="FF002855"/>
      <name val="Arial"/>
      <family val="2"/>
    </font>
    <font>
      <u/>
      <sz val="10"/>
      <color theme="10"/>
      <name val="Arial"/>
      <family val="2"/>
    </font>
    <font>
      <sz val="8"/>
      <color theme="1"/>
      <name val="Arial"/>
      <family val="2"/>
    </font>
    <font>
      <sz val="10"/>
      <color theme="4"/>
      <name val="Arial"/>
      <family val="2"/>
    </font>
    <font>
      <b/>
      <sz val="18"/>
      <color theme="2"/>
      <name val="Arial"/>
      <family val="2"/>
    </font>
    <font>
      <b/>
      <sz val="12"/>
      <color theme="2"/>
      <name val="Arial"/>
      <family val="2"/>
    </font>
    <font>
      <b/>
      <sz val="11"/>
      <color theme="1"/>
      <name val="Arial"/>
      <family val="2"/>
    </font>
    <font>
      <b/>
      <sz val="30"/>
      <color rgb="FF00AEEF"/>
      <name val="Arial"/>
      <family val="2"/>
    </font>
    <font>
      <b/>
      <sz val="12"/>
      <color rgb="FF00B0F0"/>
      <name val="Arial"/>
      <family val="2"/>
    </font>
    <font>
      <b/>
      <sz val="12"/>
      <color rgb="FF00AEEF"/>
      <name val="Arial"/>
      <family val="2"/>
    </font>
    <font>
      <b/>
      <sz val="10"/>
      <color rgb="FF00B0F0"/>
      <name val="Arial"/>
      <family val="2"/>
    </font>
    <font>
      <b/>
      <sz val="14"/>
      <color theme="0"/>
      <name val="Arial"/>
      <family val="2"/>
    </font>
    <font>
      <i/>
      <sz val="10"/>
      <color theme="6"/>
      <name val="Arial"/>
      <family val="2"/>
    </font>
    <font>
      <sz val="12"/>
      <color theme="1"/>
      <name val="Arial"/>
      <family val="2"/>
    </font>
    <font>
      <sz val="9"/>
      <color rgb="FF002D5B"/>
      <name val="Arial"/>
      <family val="2"/>
    </font>
    <font>
      <sz val="9"/>
      <color rgb="FF000000"/>
      <name val="Tahoma"/>
      <family val="2"/>
    </font>
    <font>
      <sz val="8"/>
      <color rgb="FF002D5B"/>
      <name val="Arial"/>
      <family val="2"/>
    </font>
    <font>
      <vertAlign val="superscript"/>
      <sz val="10"/>
      <color theme="1"/>
      <name val="Arial"/>
      <family val="2"/>
    </font>
    <font>
      <b/>
      <u/>
      <sz val="14"/>
      <color rgb="FF00B0F0"/>
      <name val="Arial"/>
      <family val="2"/>
    </font>
    <font>
      <b/>
      <sz val="14"/>
      <color rgb="FF00B0F0"/>
      <name val="Arial"/>
      <family val="2"/>
    </font>
    <font>
      <sz val="10"/>
      <color theme="0"/>
      <name val="Arial"/>
      <family val="2"/>
    </font>
    <font>
      <sz val="10"/>
      <color rgb="FFFFFFFF"/>
      <name val="Arial"/>
      <family val="2"/>
    </font>
    <font>
      <strike/>
      <sz val="11"/>
      <color theme="1"/>
      <name val="Calibri"/>
      <family val="2"/>
      <scheme val="minor"/>
    </font>
    <font>
      <sz val="8"/>
      <color rgb="FF002060"/>
      <name val="Calibri"/>
      <family val="2"/>
    </font>
    <font>
      <i/>
      <u/>
      <sz val="11"/>
      <color theme="10"/>
      <name val="Calibri"/>
      <family val="2"/>
      <scheme val="minor"/>
    </font>
    <font>
      <b/>
      <sz val="11"/>
      <color theme="0" tint="-0.34998626667073579"/>
      <name val="Calibri"/>
      <family val="2"/>
      <scheme val="minor"/>
    </font>
    <font>
      <b/>
      <sz val="12"/>
      <color theme="0"/>
      <name val="Calibri"/>
      <family val="2"/>
      <scheme val="minor"/>
    </font>
    <font>
      <sz val="10"/>
      <color rgb="FFFA06E3"/>
      <name val="Calibri"/>
      <family val="2"/>
      <scheme val="minor"/>
    </font>
    <font>
      <sz val="5"/>
      <color theme="1"/>
      <name val="Calibri"/>
      <family val="2"/>
      <scheme val="minor"/>
    </font>
    <font>
      <sz val="10"/>
      <color rgb="FF002060"/>
      <name val="Calibri"/>
      <family val="2"/>
      <scheme val="minor"/>
    </font>
    <font>
      <vertAlign val="superscript"/>
      <sz val="10"/>
      <color theme="1"/>
      <name val="Calibri"/>
      <family val="2"/>
      <scheme val="minor"/>
    </font>
    <font>
      <b/>
      <sz val="10"/>
      <color rgb="FF002060"/>
      <name val="Arial"/>
      <family val="2"/>
    </font>
    <font>
      <sz val="10"/>
      <color rgb="FF002060"/>
      <name val="Arial"/>
      <family val="2"/>
    </font>
    <font>
      <b/>
      <sz val="12"/>
      <color rgb="FF002060"/>
      <name val="Arial"/>
      <family val="2"/>
    </font>
  </fonts>
  <fills count="41">
    <fill>
      <patternFill patternType="none"/>
    </fill>
    <fill>
      <patternFill patternType="gray125"/>
    </fill>
    <fill>
      <patternFill patternType="solid">
        <fgColor theme="0" tint="-0.249977111117893"/>
        <bgColor indexed="64"/>
      </patternFill>
    </fill>
    <fill>
      <patternFill patternType="solid">
        <fgColor rgb="FFC3E1F5"/>
        <bgColor indexed="64"/>
      </patternFill>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2" tint="-9.9978637043366805E-2"/>
        <bgColor indexed="64"/>
      </patternFill>
    </fill>
    <fill>
      <patternFill patternType="solid">
        <fgColor indexed="9"/>
        <bgColor indexed="64"/>
      </patternFill>
    </fill>
    <fill>
      <patternFill patternType="solid">
        <fgColor indexed="44"/>
        <bgColor indexed="64"/>
      </patternFill>
    </fill>
    <fill>
      <patternFill patternType="solid">
        <fgColor indexed="48"/>
        <bgColor indexed="64"/>
      </patternFill>
    </fill>
    <fill>
      <patternFill patternType="solid">
        <fgColor indexed="18"/>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79998168889431442"/>
        <bgColor indexed="64"/>
      </patternFill>
    </fill>
    <fill>
      <patternFill patternType="solid">
        <fgColor rgb="FF00AEEF"/>
        <bgColor indexed="64"/>
      </patternFill>
    </fill>
    <fill>
      <patternFill patternType="solid">
        <fgColor rgb="FF00AEEF"/>
      </patternFill>
    </fill>
    <fill>
      <patternFill patternType="solid">
        <fgColor theme="4" tint="0.79998168889431442"/>
        <bgColor indexed="64"/>
      </patternFill>
    </fill>
    <fill>
      <patternFill patternType="solid">
        <fgColor rgb="FFDAE3F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000080"/>
        <bgColor indexed="64"/>
      </patternFill>
    </fill>
    <fill>
      <patternFill patternType="solid">
        <fgColor theme="8" tint="0.79998168889431442"/>
        <bgColor indexed="64"/>
      </patternFill>
    </fill>
    <fill>
      <patternFill patternType="solid">
        <fgColor theme="6"/>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rgb="FF00B0F0"/>
        <bgColor indexed="64"/>
      </patternFill>
    </fill>
    <fill>
      <patternFill patternType="lightUp">
        <bgColor theme="0" tint="-0.34998626667073579"/>
      </patternFill>
    </fill>
    <fill>
      <patternFill patternType="lightUp">
        <bgColor theme="0" tint="-0.499984740745262"/>
      </patternFill>
    </fill>
    <fill>
      <patternFill patternType="solid">
        <fgColor theme="0" tint="-0.14996795556505021"/>
        <bgColor indexed="64"/>
      </patternFill>
    </fill>
    <fill>
      <patternFill patternType="solid">
        <fgColor rgb="FF0047BB"/>
        <bgColor indexed="64"/>
      </patternFill>
    </fill>
    <fill>
      <patternFill patternType="solid">
        <fgColor rgb="FFDAEEF4"/>
        <bgColor indexed="64"/>
      </patternFill>
    </fill>
    <fill>
      <patternFill patternType="solid">
        <fgColor theme="1"/>
        <bgColor indexed="64"/>
      </patternFill>
    </fill>
  </fills>
  <borders count="2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thin">
        <color theme="0" tint="-0.14999847407452621"/>
      </left>
      <right style="thin">
        <color theme="0" tint="-0.14999847407452621"/>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bottom/>
      <diagonal/>
    </border>
    <border>
      <left/>
      <right style="medium">
        <color rgb="FF7030A0"/>
      </right>
      <top/>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diagonalDown="1">
      <left style="thin">
        <color indexed="64"/>
      </left>
      <right style="thin">
        <color indexed="64"/>
      </right>
      <top style="thin">
        <color indexed="64"/>
      </top>
      <bottom/>
      <diagonal style="thin">
        <color auto="1"/>
      </diagonal>
    </border>
    <border diagonalUp="1" diagonalDown="1">
      <left style="thin">
        <color indexed="64"/>
      </left>
      <right style="thin">
        <color indexed="64"/>
      </right>
      <top/>
      <bottom/>
      <diagonal style="thin">
        <color auto="1"/>
      </diagonal>
    </border>
    <border diagonalUp="1" diagonalDown="1">
      <left style="thin">
        <color indexed="64"/>
      </left>
      <right style="thin">
        <color indexed="64"/>
      </right>
      <top/>
      <bottom style="thin">
        <color indexed="64"/>
      </bottom>
      <diagonal style="thin">
        <color auto="1"/>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rgb="FF00B0F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medium">
        <color rgb="FF00B0F0"/>
      </bottom>
      <diagonal/>
    </border>
    <border>
      <left style="medium">
        <color rgb="FF00B0F0"/>
      </left>
      <right/>
      <top/>
      <bottom/>
      <diagonal/>
    </border>
    <border>
      <left/>
      <right style="medium">
        <color rgb="FF00B0F0"/>
      </right>
      <top/>
      <bottom style="medium">
        <color rgb="FF00B0F0"/>
      </bottom>
      <diagonal/>
    </border>
    <border>
      <left style="medium">
        <color rgb="FF00B0F0"/>
      </left>
      <right style="thin">
        <color indexed="64"/>
      </right>
      <top style="medium">
        <color rgb="FF00B0F0"/>
      </top>
      <bottom style="thin">
        <color indexed="64"/>
      </bottom>
      <diagonal/>
    </border>
    <border>
      <left style="thin">
        <color indexed="64"/>
      </left>
      <right style="thin">
        <color indexed="64"/>
      </right>
      <top style="medium">
        <color rgb="FF00B0F0"/>
      </top>
      <bottom style="thin">
        <color indexed="64"/>
      </bottom>
      <diagonal/>
    </border>
    <border>
      <left/>
      <right style="medium">
        <color rgb="FF00B0F0"/>
      </right>
      <top style="medium">
        <color rgb="FF00B0F0"/>
      </top>
      <bottom/>
      <diagonal/>
    </border>
    <border>
      <left style="medium">
        <color rgb="FF00B0F0"/>
      </left>
      <right style="thin">
        <color indexed="64"/>
      </right>
      <top style="thin">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style="medium">
        <color rgb="FF00B0F0"/>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style="thin">
        <color auto="1"/>
      </left>
      <right style="medium">
        <color rgb="FF00B0F0"/>
      </right>
      <top style="medium">
        <color rgb="FF00B0F0"/>
      </top>
      <bottom style="thin">
        <color auto="1"/>
      </bottom>
      <diagonal/>
    </border>
    <border>
      <left/>
      <right style="thin">
        <color indexed="64"/>
      </right>
      <top style="medium">
        <color rgb="FF00B0F0"/>
      </top>
      <bottom style="thin">
        <color indexed="64"/>
      </bottom>
      <diagonal/>
    </border>
    <border>
      <left/>
      <right style="medium">
        <color rgb="FF00B0F0"/>
      </right>
      <top style="medium">
        <color rgb="FF00B0F0"/>
      </top>
      <bottom style="thin">
        <color indexed="64"/>
      </bottom>
      <diagonal/>
    </border>
    <border>
      <left/>
      <right style="medium">
        <color rgb="FF00B0F0"/>
      </right>
      <top style="thin">
        <color indexed="64"/>
      </top>
      <bottom style="thin">
        <color indexed="64"/>
      </bottom>
      <diagonal/>
    </border>
    <border>
      <left/>
      <right style="thin">
        <color indexed="64"/>
      </right>
      <top style="thin">
        <color indexed="64"/>
      </top>
      <bottom style="medium">
        <color rgb="FF00B0F0"/>
      </bottom>
      <diagonal/>
    </border>
    <border>
      <left/>
      <right style="medium">
        <color rgb="FF00B0F0"/>
      </right>
      <top style="thin">
        <color indexed="64"/>
      </top>
      <bottom style="medium">
        <color rgb="FF00B0F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rgb="FF00B0F0"/>
      </left>
      <right style="thin">
        <color rgb="FF00B0F0"/>
      </right>
      <top style="medium">
        <color rgb="FF00B0F0"/>
      </top>
      <bottom style="medium">
        <color rgb="FF00B0F0"/>
      </bottom>
      <diagonal/>
    </border>
    <border>
      <left style="thin">
        <color rgb="FF00B0F0"/>
      </left>
      <right style="thin">
        <color rgb="FF00B0F0"/>
      </right>
      <top style="medium">
        <color rgb="FF00B0F0"/>
      </top>
      <bottom style="medium">
        <color rgb="FF00B0F0"/>
      </bottom>
      <diagonal/>
    </border>
    <border>
      <left style="thin">
        <color rgb="FF00B0F0"/>
      </left>
      <right style="medium">
        <color rgb="FF00B0F0"/>
      </right>
      <top style="medium">
        <color rgb="FF00B0F0"/>
      </top>
      <bottom style="medium">
        <color rgb="FF00B0F0"/>
      </bottom>
      <diagonal/>
    </border>
    <border>
      <left style="medium">
        <color rgb="FF00AEEF"/>
      </left>
      <right/>
      <top style="medium">
        <color rgb="FF00AEEF"/>
      </top>
      <bottom style="medium">
        <color rgb="FF00AEEF"/>
      </bottom>
      <diagonal/>
    </border>
    <border>
      <left/>
      <right/>
      <top style="medium">
        <color rgb="FF00AEEF"/>
      </top>
      <bottom style="medium">
        <color rgb="FF00AEEF"/>
      </bottom>
      <diagonal/>
    </border>
    <border>
      <left/>
      <right style="medium">
        <color rgb="FF00AEEF"/>
      </right>
      <top style="medium">
        <color rgb="FF00AEEF"/>
      </top>
      <bottom style="medium">
        <color rgb="FF00AEEF"/>
      </bottom>
      <diagonal/>
    </border>
    <border>
      <left/>
      <right/>
      <top style="medium">
        <color rgb="FF00AEEF"/>
      </top>
      <bottom/>
      <diagonal/>
    </border>
    <border>
      <left/>
      <right/>
      <top/>
      <bottom style="medium">
        <color theme="0"/>
      </bottom>
      <diagonal/>
    </border>
    <border>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rgb="FF00B0F0"/>
      </left>
      <right style="thin">
        <color rgb="FF00B0F0"/>
      </right>
      <top style="medium">
        <color rgb="FF00B0F0"/>
      </top>
      <bottom style="thin">
        <color rgb="FF00B0F0"/>
      </bottom>
      <diagonal/>
    </border>
    <border>
      <left style="medium">
        <color rgb="FF00AEEF"/>
      </left>
      <right/>
      <top style="medium">
        <color rgb="FF00AEEF"/>
      </top>
      <bottom style="thin">
        <color rgb="FF00B0F0"/>
      </bottom>
      <diagonal/>
    </border>
    <border>
      <left/>
      <right style="medium">
        <color rgb="FF00AEEF"/>
      </right>
      <top style="medium">
        <color rgb="FF00AEEF"/>
      </top>
      <bottom style="thin">
        <color rgb="FF00B0F0"/>
      </bottom>
      <diagonal/>
    </border>
    <border>
      <left/>
      <right style="thin">
        <color rgb="FF00B0F0"/>
      </right>
      <top style="medium">
        <color rgb="FF00B0F0"/>
      </top>
      <bottom style="medium">
        <color rgb="FF00B0F0"/>
      </bottom>
      <diagonal/>
    </border>
    <border>
      <left style="medium">
        <color rgb="FF00B0F0"/>
      </left>
      <right style="medium">
        <color rgb="FF00B0F0"/>
      </right>
      <top style="medium">
        <color rgb="FF00B0F0"/>
      </top>
      <bottom style="thin">
        <color rgb="FF00B0F0"/>
      </bottom>
      <diagonal/>
    </border>
    <border>
      <left style="medium">
        <color rgb="FF00AEEF"/>
      </left>
      <right/>
      <top/>
      <bottom style="medium">
        <color rgb="FF00AEEF"/>
      </bottom>
      <diagonal/>
    </border>
    <border>
      <left style="medium">
        <color rgb="FF00AEEF"/>
      </left>
      <right/>
      <top/>
      <bottom/>
      <diagonal/>
    </border>
    <border>
      <left style="medium">
        <color theme="2" tint="-0.14996795556505021"/>
      </left>
      <right style="medium">
        <color theme="2" tint="-0.14996795556505021"/>
      </right>
      <top/>
      <bottom style="medium">
        <color rgb="FF00AEEF"/>
      </bottom>
      <diagonal/>
    </border>
    <border>
      <left style="medium">
        <color theme="2" tint="-0.14996795556505021"/>
      </left>
      <right/>
      <top/>
      <bottom style="medium">
        <color rgb="FF00AEEF"/>
      </bottom>
      <diagonal/>
    </border>
    <border>
      <left style="medium">
        <color theme="2" tint="-0.14996795556505021"/>
      </left>
      <right style="medium">
        <color rgb="FF00AEEF"/>
      </right>
      <top/>
      <bottom style="medium">
        <color rgb="FF00AEEF"/>
      </bottom>
      <diagonal/>
    </border>
    <border>
      <left style="medium">
        <color theme="2" tint="-0.14996795556505021"/>
      </left>
      <right style="medium">
        <color theme="2" tint="-0.14996795556505021"/>
      </right>
      <top style="medium">
        <color rgb="FF00AEEF"/>
      </top>
      <bottom style="medium">
        <color rgb="FF00AEEF"/>
      </bottom>
      <diagonal/>
    </border>
    <border>
      <left style="medium">
        <color theme="2" tint="-0.14996795556505021"/>
      </left>
      <right style="medium">
        <color rgb="FF00AEEF"/>
      </right>
      <top style="medium">
        <color rgb="FF00AEEF"/>
      </top>
      <bottom style="medium">
        <color rgb="FF00AEE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rgb="FF00B0F0"/>
      </left>
      <right style="medium">
        <color rgb="FF00B0F0"/>
      </right>
      <top style="thin">
        <color rgb="FF00B0F0"/>
      </top>
      <bottom/>
      <diagonal/>
    </border>
    <border>
      <left style="medium">
        <color rgb="FF00B0F0"/>
      </left>
      <right style="thin">
        <color rgb="FF00B0F0"/>
      </right>
      <top style="thin">
        <color rgb="FF00B0F0"/>
      </top>
      <bottom/>
      <diagonal/>
    </border>
    <border>
      <left style="thin">
        <color rgb="FF00B0F0"/>
      </left>
      <right style="medium">
        <color rgb="FF00AEEF"/>
      </right>
      <top style="thin">
        <color rgb="FF00B0F0"/>
      </top>
      <bottom/>
      <diagonal/>
    </border>
    <border>
      <left style="thin">
        <color theme="0"/>
      </left>
      <right/>
      <top style="medium">
        <color rgb="FF00B0F0"/>
      </top>
      <bottom/>
      <diagonal/>
    </border>
    <border>
      <left style="medium">
        <color rgb="FF00B0F0"/>
      </left>
      <right style="thin">
        <color theme="0" tint="-0.249977111117893"/>
      </right>
      <top style="medium">
        <color rgb="FF00B0F0"/>
      </top>
      <bottom style="thin">
        <color theme="0" tint="-0.249977111117893"/>
      </bottom>
      <diagonal/>
    </border>
    <border>
      <left style="thin">
        <color theme="0" tint="-0.249977111117893"/>
      </left>
      <right style="thin">
        <color theme="0" tint="-0.249977111117893"/>
      </right>
      <top style="medium">
        <color rgb="FF00B0F0"/>
      </top>
      <bottom style="thin">
        <color theme="0" tint="-0.249977111117893"/>
      </bottom>
      <diagonal/>
    </border>
    <border>
      <left style="thin">
        <color theme="0" tint="-0.249977111117893"/>
      </left>
      <right style="medium">
        <color rgb="FF00B0F0"/>
      </right>
      <top style="medium">
        <color rgb="FF00B0F0"/>
      </top>
      <bottom style="thin">
        <color theme="0" tint="-0.249977111117893"/>
      </bottom>
      <diagonal/>
    </border>
    <border>
      <left style="medium">
        <color rgb="FF00B0F0"/>
      </left>
      <right style="thin">
        <color theme="0" tint="-0.249977111117893"/>
      </right>
      <top style="thin">
        <color theme="0" tint="-0.249977111117893"/>
      </top>
      <bottom style="thin">
        <color theme="0" tint="-0.249977111117893"/>
      </bottom>
      <diagonal/>
    </border>
    <border>
      <left style="thin">
        <color theme="0" tint="-0.249977111117893"/>
      </left>
      <right style="medium">
        <color rgb="FF00B0F0"/>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rgb="FF00B0F0"/>
      </bottom>
      <diagonal/>
    </border>
    <border>
      <left style="thin">
        <color theme="0" tint="-0.249977111117893"/>
      </left>
      <right style="medium">
        <color rgb="FF00B0F0"/>
      </right>
      <top style="thin">
        <color theme="0" tint="-0.249977111117893"/>
      </top>
      <bottom style="medium">
        <color rgb="FF00B0F0"/>
      </bottom>
      <diagonal/>
    </border>
    <border>
      <left style="thin">
        <color rgb="FF002060"/>
      </left>
      <right style="thin">
        <color rgb="FF002060"/>
      </right>
      <top style="thin">
        <color rgb="FF002060"/>
      </top>
      <bottom/>
      <diagonal/>
    </border>
    <border>
      <left style="medium">
        <color rgb="FF00AEEF"/>
      </left>
      <right style="thin">
        <color rgb="FF002060"/>
      </right>
      <top style="medium">
        <color rgb="FF00AEEF"/>
      </top>
      <bottom style="thin">
        <color rgb="FF002060"/>
      </bottom>
      <diagonal/>
    </border>
    <border>
      <left style="thin">
        <color rgb="FF002060"/>
      </left>
      <right style="thin">
        <color rgb="FF002060"/>
      </right>
      <top style="medium">
        <color rgb="FF00AEEF"/>
      </top>
      <bottom style="thin">
        <color rgb="FF002060"/>
      </bottom>
      <diagonal/>
    </border>
    <border>
      <left style="thin">
        <color rgb="FF002060"/>
      </left>
      <right style="medium">
        <color rgb="FF00AEEF"/>
      </right>
      <top style="medium">
        <color rgb="FF00AEEF"/>
      </top>
      <bottom style="thin">
        <color rgb="FF002060"/>
      </bottom>
      <diagonal/>
    </border>
    <border>
      <left style="medium">
        <color rgb="FF00AEEF"/>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AEEF"/>
      </right>
      <top style="thin">
        <color rgb="FF002060"/>
      </top>
      <bottom style="thin">
        <color rgb="FF002060"/>
      </bottom>
      <diagonal/>
    </border>
    <border>
      <left style="medium">
        <color rgb="FF00AEEF"/>
      </left>
      <right style="thin">
        <color rgb="FF002060"/>
      </right>
      <top style="thin">
        <color rgb="FF002060"/>
      </top>
      <bottom style="medium">
        <color rgb="FF00AEEF"/>
      </bottom>
      <diagonal/>
    </border>
    <border>
      <left style="thin">
        <color rgb="FF002060"/>
      </left>
      <right style="thin">
        <color rgb="FF002060"/>
      </right>
      <top style="thin">
        <color rgb="FF002060"/>
      </top>
      <bottom style="medium">
        <color rgb="FF00AEEF"/>
      </bottom>
      <diagonal/>
    </border>
    <border>
      <left style="thin">
        <color rgb="FF002060"/>
      </left>
      <right style="medium">
        <color rgb="FF00AEEF"/>
      </right>
      <top style="thin">
        <color rgb="FF002060"/>
      </top>
      <bottom style="medium">
        <color rgb="FF00AEEF"/>
      </bottom>
      <diagonal/>
    </border>
    <border>
      <left style="medium">
        <color rgb="FF002060"/>
      </left>
      <right/>
      <top style="medium">
        <color rgb="FF002060"/>
      </top>
      <bottom style="thin">
        <color indexed="64"/>
      </bottom>
      <diagonal/>
    </border>
    <border>
      <left style="thin">
        <color indexed="64"/>
      </left>
      <right style="thin">
        <color indexed="64"/>
      </right>
      <top style="medium">
        <color rgb="FF002060"/>
      </top>
      <bottom style="thin">
        <color indexed="64"/>
      </bottom>
      <diagonal/>
    </border>
    <border>
      <left style="thin">
        <color indexed="64"/>
      </left>
      <right style="medium">
        <color rgb="FF002060"/>
      </right>
      <top style="medium">
        <color rgb="FF002060"/>
      </top>
      <bottom style="thin">
        <color indexed="64"/>
      </bottom>
      <diagonal/>
    </border>
    <border>
      <left style="medium">
        <color rgb="FF002060"/>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theme="0" tint="-0.249977111117893"/>
      </right>
      <top style="thin">
        <color theme="0" tint="-0.249977111117893"/>
      </top>
      <bottom style="thin">
        <color theme="0" tint="-0.249977111117893"/>
      </bottom>
      <diagonal/>
    </border>
    <border>
      <left/>
      <right/>
      <top/>
      <bottom style="medium">
        <color rgb="FF00AEEF"/>
      </bottom>
      <diagonal/>
    </border>
    <border>
      <left style="thin">
        <color rgb="FF00B0F0"/>
      </left>
      <right style="medium">
        <color rgb="FF00AEEF"/>
      </right>
      <top/>
      <bottom/>
      <diagonal/>
    </border>
    <border>
      <left style="thin">
        <color rgb="FF00B0F0"/>
      </left>
      <right style="medium">
        <color rgb="FF00AEEF"/>
      </right>
      <top/>
      <bottom style="medium">
        <color rgb="FF00B0F0"/>
      </bottom>
      <diagonal/>
    </border>
    <border>
      <left style="thin">
        <color theme="0" tint="-0.249977111117893"/>
      </left>
      <right style="thin">
        <color theme="0" tint="-0.249977111117893"/>
      </right>
      <top style="medium">
        <color rgb="FF00B0F0"/>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rgb="FF00B0F0"/>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theme="1"/>
      </right>
      <top/>
      <bottom/>
      <diagonal/>
    </border>
    <border>
      <left style="medium">
        <color theme="0" tint="-0.499984740745262"/>
      </left>
      <right/>
      <top style="medium">
        <color theme="0" tint="-0.499984740745262"/>
      </top>
      <bottom style="thin">
        <color indexed="64"/>
      </bottom>
      <diagonal/>
    </border>
    <border>
      <left/>
      <right style="thin">
        <color indexed="64"/>
      </right>
      <top style="medium">
        <color theme="0" tint="-0.499984740745262"/>
      </top>
      <bottom style="thin">
        <color indexed="64"/>
      </bottom>
      <diagonal/>
    </border>
    <border>
      <left style="thin">
        <color indexed="64"/>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top style="thin">
        <color indexed="64"/>
      </top>
      <bottom style="thin">
        <color indexed="64"/>
      </bottom>
      <diagonal/>
    </border>
    <border>
      <left/>
      <right style="medium">
        <color theme="0" tint="-0.499984740745262"/>
      </right>
      <top style="thin">
        <color indexed="64"/>
      </top>
      <bottom style="thin">
        <color indexed="64"/>
      </bottom>
      <diagonal/>
    </border>
    <border>
      <left style="medium">
        <color theme="0" tint="-0.499984740745262"/>
      </left>
      <right/>
      <top style="thin">
        <color indexed="64"/>
      </top>
      <bottom style="medium">
        <color theme="0" tint="-0.499984740745262"/>
      </bottom>
      <diagonal/>
    </border>
    <border>
      <left/>
      <right style="thin">
        <color indexed="64"/>
      </right>
      <top style="thin">
        <color indexed="64"/>
      </top>
      <bottom style="medium">
        <color theme="0" tint="-0.499984740745262"/>
      </bottom>
      <diagonal/>
    </border>
    <border>
      <left style="thin">
        <color indexed="64"/>
      </left>
      <right/>
      <top style="thin">
        <color indexed="64"/>
      </top>
      <bottom style="medium">
        <color theme="0" tint="-0.499984740745262"/>
      </bottom>
      <diagonal/>
    </border>
    <border>
      <left/>
      <right style="medium">
        <color theme="0" tint="-0.499984740745262"/>
      </right>
      <top style="thin">
        <color indexed="64"/>
      </top>
      <bottom style="medium">
        <color theme="0" tint="-0.499984740745262"/>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auto="1"/>
      </bottom>
      <diagonal/>
    </border>
    <border>
      <left style="medium">
        <color theme="0" tint="-0.499984740745262"/>
      </left>
      <right style="thin">
        <color indexed="64"/>
      </right>
      <top style="thin">
        <color indexed="64"/>
      </top>
      <bottom style="hair">
        <color indexed="64"/>
      </bottom>
      <diagonal/>
    </border>
    <border>
      <left style="thin">
        <color indexed="64"/>
      </left>
      <right style="medium">
        <color theme="0" tint="-0.499984740745262"/>
      </right>
      <top style="thin">
        <color indexed="64"/>
      </top>
      <bottom style="hair">
        <color indexed="64"/>
      </bottom>
      <diagonal/>
    </border>
    <border>
      <left style="medium">
        <color theme="0" tint="-0.499984740745262"/>
      </left>
      <right style="thin">
        <color indexed="64"/>
      </right>
      <top style="hair">
        <color indexed="64"/>
      </top>
      <bottom style="hair">
        <color indexed="64"/>
      </bottom>
      <diagonal/>
    </border>
    <border>
      <left style="thin">
        <color indexed="64"/>
      </left>
      <right style="medium">
        <color theme="0" tint="-0.499984740745262"/>
      </right>
      <top style="hair">
        <color indexed="64"/>
      </top>
      <bottom style="hair">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auto="1"/>
      </top>
      <bottom style="thin">
        <color auto="1"/>
      </bottom>
      <diagonal/>
    </border>
    <border>
      <left style="medium">
        <color theme="0" tint="-0.499984740745262"/>
      </left>
      <right style="thin">
        <color indexed="64"/>
      </right>
      <top/>
      <bottom style="medium">
        <color theme="0" tint="-0.499984740745262"/>
      </bottom>
      <diagonal/>
    </border>
    <border>
      <left style="thin">
        <color indexed="64"/>
      </left>
      <right style="thin">
        <color indexed="64"/>
      </right>
      <top/>
      <bottom style="medium">
        <color theme="0" tint="-0.499984740745262"/>
      </bottom>
      <diagonal/>
    </border>
    <border>
      <left style="thin">
        <color indexed="64"/>
      </left>
      <right style="medium">
        <color theme="0" tint="-0.499984740745262"/>
      </right>
      <top/>
      <bottom style="medium">
        <color theme="0"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8"/>
      </left>
      <right style="medium">
        <color theme="8"/>
      </right>
      <top style="medium">
        <color theme="8"/>
      </top>
      <bottom style="medium">
        <color theme="8"/>
      </bottom>
      <diagonal/>
    </border>
    <border>
      <left style="medium">
        <color indexed="64"/>
      </left>
      <right style="medium">
        <color theme="0"/>
      </right>
      <top style="thin">
        <color rgb="FF002060"/>
      </top>
      <bottom style="thin">
        <color rgb="FF002060"/>
      </bottom>
      <diagonal/>
    </border>
    <border>
      <left style="medium">
        <color theme="0"/>
      </left>
      <right style="medium">
        <color theme="0"/>
      </right>
      <top style="thin">
        <color rgb="FF002060"/>
      </top>
      <bottom style="thin">
        <color rgb="FF002060"/>
      </bottom>
      <diagonal/>
    </border>
    <border>
      <left style="medium">
        <color theme="0"/>
      </left>
      <right style="thin">
        <color rgb="FF002060"/>
      </right>
      <top style="thin">
        <color rgb="FF002060"/>
      </top>
      <bottom/>
      <diagonal/>
    </border>
    <border>
      <left style="medium">
        <color indexed="64"/>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medium">
        <color theme="8"/>
      </left>
      <right style="medium">
        <color theme="8"/>
      </right>
      <top style="medium">
        <color theme="8"/>
      </top>
      <bottom style="thin">
        <color rgb="FF002060"/>
      </bottom>
      <diagonal/>
    </border>
    <border>
      <left/>
      <right/>
      <top/>
      <bottom style="thin">
        <color rgb="FF002060"/>
      </bottom>
      <diagonal/>
    </border>
    <border>
      <left style="medium">
        <color theme="8"/>
      </left>
      <right style="thin">
        <color rgb="FF002060"/>
      </right>
      <top style="medium">
        <color theme="8"/>
      </top>
      <bottom style="thin">
        <color rgb="FF002060"/>
      </bottom>
      <diagonal/>
    </border>
    <border>
      <left style="thin">
        <color rgb="FF002060"/>
      </left>
      <right style="medium">
        <color theme="8"/>
      </right>
      <top style="medium">
        <color theme="8"/>
      </top>
      <bottom style="thin">
        <color rgb="FF002060"/>
      </bottom>
      <diagonal/>
    </border>
    <border>
      <left style="medium">
        <color theme="8"/>
      </left>
      <right style="medium">
        <color theme="8"/>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style="medium">
        <color theme="8"/>
      </left>
      <right style="thin">
        <color rgb="FF002060"/>
      </right>
      <top style="thin">
        <color rgb="FF002060"/>
      </top>
      <bottom style="thin">
        <color rgb="FF002060"/>
      </bottom>
      <diagonal/>
    </border>
    <border>
      <left style="thin">
        <color rgb="FF002060"/>
      </left>
      <right style="medium">
        <color theme="8"/>
      </right>
      <top style="thin">
        <color rgb="FF002060"/>
      </top>
      <bottom style="thin">
        <color rgb="FF002060"/>
      </bottom>
      <diagonal/>
    </border>
    <border>
      <left style="medium">
        <color theme="8"/>
      </left>
      <right style="medium">
        <color theme="8"/>
      </right>
      <top style="thin">
        <color rgb="FF002060"/>
      </top>
      <bottom style="medium">
        <color theme="8"/>
      </bottom>
      <diagonal/>
    </border>
    <border>
      <left style="thin">
        <color indexed="64"/>
      </left>
      <right style="thin">
        <color rgb="FF002060"/>
      </right>
      <top style="thin">
        <color indexed="64"/>
      </top>
      <bottom style="thin">
        <color indexed="64"/>
      </bottom>
      <diagonal/>
    </border>
    <border>
      <left style="thin">
        <color rgb="FF002060"/>
      </left>
      <right/>
      <top style="thin">
        <color indexed="64"/>
      </top>
      <bottom style="thin">
        <color indexed="64"/>
      </bottom>
      <diagonal/>
    </border>
    <border>
      <left style="medium">
        <color theme="8"/>
      </left>
      <right style="thin">
        <color rgb="FF002060"/>
      </right>
      <top style="thin">
        <color rgb="FF002060"/>
      </top>
      <bottom style="medium">
        <color theme="8"/>
      </bottom>
      <diagonal/>
    </border>
    <border>
      <left style="thin">
        <color rgb="FF002060"/>
      </left>
      <right style="medium">
        <color theme="8"/>
      </right>
      <top style="thin">
        <color rgb="FF002060"/>
      </top>
      <bottom style="medium">
        <color theme="8"/>
      </bottom>
      <diagonal/>
    </border>
  </borders>
  <cellStyleXfs count="19">
    <xf numFmtId="0" fontId="0" fillId="0" borderId="0"/>
    <xf numFmtId="9" fontId="1" fillId="0" borderId="0" applyFont="0" applyFill="0" applyBorder="0" applyAlignment="0" applyProtection="0"/>
    <xf numFmtId="0" fontId="12" fillId="0" borderId="0"/>
    <xf numFmtId="9" fontId="12"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0" fontId="36" fillId="0" borderId="0" applyNumberFormat="0" applyFill="0" applyBorder="0" applyAlignment="0" applyProtection="0"/>
    <xf numFmtId="43"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183" fontId="12" fillId="0" borderId="0" applyFont="0" applyFill="0" applyBorder="0" applyAlignment="0" applyProtection="0"/>
    <xf numFmtId="0" fontId="17" fillId="0" borderId="0"/>
    <xf numFmtId="43"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981">
    <xf numFmtId="0" fontId="0" fillId="0" borderId="0" xfId="0"/>
    <xf numFmtId="0" fontId="3" fillId="0" borderId="0" xfId="0" applyFont="1"/>
    <xf numFmtId="0" fontId="0" fillId="0" borderId="0" xfId="0" applyAlignment="1">
      <alignment horizontal="left" vertical="center"/>
    </xf>
    <xf numFmtId="0" fontId="4" fillId="0" borderId="0" xfId="0" applyFont="1"/>
    <xf numFmtId="0" fontId="4" fillId="4" borderId="0" xfId="0" applyFont="1" applyFill="1"/>
    <xf numFmtId="0" fontId="0" fillId="4" borderId="0" xfId="0" applyFill="1"/>
    <xf numFmtId="0" fontId="0" fillId="5" borderId="0" xfId="0" applyFill="1"/>
    <xf numFmtId="0" fontId="5" fillId="0" borderId="0" xfId="0" applyFont="1"/>
    <xf numFmtId="0" fontId="2" fillId="6" borderId="4" xfId="0" applyFont="1" applyFill="1" applyBorder="1" applyAlignment="1">
      <alignment horizontal="center" vertical="center"/>
    </xf>
    <xf numFmtId="0" fontId="0" fillId="0" borderId="4" xfId="0" applyBorder="1" applyAlignment="1">
      <alignment horizontal="center" vertical="center"/>
    </xf>
    <xf numFmtId="1" fontId="0" fillId="0" borderId="4" xfId="0" applyNumberFormat="1" applyBorder="1" applyAlignment="1">
      <alignment horizontal="center" vertical="center"/>
    </xf>
    <xf numFmtId="0" fontId="2" fillId="6" borderId="4" xfId="0" applyFont="1" applyFill="1" applyBorder="1" applyAlignment="1">
      <alignment horizontal="left"/>
    </xf>
    <xf numFmtId="164" fontId="0" fillId="0" borderId="4" xfId="0" applyNumberFormat="1" applyBorder="1" applyAlignment="1">
      <alignment horizontal="center" vertical="center"/>
    </xf>
    <xf numFmtId="166" fontId="0" fillId="0" borderId="4" xfId="0" applyNumberFormat="1" applyBorder="1" applyAlignment="1">
      <alignment horizontal="center" vertical="center"/>
    </xf>
    <xf numFmtId="2" fontId="0" fillId="0" borderId="4" xfId="0" applyNumberFormat="1" applyBorder="1" applyAlignment="1">
      <alignment horizontal="center" vertical="center"/>
    </xf>
    <xf numFmtId="0" fontId="0" fillId="0" borderId="4" xfId="0" applyBorder="1"/>
    <xf numFmtId="0" fontId="0" fillId="0" borderId="5" xfId="0" applyBorder="1"/>
    <xf numFmtId="0" fontId="0" fillId="8" borderId="4" xfId="0" applyFill="1" applyBorder="1"/>
    <xf numFmtId="169" fontId="0" fillId="0" borderId="0" xfId="1" applyNumberFormat="1" applyFont="1" applyFill="1"/>
    <xf numFmtId="0" fontId="12" fillId="9" borderId="0" xfId="2" applyFill="1"/>
    <xf numFmtId="0" fontId="13" fillId="10" borderId="1" xfId="2" applyFont="1" applyFill="1" applyBorder="1"/>
    <xf numFmtId="0" fontId="13" fillId="10" borderId="2" xfId="2" applyFont="1" applyFill="1" applyBorder="1" applyAlignment="1">
      <alignment horizontal="center"/>
    </xf>
    <xf numFmtId="170" fontId="13" fillId="10" borderId="3" xfId="3" applyNumberFormat="1" applyFont="1" applyFill="1" applyBorder="1" applyAlignment="1">
      <alignment horizontal="center"/>
    </xf>
    <xf numFmtId="0" fontId="12" fillId="9" borderId="0" xfId="2" applyFill="1" applyAlignment="1">
      <alignment horizontal="center"/>
    </xf>
    <xf numFmtId="1" fontId="12" fillId="9" borderId="0" xfId="2" applyNumberFormat="1" applyFill="1" applyAlignment="1">
      <alignment horizontal="center"/>
    </xf>
    <xf numFmtId="1" fontId="12" fillId="9" borderId="0" xfId="2" applyNumberFormat="1" applyFill="1"/>
    <xf numFmtId="0" fontId="13" fillId="9" borderId="0" xfId="2" applyFont="1" applyFill="1"/>
    <xf numFmtId="0" fontId="13" fillId="9" borderId="9" xfId="2" applyFont="1" applyFill="1" applyBorder="1" applyAlignment="1">
      <alignment horizontal="center"/>
    </xf>
    <xf numFmtId="0" fontId="13" fillId="9" borderId="6" xfId="2" applyFont="1" applyFill="1" applyBorder="1" applyAlignment="1">
      <alignment horizontal="center"/>
    </xf>
    <xf numFmtId="0" fontId="13" fillId="9" borderId="7" xfId="2" applyFont="1" applyFill="1" applyBorder="1" applyAlignment="1">
      <alignment horizontal="center"/>
    </xf>
    <xf numFmtId="0" fontId="13" fillId="9" borderId="2" xfId="2" applyFont="1" applyFill="1" applyBorder="1" applyAlignment="1">
      <alignment horizontal="center"/>
    </xf>
    <xf numFmtId="0" fontId="13" fillId="7" borderId="2" xfId="2" applyFont="1" applyFill="1" applyBorder="1" applyAlignment="1">
      <alignment horizontal="center"/>
    </xf>
    <xf numFmtId="0" fontId="12" fillId="9" borderId="3" xfId="2" applyFill="1" applyBorder="1"/>
    <xf numFmtId="0" fontId="13" fillId="9" borderId="1" xfId="2" applyFont="1" applyFill="1" applyBorder="1" applyAlignment="1">
      <alignment horizontal="center"/>
    </xf>
    <xf numFmtId="1" fontId="13" fillId="7" borderId="2" xfId="2" applyNumberFormat="1" applyFont="1" applyFill="1" applyBorder="1" applyAlignment="1">
      <alignment horizontal="center"/>
    </xf>
    <xf numFmtId="0" fontId="13" fillId="9" borderId="11" xfId="2" applyFont="1" applyFill="1" applyBorder="1" applyAlignment="1">
      <alignment horizontal="center"/>
    </xf>
    <xf numFmtId="0" fontId="13" fillId="9" borderId="12" xfId="2" applyFont="1" applyFill="1" applyBorder="1" applyAlignment="1">
      <alignment horizontal="center"/>
    </xf>
    <xf numFmtId="0" fontId="13" fillId="9" borderId="0" xfId="2" applyFont="1" applyFill="1" applyAlignment="1">
      <alignment horizontal="center"/>
    </xf>
    <xf numFmtId="0" fontId="17" fillId="9" borderId="0" xfId="2" applyFont="1" applyFill="1"/>
    <xf numFmtId="0" fontId="13" fillId="9" borderId="13" xfId="2" applyFont="1" applyFill="1" applyBorder="1" applyAlignment="1">
      <alignment horizontal="center"/>
    </xf>
    <xf numFmtId="0" fontId="13" fillId="9" borderId="15" xfId="2" applyFont="1" applyFill="1" applyBorder="1" applyAlignment="1">
      <alignment horizontal="center"/>
    </xf>
    <xf numFmtId="0" fontId="18" fillId="9" borderId="13" xfId="2" applyFont="1" applyFill="1" applyBorder="1" applyAlignment="1">
      <alignment horizontal="center"/>
    </xf>
    <xf numFmtId="0" fontId="18" fillId="9" borderId="14" xfId="2" applyFont="1" applyFill="1" applyBorder="1" applyAlignment="1">
      <alignment horizontal="center"/>
    </xf>
    <xf numFmtId="0" fontId="18" fillId="9" borderId="15" xfId="2" applyFont="1" applyFill="1" applyBorder="1" applyAlignment="1">
      <alignment horizontal="center"/>
    </xf>
    <xf numFmtId="0" fontId="12" fillId="9" borderId="6" xfId="2" applyFill="1" applyBorder="1"/>
    <xf numFmtId="0" fontId="12" fillId="9" borderId="7" xfId="2" applyFill="1" applyBorder="1"/>
    <xf numFmtId="0" fontId="12" fillId="9" borderId="12" xfId="2" applyFill="1" applyBorder="1" applyAlignment="1">
      <alignment horizontal="center"/>
    </xf>
    <xf numFmtId="167" fontId="12" fillId="9" borderId="6" xfId="2" applyNumberFormat="1" applyFill="1" applyBorder="1" applyAlignment="1">
      <alignment horizontal="center"/>
    </xf>
    <xf numFmtId="167" fontId="12" fillId="9" borderId="7" xfId="2" applyNumberFormat="1" applyFill="1" applyBorder="1" applyAlignment="1">
      <alignment horizontal="center"/>
    </xf>
    <xf numFmtId="2" fontId="12" fillId="9" borderId="11" xfId="2" applyNumberFormat="1" applyFill="1" applyBorder="1" applyAlignment="1">
      <alignment horizontal="center"/>
    </xf>
    <xf numFmtId="167" fontId="12" fillId="9" borderId="0" xfId="2" applyNumberFormat="1" applyFill="1" applyAlignment="1">
      <alignment horizontal="center"/>
    </xf>
    <xf numFmtId="167" fontId="12" fillId="9" borderId="11" xfId="2" applyNumberFormat="1" applyFill="1" applyBorder="1" applyAlignment="1">
      <alignment horizontal="center"/>
    </xf>
    <xf numFmtId="1" fontId="12" fillId="9" borderId="12" xfId="2" applyNumberFormat="1" applyFill="1" applyBorder="1" applyAlignment="1">
      <alignment horizontal="center"/>
    </xf>
    <xf numFmtId="0" fontId="12" fillId="9" borderId="11" xfId="2" applyFill="1" applyBorder="1"/>
    <xf numFmtId="0" fontId="12" fillId="9" borderId="11" xfId="2" applyFill="1" applyBorder="1" applyAlignment="1">
      <alignment horizontal="center"/>
    </xf>
    <xf numFmtId="0" fontId="12" fillId="9" borderId="13" xfId="2" applyFill="1" applyBorder="1"/>
    <xf numFmtId="0" fontId="12" fillId="9" borderId="15" xfId="2" applyFill="1" applyBorder="1"/>
    <xf numFmtId="0" fontId="12" fillId="9" borderId="15" xfId="2" applyFill="1" applyBorder="1" applyAlignment="1">
      <alignment horizontal="center"/>
    </xf>
    <xf numFmtId="0" fontId="12" fillId="9" borderId="14" xfId="2" applyFill="1" applyBorder="1" applyAlignment="1">
      <alignment horizontal="center"/>
    </xf>
    <xf numFmtId="167" fontId="12" fillId="9" borderId="13" xfId="2" applyNumberFormat="1" applyFill="1" applyBorder="1" applyAlignment="1">
      <alignment horizontal="center"/>
    </xf>
    <xf numFmtId="167" fontId="12" fillId="9" borderId="15" xfId="2" applyNumberFormat="1" applyFill="1" applyBorder="1" applyAlignment="1">
      <alignment horizontal="center"/>
    </xf>
    <xf numFmtId="2" fontId="12" fillId="9" borderId="13" xfId="2" applyNumberFormat="1" applyFill="1" applyBorder="1" applyAlignment="1">
      <alignment horizontal="center"/>
    </xf>
    <xf numFmtId="0" fontId="12" fillId="9" borderId="13" xfId="2" applyFill="1" applyBorder="1" applyAlignment="1">
      <alignment horizontal="center"/>
    </xf>
    <xf numFmtId="167" fontId="12" fillId="10" borderId="15" xfId="2" applyNumberFormat="1" applyFill="1" applyBorder="1" applyAlignment="1">
      <alignment horizontal="center"/>
    </xf>
    <xf numFmtId="167" fontId="12" fillId="10" borderId="13" xfId="2" applyNumberFormat="1" applyFill="1" applyBorder="1" applyAlignment="1">
      <alignment horizontal="center"/>
    </xf>
    <xf numFmtId="0" fontId="17" fillId="9" borderId="0" xfId="2" applyFont="1" applyFill="1" applyAlignment="1">
      <alignment horizontal="center"/>
    </xf>
    <xf numFmtId="0" fontId="12" fillId="9" borderId="8" xfId="2" applyFill="1" applyBorder="1"/>
    <xf numFmtId="0" fontId="12" fillId="9" borderId="12" xfId="2" applyFill="1" applyBorder="1"/>
    <xf numFmtId="168" fontId="12" fillId="9" borderId="0" xfId="2" applyNumberFormat="1" applyFill="1" applyAlignment="1">
      <alignment horizontal="center"/>
    </xf>
    <xf numFmtId="1" fontId="12" fillId="9" borderId="15" xfId="2" applyNumberFormat="1" applyFill="1" applyBorder="1" applyAlignment="1">
      <alignment horizontal="center"/>
    </xf>
    <xf numFmtId="0" fontId="12" fillId="9" borderId="14" xfId="2" applyFill="1" applyBorder="1"/>
    <xf numFmtId="0" fontId="18" fillId="9" borderId="0" xfId="2" applyFont="1" applyFill="1" applyAlignment="1">
      <alignment horizontal="right"/>
    </xf>
    <xf numFmtId="0" fontId="18" fillId="9" borderId="0" xfId="2" applyFont="1" applyFill="1" applyAlignment="1">
      <alignment horizontal="center"/>
    </xf>
    <xf numFmtId="0" fontId="17" fillId="9" borderId="0" xfId="2" applyFont="1" applyFill="1" applyAlignment="1">
      <alignment horizontal="right"/>
    </xf>
    <xf numFmtId="1" fontId="17" fillId="9" borderId="0" xfId="2" applyNumberFormat="1" applyFont="1" applyFill="1" applyAlignment="1">
      <alignment horizontal="center"/>
    </xf>
    <xf numFmtId="0" fontId="22" fillId="9" borderId="0" xfId="2" applyFont="1" applyFill="1"/>
    <xf numFmtId="0" fontId="23" fillId="9" borderId="0" xfId="2" applyFont="1" applyFill="1"/>
    <xf numFmtId="0" fontId="13" fillId="9" borderId="19" xfId="2" applyFont="1" applyFill="1" applyBorder="1" applyAlignment="1">
      <alignment horizontal="center"/>
    </xf>
    <xf numFmtId="0" fontId="12" fillId="9" borderId="20" xfId="2" applyFill="1" applyBorder="1"/>
    <xf numFmtId="0" fontId="12" fillId="9" borderId="19" xfId="2" applyFill="1" applyBorder="1"/>
    <xf numFmtId="0" fontId="13" fillId="9" borderId="22" xfId="2" applyFont="1" applyFill="1" applyBorder="1" applyAlignment="1">
      <alignment horizontal="center"/>
    </xf>
    <xf numFmtId="0" fontId="13" fillId="9" borderId="19" xfId="2" applyFont="1" applyFill="1" applyBorder="1"/>
    <xf numFmtId="0" fontId="12" fillId="9" borderId="10" xfId="2" applyFill="1" applyBorder="1"/>
    <xf numFmtId="0" fontId="12" fillId="9" borderId="23" xfId="2" applyFill="1" applyBorder="1"/>
    <xf numFmtId="0" fontId="13" fillId="9" borderId="1" xfId="2" applyFont="1" applyFill="1" applyBorder="1" applyAlignment="1">
      <alignment horizontal="right"/>
    </xf>
    <xf numFmtId="167" fontId="13" fillId="9" borderId="4" xfId="2" applyNumberFormat="1" applyFont="1" applyFill="1" applyBorder="1" applyAlignment="1">
      <alignment horizontal="center"/>
    </xf>
    <xf numFmtId="166" fontId="13" fillId="9" borderId="1" xfId="2" applyNumberFormat="1" applyFont="1" applyFill="1" applyBorder="1" applyAlignment="1">
      <alignment horizontal="center"/>
    </xf>
    <xf numFmtId="166" fontId="13" fillId="9" borderId="2" xfId="2" applyNumberFormat="1" applyFont="1" applyFill="1" applyBorder="1" applyAlignment="1">
      <alignment horizontal="center"/>
    </xf>
    <xf numFmtId="166" fontId="13" fillId="9" borderId="3" xfId="2" applyNumberFormat="1" applyFont="1" applyFill="1" applyBorder="1" applyAlignment="1">
      <alignment horizontal="center"/>
    </xf>
    <xf numFmtId="166" fontId="13" fillId="9" borderId="24" xfId="2" applyNumberFormat="1" applyFont="1" applyFill="1" applyBorder="1" applyAlignment="1">
      <alignment horizontal="center"/>
    </xf>
    <xf numFmtId="166" fontId="12" fillId="9" borderId="0" xfId="2" applyNumberFormat="1" applyFill="1" applyAlignment="1">
      <alignment horizontal="center"/>
    </xf>
    <xf numFmtId="167" fontId="13" fillId="9" borderId="20" xfId="2" applyNumberFormat="1" applyFont="1" applyFill="1" applyBorder="1" applyAlignment="1">
      <alignment horizontal="center"/>
    </xf>
    <xf numFmtId="0" fontId="12" fillId="9" borderId="25" xfId="2" applyFill="1" applyBorder="1"/>
    <xf numFmtId="0" fontId="12" fillId="9" borderId="26" xfId="2" applyFill="1" applyBorder="1"/>
    <xf numFmtId="0" fontId="12" fillId="9" borderId="27" xfId="2" applyFill="1" applyBorder="1"/>
    <xf numFmtId="166" fontId="12" fillId="9" borderId="26" xfId="2" applyNumberFormat="1" applyFill="1" applyBorder="1" applyAlignment="1">
      <alignment horizontal="center"/>
    </xf>
    <xf numFmtId="167" fontId="12" fillId="9" borderId="26" xfId="2" applyNumberFormat="1" applyFill="1" applyBorder="1" applyAlignment="1">
      <alignment horizontal="center"/>
    </xf>
    <xf numFmtId="167" fontId="13" fillId="9" borderId="27" xfId="2" applyNumberFormat="1" applyFont="1" applyFill="1" applyBorder="1" applyAlignment="1">
      <alignment horizontal="center"/>
    </xf>
    <xf numFmtId="166" fontId="13" fillId="9" borderId="0" xfId="2" applyNumberFormat="1" applyFont="1" applyFill="1" applyAlignment="1">
      <alignment horizontal="center"/>
    </xf>
    <xf numFmtId="0" fontId="13" fillId="9" borderId="19" xfId="2" applyFont="1" applyFill="1" applyBorder="1" applyAlignment="1">
      <alignment horizontal="left"/>
    </xf>
    <xf numFmtId="166" fontId="13" fillId="9" borderId="21" xfId="2" applyNumberFormat="1" applyFont="1" applyFill="1" applyBorder="1" applyAlignment="1">
      <alignment horizontal="center"/>
    </xf>
    <xf numFmtId="166" fontId="13" fillId="9" borderId="23" xfId="2" applyNumberFormat="1" applyFont="1" applyFill="1" applyBorder="1" applyAlignment="1">
      <alignment horizontal="center"/>
    </xf>
    <xf numFmtId="0" fontId="13" fillId="9" borderId="29" xfId="2" applyFont="1" applyFill="1" applyBorder="1" applyAlignment="1">
      <alignment horizontal="center"/>
    </xf>
    <xf numFmtId="1" fontId="17" fillId="9" borderId="22" xfId="2" applyNumberFormat="1" applyFont="1" applyFill="1" applyBorder="1" applyAlignment="1">
      <alignment horizontal="center"/>
    </xf>
    <xf numFmtId="170" fontId="13" fillId="7" borderId="0" xfId="2" applyNumberFormat="1" applyFont="1" applyFill="1" applyAlignment="1">
      <alignment horizontal="center"/>
    </xf>
    <xf numFmtId="167" fontId="13" fillId="9" borderId="0" xfId="2" applyNumberFormat="1" applyFont="1" applyFill="1" applyAlignment="1">
      <alignment horizontal="center"/>
    </xf>
    <xf numFmtId="165" fontId="24" fillId="9" borderId="0" xfId="2" applyNumberFormat="1" applyFont="1" applyFill="1" applyAlignment="1">
      <alignment horizontal="center"/>
    </xf>
    <xf numFmtId="166" fontId="13" fillId="9" borderId="22" xfId="2" applyNumberFormat="1" applyFont="1" applyFill="1" applyBorder="1" applyAlignment="1">
      <alignment horizontal="center"/>
    </xf>
    <xf numFmtId="167" fontId="12" fillId="9" borderId="0" xfId="2" applyNumberFormat="1" applyFill="1"/>
    <xf numFmtId="2" fontId="13" fillId="9" borderId="22" xfId="2" applyNumberFormat="1" applyFont="1" applyFill="1" applyBorder="1" applyAlignment="1">
      <alignment horizontal="center"/>
    </xf>
    <xf numFmtId="0" fontId="12" fillId="9" borderId="30" xfId="2" applyFill="1" applyBorder="1"/>
    <xf numFmtId="0" fontId="12" fillId="9" borderId="2" xfId="2" applyFill="1" applyBorder="1"/>
    <xf numFmtId="167" fontId="12" fillId="9" borderId="2" xfId="2" applyNumberFormat="1" applyFill="1" applyBorder="1" applyAlignment="1">
      <alignment horizontal="center"/>
    </xf>
    <xf numFmtId="9" fontId="0" fillId="9" borderId="0" xfId="3" applyFont="1" applyFill="1"/>
    <xf numFmtId="2" fontId="12" fillId="9" borderId="22" xfId="2" applyNumberFormat="1" applyFill="1" applyBorder="1"/>
    <xf numFmtId="2" fontId="12" fillId="9" borderId="0" xfId="2" applyNumberFormat="1" applyFill="1" applyAlignment="1">
      <alignment horizontal="center"/>
    </xf>
    <xf numFmtId="0" fontId="23" fillId="9" borderId="0" xfId="2" applyFont="1" applyFill="1" applyAlignment="1">
      <alignment horizontal="center"/>
    </xf>
    <xf numFmtId="168" fontId="12" fillId="7" borderId="0" xfId="2" applyNumberFormat="1" applyFill="1" applyAlignment="1">
      <alignment horizontal="center"/>
    </xf>
    <xf numFmtId="0" fontId="24" fillId="9" borderId="20" xfId="2" applyFont="1" applyFill="1" applyBorder="1" applyAlignment="1">
      <alignment horizontal="center"/>
    </xf>
    <xf numFmtId="2" fontId="13" fillId="9" borderId="20" xfId="2" applyNumberFormat="1" applyFont="1" applyFill="1" applyBorder="1" applyAlignment="1">
      <alignment horizontal="center"/>
    </xf>
    <xf numFmtId="0" fontId="23" fillId="9" borderId="26" xfId="2" applyFont="1" applyFill="1" applyBorder="1" applyAlignment="1">
      <alignment horizontal="center"/>
    </xf>
    <xf numFmtId="2" fontId="13" fillId="9" borderId="27" xfId="2" applyNumberFormat="1" applyFont="1" applyFill="1" applyBorder="1" applyAlignment="1">
      <alignment horizontal="center"/>
    </xf>
    <xf numFmtId="2" fontId="13" fillId="9" borderId="0" xfId="2" applyNumberFormat="1" applyFont="1" applyFill="1" applyAlignment="1">
      <alignment horizontal="center"/>
    </xf>
    <xf numFmtId="0" fontId="13" fillId="9" borderId="15" xfId="2" applyFont="1" applyFill="1" applyBorder="1"/>
    <xf numFmtId="0" fontId="12" fillId="9" borderId="0" xfId="2" applyFill="1" applyAlignment="1">
      <alignment horizontal="left"/>
    </xf>
    <xf numFmtId="168" fontId="13" fillId="9" borderId="0" xfId="2" applyNumberFormat="1" applyFont="1" applyFill="1" applyAlignment="1">
      <alignment horizontal="center"/>
    </xf>
    <xf numFmtId="9" fontId="0" fillId="9" borderId="0" xfId="3" applyFont="1" applyFill="1" applyAlignment="1">
      <alignment horizontal="center"/>
    </xf>
    <xf numFmtId="10" fontId="0" fillId="0" borderId="0" xfId="1" applyNumberFormat="1" applyFont="1"/>
    <xf numFmtId="171" fontId="0" fillId="0" borderId="0" xfId="1" applyNumberFormat="1" applyFont="1"/>
    <xf numFmtId="0" fontId="0" fillId="0" borderId="0" xfId="0" applyAlignment="1">
      <alignment horizontal="center" vertical="center"/>
    </xf>
    <xf numFmtId="2" fontId="0" fillId="0" borderId="0" xfId="0" applyNumberFormat="1" applyAlignment="1">
      <alignment horizontal="center" vertical="center"/>
    </xf>
    <xf numFmtId="0" fontId="0" fillId="4" borderId="0" xfId="0" applyFill="1" applyAlignment="1">
      <alignment horizontal="center" vertical="center"/>
    </xf>
    <xf numFmtId="0" fontId="28" fillId="0" borderId="0" xfId="0" applyFont="1"/>
    <xf numFmtId="0" fontId="4" fillId="6" borderId="4" xfId="0" applyFont="1" applyFill="1" applyBorder="1" applyAlignment="1">
      <alignment horizontal="center"/>
    </xf>
    <xf numFmtId="0" fontId="30" fillId="0" borderId="0" xfId="0" applyFont="1"/>
    <xf numFmtId="2" fontId="5" fillId="0" borderId="0" xfId="0" applyNumberFormat="1" applyFont="1" applyAlignment="1">
      <alignment horizontal="center" vertical="center"/>
    </xf>
    <xf numFmtId="2" fontId="0" fillId="0" borderId="0" xfId="0" applyNumberFormat="1"/>
    <xf numFmtId="0" fontId="4" fillId="0" borderId="0" xfId="0" applyFont="1" applyAlignment="1">
      <alignment horizontal="center" vertical="center"/>
    </xf>
    <xf numFmtId="0" fontId="34" fillId="16" borderId="0" xfId="0" applyFont="1" applyFill="1"/>
    <xf numFmtId="0" fontId="34" fillId="16" borderId="0" xfId="0" applyFont="1" applyFill="1" applyAlignment="1">
      <alignment horizontal="center" vertical="center"/>
    </xf>
    <xf numFmtId="0" fontId="2" fillId="16" borderId="0" xfId="0" applyFont="1" applyFill="1"/>
    <xf numFmtId="0" fontId="4" fillId="0" borderId="31" xfId="0" applyFont="1" applyBorder="1"/>
    <xf numFmtId="0" fontId="4" fillId="0" borderId="31" xfId="0" applyFont="1" applyBorder="1" applyAlignment="1">
      <alignment horizontal="center" vertical="center"/>
    </xf>
    <xf numFmtId="0" fontId="0" fillId="0" borderId="31" xfId="0" applyBorder="1"/>
    <xf numFmtId="0" fontId="0" fillId="0" borderId="31" xfId="0" applyBorder="1" applyAlignment="1">
      <alignment horizontal="center" vertical="center"/>
    </xf>
    <xf numFmtId="0" fontId="0" fillId="0" borderId="31" xfId="0" applyBorder="1" applyAlignment="1">
      <alignment wrapText="1"/>
    </xf>
    <xf numFmtId="0" fontId="0" fillId="0" borderId="31" xfId="0" applyBorder="1" applyAlignment="1">
      <alignment horizontal="left" vertical="center" wrapText="1"/>
    </xf>
    <xf numFmtId="2" fontId="0" fillId="0" borderId="31" xfId="1" applyNumberFormat="1" applyFont="1" applyBorder="1"/>
    <xf numFmtId="0" fontId="5" fillId="0" borderId="31" xfId="0" applyFont="1" applyBorder="1" applyAlignment="1">
      <alignment wrapText="1"/>
    </xf>
    <xf numFmtId="0" fontId="0" fillId="0" borderId="31" xfId="0" applyBorder="1" applyAlignment="1">
      <alignment vertical="center" wrapText="1"/>
    </xf>
    <xf numFmtId="0" fontId="0" fillId="13" borderId="31" xfId="0" quotePrefix="1" applyFill="1" applyBorder="1" applyAlignment="1">
      <alignment horizontal="center" vertical="center"/>
    </xf>
    <xf numFmtId="2" fontId="0" fillId="13" borderId="31" xfId="0" applyNumberFormat="1" applyFill="1" applyBorder="1" applyAlignment="1">
      <alignment horizontal="center" vertical="center"/>
    </xf>
    <xf numFmtId="0" fontId="0" fillId="13" borderId="31" xfId="0" applyFill="1" applyBorder="1" applyAlignment="1">
      <alignment horizontal="center" vertical="center"/>
    </xf>
    <xf numFmtId="9" fontId="0" fillId="13" borderId="31" xfId="1" applyFont="1" applyFill="1" applyBorder="1" applyAlignment="1">
      <alignment horizontal="center" vertical="center"/>
    </xf>
    <xf numFmtId="0" fontId="0" fillId="0" borderId="31" xfId="0" applyBorder="1" applyAlignment="1">
      <alignment horizontal="left" vertical="center"/>
    </xf>
    <xf numFmtId="3" fontId="0" fillId="0" borderId="0" xfId="0" applyNumberFormat="1" applyAlignment="1">
      <alignment horizontal="center"/>
    </xf>
    <xf numFmtId="0" fontId="0" fillId="0" borderId="32" xfId="0" applyBorder="1"/>
    <xf numFmtId="1" fontId="0" fillId="0" borderId="0" xfId="0" applyNumberFormat="1" applyAlignment="1">
      <alignment horizontal="center" vertical="center"/>
    </xf>
    <xf numFmtId="0" fontId="0" fillId="5" borderId="5" xfId="0" applyFill="1" applyBorder="1" applyAlignment="1">
      <alignment horizontal="center" vertical="center" wrapText="1"/>
    </xf>
    <xf numFmtId="0" fontId="27" fillId="4" borderId="0" xfId="0" applyFont="1" applyFill="1" applyAlignment="1" applyProtection="1">
      <alignment wrapText="1"/>
      <protection hidden="1"/>
    </xf>
    <xf numFmtId="0" fontId="44" fillId="4" borderId="0" xfId="0" applyFont="1" applyFill="1" applyAlignment="1">
      <alignment horizontal="center" vertical="center"/>
    </xf>
    <xf numFmtId="0" fontId="44" fillId="4" borderId="0" xfId="0" applyFont="1" applyFill="1" applyAlignment="1" applyProtection="1">
      <alignment wrapText="1"/>
      <protection hidden="1"/>
    </xf>
    <xf numFmtId="0" fontId="44" fillId="4" borderId="0" xfId="0" applyFont="1" applyFill="1" applyAlignment="1" applyProtection="1">
      <alignment horizontal="left" wrapText="1"/>
      <protection hidden="1"/>
    </xf>
    <xf numFmtId="0" fontId="7" fillId="20" borderId="4" xfId="0" applyFont="1" applyFill="1" applyBorder="1" applyAlignment="1">
      <alignment horizontal="center" vertical="center" wrapText="1"/>
    </xf>
    <xf numFmtId="0" fontId="7" fillId="20" borderId="1" xfId="0" applyFont="1" applyFill="1" applyBorder="1" applyAlignment="1">
      <alignment horizontal="center" vertical="center"/>
    </xf>
    <xf numFmtId="0" fontId="7" fillId="20" borderId="4" xfId="0" applyFont="1" applyFill="1" applyBorder="1" applyAlignment="1">
      <alignment horizontal="center" vertical="center"/>
    </xf>
    <xf numFmtId="0" fontId="7" fillId="20" borderId="9" xfId="0" applyFont="1" applyFill="1" applyBorder="1" applyAlignment="1">
      <alignment horizontal="center" vertical="center"/>
    </xf>
    <xf numFmtId="0" fontId="0" fillId="21" borderId="4" xfId="0" applyFill="1" applyBorder="1" applyAlignment="1">
      <alignment horizontal="center" vertical="center"/>
    </xf>
    <xf numFmtId="0" fontId="7" fillId="21" borderId="6" xfId="0" applyFont="1" applyFill="1" applyBorder="1" applyAlignment="1">
      <alignment horizontal="center" vertical="center"/>
    </xf>
    <xf numFmtId="0" fontId="51" fillId="20" borderId="4" xfId="0" applyFont="1" applyFill="1" applyBorder="1" applyAlignment="1">
      <alignment horizontal="center" vertical="center" wrapText="1"/>
    </xf>
    <xf numFmtId="0" fontId="51" fillId="20" borderId="4" xfId="0" applyFont="1" applyFill="1" applyBorder="1" applyAlignment="1">
      <alignment horizontal="center" vertical="center"/>
    </xf>
    <xf numFmtId="174" fontId="0" fillId="21" borderId="4" xfId="4" applyNumberFormat="1" applyFont="1" applyFill="1" applyBorder="1" applyAlignment="1">
      <alignment horizontal="center" vertical="center"/>
    </xf>
    <xf numFmtId="174" fontId="5" fillId="0" borderId="4" xfId="4" applyNumberFormat="1" applyFont="1" applyBorder="1" applyAlignment="1">
      <alignment horizontal="center" vertical="center" wrapText="1"/>
    </xf>
    <xf numFmtId="0" fontId="54" fillId="0" borderId="0" xfId="0" applyFont="1"/>
    <xf numFmtId="0" fontId="56" fillId="0" borderId="0" xfId="0" applyFont="1"/>
    <xf numFmtId="0" fontId="0" fillId="7" borderId="0" xfId="0" applyFill="1"/>
    <xf numFmtId="0" fontId="0" fillId="0" borderId="0" xfId="0" quotePrefix="1"/>
    <xf numFmtId="0" fontId="57" fillId="0" borderId="0" xfId="0" applyFont="1"/>
    <xf numFmtId="0" fontId="58" fillId="0" borderId="0" xfId="0" applyFont="1"/>
    <xf numFmtId="0" fontId="59" fillId="0" borderId="31" xfId="0" applyFont="1" applyBorder="1"/>
    <xf numFmtId="0" fontId="0" fillId="0" borderId="0" xfId="0" applyAlignment="1">
      <alignment horizontal="right"/>
    </xf>
    <xf numFmtId="9" fontId="57" fillId="0" borderId="0" xfId="1" applyFont="1" applyAlignment="1">
      <alignment horizontal="center" vertical="center"/>
    </xf>
    <xf numFmtId="4" fontId="0" fillId="13" borderId="31" xfId="0" applyNumberFormat="1" applyFill="1" applyBorder="1" applyAlignment="1">
      <alignment horizontal="center" vertical="center"/>
    </xf>
    <xf numFmtId="4" fontId="59" fillId="13" borderId="31" xfId="0" applyNumberFormat="1" applyFont="1" applyFill="1" applyBorder="1" applyAlignment="1">
      <alignment horizontal="center" vertical="center"/>
    </xf>
    <xf numFmtId="4" fontId="59" fillId="13" borderId="31" xfId="1" applyNumberFormat="1" applyFont="1" applyFill="1" applyBorder="1" applyAlignment="1">
      <alignment horizontal="center" vertical="center"/>
    </xf>
    <xf numFmtId="4" fontId="0" fillId="0" borderId="0" xfId="0" applyNumberFormat="1"/>
    <xf numFmtId="4" fontId="0" fillId="0" borderId="31" xfId="0" applyNumberFormat="1" applyBorder="1"/>
    <xf numFmtId="4" fontId="1" fillId="13" borderId="31" xfId="1" applyNumberFormat="1" applyFont="1" applyFill="1" applyBorder="1" applyAlignment="1">
      <alignment horizontal="center" vertical="center"/>
    </xf>
    <xf numFmtId="4" fontId="0" fillId="0" borderId="31" xfId="0" applyNumberFormat="1" applyBorder="1" applyAlignment="1">
      <alignment horizontal="center" vertical="center"/>
    </xf>
    <xf numFmtId="4" fontId="0" fillId="0" borderId="31" xfId="1" applyNumberFormat="1" applyFont="1" applyBorder="1" applyAlignment="1">
      <alignment horizontal="center" vertical="center"/>
    </xf>
    <xf numFmtId="4" fontId="4" fillId="0" borderId="31" xfId="1" applyNumberFormat="1" applyFont="1" applyBorder="1" applyAlignment="1">
      <alignment horizontal="center" vertical="center"/>
    </xf>
    <xf numFmtId="9" fontId="1" fillId="0" borderId="39" xfId="1" applyFont="1" applyFill="1" applyBorder="1" applyAlignment="1">
      <alignment horizontal="center" vertical="center"/>
    </xf>
    <xf numFmtId="9" fontId="0" fillId="0" borderId="31" xfId="1" applyFont="1" applyBorder="1" applyAlignment="1">
      <alignment horizontal="center" vertical="center"/>
    </xf>
    <xf numFmtId="9" fontId="0" fillId="13" borderId="31" xfId="1" applyFont="1" applyFill="1" applyBorder="1" applyAlignment="1">
      <alignment horizontal="center"/>
    </xf>
    <xf numFmtId="0" fontId="0" fillId="0" borderId="33" xfId="0" applyBorder="1"/>
    <xf numFmtId="0" fontId="0" fillId="0" borderId="0" xfId="0" applyAlignment="1">
      <alignment horizontal="center"/>
    </xf>
    <xf numFmtId="0" fontId="63" fillId="0" borderId="0" xfId="0" applyFont="1"/>
    <xf numFmtId="164" fontId="0" fillId="0" borderId="0" xfId="0" applyNumberFormat="1"/>
    <xf numFmtId="0" fontId="63" fillId="0" borderId="31" xfId="0" applyFont="1" applyBorder="1"/>
    <xf numFmtId="0" fontId="0" fillId="0" borderId="11" xfId="0" applyBorder="1"/>
    <xf numFmtId="0" fontId="64" fillId="0" borderId="31" xfId="0" applyFont="1" applyBorder="1"/>
    <xf numFmtId="2" fontId="0" fillId="0" borderId="0" xfId="0" applyNumberFormat="1" applyAlignment="1">
      <alignment horizontal="left" vertical="center"/>
    </xf>
    <xf numFmtId="3" fontId="0" fillId="0" borderId="0" xfId="0" applyNumberFormat="1"/>
    <xf numFmtId="4" fontId="4" fillId="0" borderId="31" xfId="1" applyNumberFormat="1" applyFont="1" applyFill="1" applyBorder="1" applyAlignment="1">
      <alignment horizontal="center" vertical="center"/>
    </xf>
    <xf numFmtId="0" fontId="5" fillId="0" borderId="31" xfId="0" applyFont="1" applyBorder="1"/>
    <xf numFmtId="0" fontId="5" fillId="13" borderId="31" xfId="0" applyFont="1" applyFill="1" applyBorder="1" applyAlignment="1">
      <alignment horizontal="center" vertical="center"/>
    </xf>
    <xf numFmtId="0" fontId="0" fillId="0" borderId="3" xfId="0" applyBorder="1" applyAlignment="1">
      <alignment horizontal="center" vertical="center"/>
    </xf>
    <xf numFmtId="4" fontId="59" fillId="0" borderId="31" xfId="0" applyNumberFormat="1" applyFont="1" applyBorder="1" applyAlignment="1">
      <alignment horizontal="center" vertical="center"/>
    </xf>
    <xf numFmtId="0" fontId="0" fillId="0" borderId="34" xfId="0" applyBorder="1"/>
    <xf numFmtId="4" fontId="59" fillId="0" borderId="31" xfId="0" quotePrefix="1" applyNumberFormat="1" applyFont="1" applyBorder="1" applyAlignment="1">
      <alignment horizontal="left" vertical="center"/>
    </xf>
    <xf numFmtId="2" fontId="5" fillId="13" borderId="31" xfId="0" applyNumberFormat="1" applyFont="1" applyFill="1" applyBorder="1" applyAlignment="1">
      <alignment horizontal="center" vertical="center"/>
    </xf>
    <xf numFmtId="9" fontId="12" fillId="7" borderId="0" xfId="2" applyNumberFormat="1" applyFill="1" applyAlignment="1">
      <alignment horizontal="center"/>
    </xf>
    <xf numFmtId="1" fontId="12" fillId="7" borderId="0" xfId="2" applyNumberFormat="1" applyFill="1" applyAlignment="1">
      <alignment horizontal="center"/>
    </xf>
    <xf numFmtId="3" fontId="12" fillId="0" borderId="0" xfId="2" applyNumberFormat="1" applyAlignment="1" applyProtection="1">
      <alignment horizontal="center"/>
      <protection locked="0"/>
    </xf>
    <xf numFmtId="0" fontId="67" fillId="9" borderId="0" xfId="2" applyFont="1" applyFill="1" applyAlignment="1">
      <alignment horizontal="center"/>
    </xf>
    <xf numFmtId="168" fontId="12" fillId="9" borderId="0" xfId="3" applyNumberFormat="1" applyFont="1" applyFill="1" applyAlignment="1">
      <alignment horizontal="center"/>
    </xf>
    <xf numFmtId="168" fontId="0" fillId="9" borderId="0" xfId="3" applyNumberFormat="1" applyFont="1" applyFill="1" applyAlignment="1">
      <alignment horizontal="center"/>
    </xf>
    <xf numFmtId="165" fontId="0" fillId="9" borderId="0" xfId="3" applyNumberFormat="1" applyFont="1" applyFill="1" applyAlignment="1">
      <alignment horizontal="center"/>
    </xf>
    <xf numFmtId="168" fontId="0" fillId="9" borderId="26" xfId="3" applyNumberFormat="1" applyFont="1" applyFill="1" applyBorder="1" applyAlignment="1">
      <alignment horizontal="center"/>
    </xf>
    <xf numFmtId="168" fontId="0" fillId="0" borderId="26" xfId="3" applyNumberFormat="1" applyFont="1" applyBorder="1" applyAlignment="1">
      <alignment horizontal="center"/>
    </xf>
    <xf numFmtId="167" fontId="12" fillId="0" borderId="26" xfId="2" applyNumberFormat="1" applyBorder="1" applyAlignment="1">
      <alignment horizontal="center"/>
    </xf>
    <xf numFmtId="0" fontId="12" fillId="9" borderId="26" xfId="2" applyFill="1" applyBorder="1" applyAlignment="1">
      <alignment horizontal="right"/>
    </xf>
    <xf numFmtId="170" fontId="0" fillId="9" borderId="0" xfId="3" applyNumberFormat="1" applyFont="1" applyFill="1" applyAlignment="1">
      <alignment horizontal="center"/>
    </xf>
    <xf numFmtId="170" fontId="0" fillId="7" borderId="0" xfId="3" applyNumberFormat="1" applyFont="1" applyFill="1" applyAlignment="1">
      <alignment horizontal="center"/>
    </xf>
    <xf numFmtId="167" fontId="12" fillId="0" borderId="0" xfId="2" applyNumberFormat="1" applyAlignment="1">
      <alignment horizontal="center"/>
    </xf>
    <xf numFmtId="0" fontId="12" fillId="9" borderId="19" xfId="2" applyFill="1" applyBorder="1" applyAlignment="1">
      <alignment vertical="center"/>
    </xf>
    <xf numFmtId="2" fontId="13" fillId="9" borderId="23" xfId="3" applyNumberFormat="1" applyFont="1" applyFill="1" applyBorder="1" applyAlignment="1">
      <alignment horizontal="center"/>
    </xf>
    <xf numFmtId="167" fontId="12" fillId="0" borderId="0" xfId="2" applyNumberFormat="1" applyAlignment="1">
      <alignment horizontal="center" vertical="center"/>
    </xf>
    <xf numFmtId="0" fontId="12" fillId="9" borderId="0" xfId="2" applyFill="1" applyAlignment="1">
      <alignment horizontal="center" vertical="center"/>
    </xf>
    <xf numFmtId="168" fontId="12" fillId="0" borderId="0" xfId="2" applyNumberFormat="1" applyAlignment="1">
      <alignment horizontal="center"/>
    </xf>
    <xf numFmtId="2" fontId="13" fillId="9" borderId="22" xfId="3" applyNumberFormat="1" applyFont="1" applyFill="1" applyBorder="1" applyAlignment="1">
      <alignment horizontal="center"/>
    </xf>
    <xf numFmtId="0" fontId="12" fillId="5" borderId="0" xfId="2" applyFill="1" applyAlignment="1">
      <alignment horizontal="center" vertical="center"/>
    </xf>
    <xf numFmtId="167" fontId="12" fillId="9" borderId="0" xfId="2" applyNumberFormat="1" applyFill="1" applyAlignment="1">
      <alignment horizontal="center" vertical="center"/>
    </xf>
    <xf numFmtId="170" fontId="0" fillId="9" borderId="24" xfId="3" applyNumberFormat="1" applyFont="1" applyFill="1" applyBorder="1" applyAlignment="1">
      <alignment horizontal="center"/>
    </xf>
    <xf numFmtId="170" fontId="0" fillId="9" borderId="2" xfId="3" applyNumberFormat="1" applyFont="1" applyFill="1" applyBorder="1" applyAlignment="1">
      <alignment horizontal="center"/>
    </xf>
    <xf numFmtId="0" fontId="12" fillId="9" borderId="2" xfId="2" applyFill="1" applyBorder="1" applyAlignment="1">
      <alignment horizontal="right"/>
    </xf>
    <xf numFmtId="170" fontId="0" fillId="9" borderId="20" xfId="3" applyNumberFormat="1" applyFont="1" applyFill="1" applyBorder="1" applyAlignment="1">
      <alignment horizontal="center"/>
    </xf>
    <xf numFmtId="0" fontId="12" fillId="9" borderId="0" xfId="2" applyFill="1" applyAlignment="1">
      <alignment horizontal="right"/>
    </xf>
    <xf numFmtId="170" fontId="13" fillId="9" borderId="22" xfId="3" applyNumberFormat="1" applyFont="1" applyFill="1" applyBorder="1" applyAlignment="1">
      <alignment horizontal="center"/>
    </xf>
    <xf numFmtId="0" fontId="13" fillId="9" borderId="0" xfId="2" applyFont="1" applyFill="1" applyAlignment="1">
      <alignment horizontal="right"/>
    </xf>
    <xf numFmtId="10" fontId="13" fillId="9" borderId="22" xfId="3" applyNumberFormat="1" applyFont="1" applyFill="1" applyBorder="1" applyAlignment="1">
      <alignment horizontal="center"/>
    </xf>
    <xf numFmtId="10" fontId="0" fillId="9" borderId="0" xfId="3" applyNumberFormat="1" applyFont="1" applyFill="1" applyAlignment="1">
      <alignment horizontal="center"/>
    </xf>
    <xf numFmtId="9" fontId="13" fillId="9" borderId="20" xfId="3" applyFont="1" applyFill="1" applyBorder="1" applyAlignment="1">
      <alignment horizontal="center"/>
    </xf>
    <xf numFmtId="9" fontId="13" fillId="9" borderId="0" xfId="3" applyFont="1" applyFill="1" applyAlignment="1">
      <alignment horizontal="center"/>
    </xf>
    <xf numFmtId="170" fontId="13" fillId="9" borderId="0" xfId="3" applyNumberFormat="1" applyFont="1" applyFill="1" applyAlignment="1">
      <alignment horizontal="center"/>
    </xf>
    <xf numFmtId="0" fontId="13" fillId="9" borderId="13" xfId="2" applyFont="1" applyFill="1" applyBorder="1" applyAlignment="1">
      <alignment horizontal="center" wrapText="1"/>
    </xf>
    <xf numFmtId="167" fontId="13" fillId="0" borderId="20" xfId="2" applyNumberFormat="1" applyFont="1" applyBorder="1" applyAlignment="1">
      <alignment horizontal="center"/>
    </xf>
    <xf numFmtId="0" fontId="12" fillId="9" borderId="10" xfId="2" applyFill="1" applyBorder="1" applyAlignment="1">
      <alignment horizontal="center"/>
    </xf>
    <xf numFmtId="0" fontId="12" fillId="0" borderId="19" xfId="2" applyBorder="1"/>
    <xf numFmtId="0" fontId="12" fillId="9" borderId="6" xfId="2" applyFill="1" applyBorder="1" applyAlignment="1">
      <alignment horizontal="center"/>
    </xf>
    <xf numFmtId="0" fontId="13" fillId="0" borderId="19" xfId="2" applyFont="1" applyBorder="1"/>
    <xf numFmtId="170" fontId="17" fillId="9" borderId="4" xfId="3" applyNumberFormat="1" applyFont="1" applyFill="1" applyBorder="1" applyAlignment="1">
      <alignment horizontal="center"/>
    </xf>
    <xf numFmtId="3" fontId="12" fillId="9" borderId="15" xfId="2" applyNumberFormat="1" applyFill="1" applyBorder="1" applyAlignment="1">
      <alignment horizontal="center"/>
    </xf>
    <xf numFmtId="3" fontId="12" fillId="9" borderId="13" xfId="2" applyNumberFormat="1" applyFill="1" applyBorder="1" applyAlignment="1">
      <alignment horizontal="center"/>
    </xf>
    <xf numFmtId="0" fontId="12" fillId="9" borderId="0" xfId="2" applyFill="1" applyAlignment="1">
      <alignment horizontal="left" indent="1"/>
    </xf>
    <xf numFmtId="3" fontId="12" fillId="9" borderId="0" xfId="2" applyNumberFormat="1" applyFill="1" applyAlignment="1">
      <alignment horizontal="center"/>
    </xf>
    <xf numFmtId="3" fontId="12" fillId="9" borderId="11" xfId="2" applyNumberFormat="1" applyFill="1" applyBorder="1" applyAlignment="1">
      <alignment horizontal="center"/>
    </xf>
    <xf numFmtId="3" fontId="12" fillId="9" borderId="0" xfId="2" applyNumberFormat="1" applyFill="1"/>
    <xf numFmtId="3" fontId="12" fillId="9" borderId="11" xfId="2" applyNumberFormat="1" applyFill="1" applyBorder="1"/>
    <xf numFmtId="175" fontId="12" fillId="9" borderId="0" xfId="2" applyNumberFormat="1" applyFill="1" applyAlignment="1">
      <alignment horizontal="center"/>
    </xf>
    <xf numFmtId="175" fontId="12" fillId="9" borderId="11" xfId="2" applyNumberFormat="1" applyFill="1" applyBorder="1" applyAlignment="1">
      <alignment horizontal="center"/>
    </xf>
    <xf numFmtId="4" fontId="12" fillId="9" borderId="7" xfId="2" applyNumberFormat="1" applyFill="1" applyBorder="1" applyAlignment="1">
      <alignment horizontal="center"/>
    </xf>
    <xf numFmtId="4" fontId="12" fillId="9" borderId="6" xfId="2" applyNumberFormat="1" applyFill="1" applyBorder="1" applyAlignment="1">
      <alignment horizontal="center"/>
    </xf>
    <xf numFmtId="0" fontId="13" fillId="9" borderId="3" xfId="2" applyFont="1" applyFill="1" applyBorder="1"/>
    <xf numFmtId="0" fontId="13" fillId="9" borderId="2" xfId="2" applyFont="1" applyFill="1" applyBorder="1" applyAlignment="1">
      <alignment horizontal="center" vertical="center"/>
    </xf>
    <xf numFmtId="0" fontId="13" fillId="9" borderId="1" xfId="2" applyFont="1" applyFill="1" applyBorder="1" applyAlignment="1">
      <alignment horizontal="center" vertical="center"/>
    </xf>
    <xf numFmtId="4" fontId="12" fillId="9" borderId="0" xfId="2" applyNumberFormat="1" applyFill="1" applyAlignment="1">
      <alignment horizontal="center"/>
    </xf>
    <xf numFmtId="0" fontId="12" fillId="0" borderId="0" xfId="2" applyAlignment="1">
      <alignment horizontal="center"/>
    </xf>
    <xf numFmtId="0" fontId="13" fillId="20" borderId="0" xfId="2" applyFont="1" applyFill="1" applyAlignment="1" applyProtection="1">
      <alignment horizontal="center"/>
      <protection locked="0"/>
    </xf>
    <xf numFmtId="3" fontId="12" fillId="10" borderId="14" xfId="2" applyNumberFormat="1" applyFill="1" applyBorder="1" applyAlignment="1">
      <alignment horizontal="center"/>
    </xf>
    <xf numFmtId="3" fontId="67" fillId="10" borderId="3" xfId="2" applyNumberFormat="1" applyFont="1" applyFill="1" applyBorder="1" applyAlignment="1">
      <alignment horizontal="center"/>
    </xf>
    <xf numFmtId="3" fontId="12" fillId="10" borderId="15" xfId="2" applyNumberFormat="1" applyFill="1" applyBorder="1" applyAlignment="1">
      <alignment horizontal="center"/>
    </xf>
    <xf numFmtId="166" fontId="12" fillId="10" borderId="15" xfId="2" applyNumberFormat="1" applyFill="1" applyBorder="1" applyAlignment="1">
      <alignment horizontal="center"/>
    </xf>
    <xf numFmtId="2" fontId="12" fillId="10" borderId="13" xfId="2" applyNumberFormat="1" applyFill="1" applyBorder="1" applyAlignment="1">
      <alignment horizontal="center"/>
    </xf>
    <xf numFmtId="0" fontId="12" fillId="10" borderId="5" xfId="2" applyFill="1" applyBorder="1" applyAlignment="1">
      <alignment horizontal="center"/>
    </xf>
    <xf numFmtId="3" fontId="12" fillId="9" borderId="14" xfId="2" applyNumberFormat="1" applyFill="1" applyBorder="1" applyAlignment="1">
      <alignment horizontal="center"/>
    </xf>
    <xf numFmtId="167" fontId="12" fillId="0" borderId="13" xfId="2" applyNumberFormat="1" applyBorder="1" applyAlignment="1">
      <alignment horizontal="center"/>
    </xf>
    <xf numFmtId="0" fontId="12" fillId="23" borderId="13" xfId="2" applyFill="1" applyBorder="1" applyAlignment="1">
      <alignment horizontal="center"/>
    </xf>
    <xf numFmtId="1" fontId="12" fillId="9" borderId="14" xfId="2" applyNumberFormat="1" applyFill="1" applyBorder="1" applyAlignment="1">
      <alignment horizontal="center"/>
    </xf>
    <xf numFmtId="3" fontId="67" fillId="9" borderId="0" xfId="2" applyNumberFormat="1" applyFont="1" applyFill="1" applyAlignment="1">
      <alignment horizontal="center"/>
    </xf>
    <xf numFmtId="1" fontId="12" fillId="0" borderId="15" xfId="2" applyNumberFormat="1" applyBorder="1" applyAlignment="1">
      <alignment horizontal="center"/>
    </xf>
    <xf numFmtId="166" fontId="12" fillId="9" borderId="5" xfId="2" applyNumberFormat="1" applyFill="1" applyBorder="1" applyAlignment="1">
      <alignment horizontal="center"/>
    </xf>
    <xf numFmtId="3" fontId="12" fillId="9" borderId="12" xfId="2" applyNumberFormat="1" applyFill="1" applyBorder="1" applyAlignment="1">
      <alignment horizontal="center"/>
    </xf>
    <xf numFmtId="1" fontId="12" fillId="0" borderId="0" xfId="2" applyNumberFormat="1" applyAlignment="1">
      <alignment horizontal="center"/>
    </xf>
    <xf numFmtId="166" fontId="12" fillId="9" borderId="10" xfId="2" applyNumberFormat="1" applyFill="1" applyBorder="1" applyAlignment="1">
      <alignment horizontal="center"/>
    </xf>
    <xf numFmtId="0" fontId="12" fillId="23" borderId="11" xfId="2" applyFill="1" applyBorder="1" applyAlignment="1">
      <alignment horizontal="center"/>
    </xf>
    <xf numFmtId="3" fontId="12" fillId="0" borderId="12" xfId="2" applyNumberFormat="1" applyBorder="1" applyAlignment="1">
      <alignment horizontal="center"/>
    </xf>
    <xf numFmtId="167" fontId="12" fillId="7" borderId="0" xfId="2" applyNumberFormat="1" applyFill="1" applyAlignment="1">
      <alignment horizontal="center"/>
    </xf>
    <xf numFmtId="167" fontId="12" fillId="7" borderId="11" xfId="2" applyNumberFormat="1" applyFill="1" applyBorder="1" applyAlignment="1">
      <alignment horizontal="center"/>
    </xf>
    <xf numFmtId="3" fontId="21" fillId="9" borderId="12" xfId="2" applyNumberFormat="1" applyFont="1" applyFill="1" applyBorder="1" applyAlignment="1">
      <alignment horizontal="center"/>
    </xf>
    <xf numFmtId="166" fontId="12" fillId="9" borderId="9" xfId="2" applyNumberFormat="1" applyFill="1" applyBorder="1" applyAlignment="1">
      <alignment horizontal="center"/>
    </xf>
    <xf numFmtId="0" fontId="18" fillId="9" borderId="15" xfId="2" applyFont="1" applyFill="1" applyBorder="1" applyAlignment="1">
      <alignment horizontal="center" wrapText="1"/>
    </xf>
    <xf numFmtId="0" fontId="69" fillId="9" borderId="14" xfId="2" applyFont="1" applyFill="1" applyBorder="1" applyAlignment="1">
      <alignment horizontal="center"/>
    </xf>
    <xf numFmtId="0" fontId="17" fillId="9" borderId="14" xfId="2" applyFont="1" applyFill="1" applyBorder="1" applyAlignment="1">
      <alignment horizontal="center" wrapText="1"/>
    </xf>
    <xf numFmtId="0" fontId="17" fillId="0" borderId="13" xfId="2" applyFont="1" applyBorder="1" applyAlignment="1">
      <alignment horizontal="center"/>
    </xf>
    <xf numFmtId="0" fontId="18" fillId="9" borderId="10" xfId="2" applyFont="1" applyFill="1" applyBorder="1" applyAlignment="1">
      <alignment horizontal="center" vertical="center"/>
    </xf>
    <xf numFmtId="0" fontId="17" fillId="9" borderId="0" xfId="2" applyFont="1" applyFill="1" applyAlignment="1">
      <alignment vertical="center"/>
    </xf>
    <xf numFmtId="0" fontId="70"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0" borderId="11" xfId="2" applyFont="1" applyBorder="1" applyAlignment="1">
      <alignment horizontal="center" vertical="center" wrapText="1"/>
    </xf>
    <xf numFmtId="0" fontId="72" fillId="9" borderId="0" xfId="2" applyFont="1" applyFill="1"/>
    <xf numFmtId="168" fontId="12" fillId="13" borderId="0" xfId="2" applyNumberFormat="1" applyFill="1" applyAlignment="1">
      <alignment horizontal="center"/>
    </xf>
    <xf numFmtId="2" fontId="12" fillId="13" borderId="0" xfId="2" applyNumberFormat="1" applyFill="1" applyAlignment="1">
      <alignment horizontal="center"/>
    </xf>
    <xf numFmtId="9" fontId="0" fillId="13" borderId="0" xfId="0" applyNumberFormat="1" applyFill="1" applyAlignment="1">
      <alignment horizontal="center"/>
    </xf>
    <xf numFmtId="0" fontId="12" fillId="17" borderId="15" xfId="2" applyFill="1" applyBorder="1"/>
    <xf numFmtId="167" fontId="12" fillId="17" borderId="0" xfId="2" applyNumberFormat="1" applyFill="1" applyAlignment="1">
      <alignment horizontal="center"/>
    </xf>
    <xf numFmtId="167" fontId="12" fillId="17" borderId="26" xfId="2" applyNumberFormat="1" applyFill="1" applyBorder="1" applyAlignment="1">
      <alignment horizontal="center"/>
    </xf>
    <xf numFmtId="1" fontId="12" fillId="5" borderId="0" xfId="2" applyNumberFormat="1" applyFill="1" applyAlignment="1">
      <alignment horizontal="center"/>
    </xf>
    <xf numFmtId="3" fontId="12" fillId="5" borderId="12" xfId="2" applyNumberFormat="1" applyFill="1" applyBorder="1" applyAlignment="1">
      <alignment horizontal="center"/>
    </xf>
    <xf numFmtId="3" fontId="21" fillId="5" borderId="12" xfId="2" applyNumberFormat="1" applyFont="1" applyFill="1" applyBorder="1" applyAlignment="1">
      <alignment horizontal="center"/>
    </xf>
    <xf numFmtId="1" fontId="12" fillId="5" borderId="15" xfId="2" applyNumberFormat="1" applyFill="1" applyBorder="1" applyAlignment="1">
      <alignment horizontal="center"/>
    </xf>
    <xf numFmtId="3" fontId="12" fillId="5" borderId="14" xfId="2" applyNumberFormat="1" applyFill="1" applyBorder="1" applyAlignment="1">
      <alignment horizontal="center"/>
    </xf>
    <xf numFmtId="0" fontId="13" fillId="5" borderId="11" xfId="2" applyFont="1" applyFill="1" applyBorder="1" applyAlignment="1">
      <alignment horizontal="center" vertical="center" wrapText="1"/>
    </xf>
    <xf numFmtId="0" fontId="13" fillId="5" borderId="12" xfId="2" applyFont="1" applyFill="1" applyBorder="1" applyAlignment="1">
      <alignment horizontal="center" vertical="center" wrapText="1"/>
    </xf>
    <xf numFmtId="0" fontId="12" fillId="5" borderId="19" xfId="2" applyFill="1" applyBorder="1"/>
    <xf numFmtId="0" fontId="67" fillId="5" borderId="0" xfId="2" applyFont="1" applyFill="1" applyAlignment="1">
      <alignment horizontal="center"/>
    </xf>
    <xf numFmtId="3" fontId="12" fillId="5" borderId="0" xfId="2" applyNumberFormat="1" applyFill="1" applyAlignment="1" applyProtection="1">
      <alignment horizontal="center"/>
      <protection locked="0"/>
    </xf>
    <xf numFmtId="0" fontId="12" fillId="5" borderId="0" xfId="2" applyFill="1" applyAlignment="1">
      <alignment horizontal="center"/>
    </xf>
    <xf numFmtId="170" fontId="0" fillId="17" borderId="0" xfId="3" applyNumberFormat="1" applyFont="1" applyFill="1" applyAlignment="1">
      <alignment horizontal="center"/>
    </xf>
    <xf numFmtId="170" fontId="12" fillId="17" borderId="0" xfId="2" applyNumberFormat="1" applyFill="1" applyAlignment="1">
      <alignment horizontal="center"/>
    </xf>
    <xf numFmtId="168" fontId="12" fillId="17" borderId="0" xfId="3" applyNumberFormat="1" applyFont="1" applyFill="1" applyAlignment="1">
      <alignment horizontal="center"/>
    </xf>
    <xf numFmtId="3" fontId="12" fillId="17" borderId="0" xfId="2" applyNumberFormat="1" applyFill="1" applyAlignment="1" applyProtection="1">
      <alignment horizontal="center"/>
      <protection locked="0"/>
    </xf>
    <xf numFmtId="0" fontId="12" fillId="17" borderId="13" xfId="2" applyFill="1" applyBorder="1"/>
    <xf numFmtId="0" fontId="28" fillId="0" borderId="4" xfId="0" applyFont="1" applyBorder="1"/>
    <xf numFmtId="9" fontId="73" fillId="13" borderId="31" xfId="1" applyFont="1" applyFill="1" applyBorder="1" applyAlignment="1">
      <alignment horizontal="center" wrapText="1"/>
    </xf>
    <xf numFmtId="9" fontId="0" fillId="13" borderId="0" xfId="1" applyFont="1" applyFill="1"/>
    <xf numFmtId="170" fontId="0" fillId="13" borderId="0" xfId="1" applyNumberFormat="1" applyFont="1" applyFill="1"/>
    <xf numFmtId="170" fontId="0" fillId="13" borderId="0" xfId="1" applyNumberFormat="1" applyFont="1" applyFill="1" applyAlignment="1">
      <alignment horizontal="center"/>
    </xf>
    <xf numFmtId="0" fontId="0" fillId="13" borderId="0" xfId="0" applyFill="1" applyAlignment="1">
      <alignment horizontal="center"/>
    </xf>
    <xf numFmtId="0" fontId="4" fillId="0" borderId="0" xfId="0" applyFont="1" applyAlignment="1">
      <alignment horizontal="left" indent="1"/>
    </xf>
    <xf numFmtId="0" fontId="4" fillId="0" borderId="0" xfId="0" applyFont="1" applyAlignment="1">
      <alignment wrapText="1"/>
    </xf>
    <xf numFmtId="0" fontId="78" fillId="0" borderId="0" xfId="0" applyFont="1"/>
    <xf numFmtId="0" fontId="0" fillId="13" borderId="0" xfId="0" applyFill="1"/>
    <xf numFmtId="0" fontId="4" fillId="13" borderId="31" xfId="0" applyFont="1" applyFill="1" applyBorder="1" applyAlignment="1">
      <alignment horizontal="center" vertical="center"/>
    </xf>
    <xf numFmtId="0" fontId="0" fillId="14" borderId="0" xfId="0" applyFill="1"/>
    <xf numFmtId="3" fontId="0" fillId="13" borderId="0" xfId="0" applyNumberFormat="1" applyFill="1" applyAlignment="1">
      <alignment horizontal="center" vertical="center"/>
    </xf>
    <xf numFmtId="0" fontId="0" fillId="0" borderId="0" xfId="0" applyAlignment="1">
      <alignment horizontal="right" indent="1"/>
    </xf>
    <xf numFmtId="10" fontId="0" fillId="13" borderId="0" xfId="0" applyNumberFormat="1" applyFill="1"/>
    <xf numFmtId="0" fontId="0" fillId="0" borderId="0" xfId="0" applyAlignment="1">
      <alignment horizontal="left" indent="1"/>
    </xf>
    <xf numFmtId="2" fontId="0" fillId="0" borderId="43" xfId="0" applyNumberFormat="1" applyBorder="1" applyAlignment="1">
      <alignment horizontal="center" vertical="center" wrapText="1"/>
    </xf>
    <xf numFmtId="2" fontId="0" fillId="0" borderId="4" xfId="0" applyNumberFormat="1" applyBorder="1" applyAlignment="1">
      <alignment horizontal="center" vertical="center" wrapText="1"/>
    </xf>
    <xf numFmtId="0" fontId="5" fillId="0" borderId="1" xfId="0" applyFont="1" applyBorder="1"/>
    <xf numFmtId="9" fontId="5" fillId="0" borderId="4" xfId="1" applyFont="1" applyBorder="1" applyAlignment="1">
      <alignment horizontal="center" vertical="center"/>
    </xf>
    <xf numFmtId="170" fontId="0" fillId="0" borderId="43" xfId="1" applyNumberFormat="1" applyFont="1" applyBorder="1" applyAlignment="1">
      <alignment horizontal="center" vertical="center"/>
    </xf>
    <xf numFmtId="9" fontId="5" fillId="0" borderId="3" xfId="1" applyFont="1" applyBorder="1" applyAlignment="1">
      <alignment horizontal="center" vertical="center"/>
    </xf>
    <xf numFmtId="170" fontId="0" fillId="0" borderId="4" xfId="1" applyNumberFormat="1" applyFont="1" applyBorder="1" applyAlignment="1">
      <alignment horizontal="center" vertical="center"/>
    </xf>
    <xf numFmtId="0" fontId="5" fillId="0" borderId="41" xfId="0" applyFont="1" applyBorder="1"/>
    <xf numFmtId="9" fontId="5" fillId="0" borderId="40" xfId="1" applyFont="1" applyBorder="1" applyAlignment="1">
      <alignment horizontal="center" vertical="center"/>
    </xf>
    <xf numFmtId="170" fontId="0" fillId="13" borderId="44" xfId="1" applyNumberFormat="1" applyFont="1" applyFill="1" applyBorder="1" applyAlignment="1">
      <alignment horizontal="center" vertical="center"/>
    </xf>
    <xf numFmtId="9" fontId="5" fillId="0" borderId="42" xfId="1" applyFont="1" applyBorder="1" applyAlignment="1">
      <alignment horizontal="center" vertical="center"/>
    </xf>
    <xf numFmtId="170" fontId="0" fillId="13" borderId="40" xfId="1" applyNumberFormat="1" applyFont="1" applyFill="1" applyBorder="1" applyAlignment="1">
      <alignment horizontal="center" vertical="center"/>
    </xf>
    <xf numFmtId="170" fontId="0" fillId="13" borderId="43" xfId="1" applyNumberFormat="1" applyFont="1" applyFill="1" applyBorder="1" applyAlignment="1">
      <alignment horizontal="center" vertical="center"/>
    </xf>
    <xf numFmtId="9" fontId="5" fillId="0" borderId="45" xfId="1" applyFont="1" applyBorder="1" applyAlignment="1">
      <alignment horizontal="center" vertical="center"/>
    </xf>
    <xf numFmtId="170" fontId="0" fillId="13" borderId="4" xfId="1" applyNumberFormat="1" applyFont="1" applyFill="1" applyBorder="1" applyAlignment="1">
      <alignment horizontal="center" vertical="center"/>
    </xf>
    <xf numFmtId="4" fontId="4" fillId="13" borderId="0" xfId="0" applyNumberFormat="1" applyFont="1" applyFill="1" applyAlignment="1">
      <alignment horizontal="center"/>
    </xf>
    <xf numFmtId="3" fontId="0" fillId="13" borderId="0" xfId="0" applyNumberFormat="1" applyFill="1" applyAlignment="1">
      <alignment horizontal="center"/>
    </xf>
    <xf numFmtId="0" fontId="82" fillId="0" borderId="0" xfId="0" applyFont="1"/>
    <xf numFmtId="0" fontId="83" fillId="0" borderId="1" xfId="0" applyFont="1" applyBorder="1"/>
    <xf numFmtId="0" fontId="0" fillId="0" borderId="2" xfId="0" applyBorder="1"/>
    <xf numFmtId="10" fontId="83" fillId="13" borderId="2" xfId="0" applyNumberFormat="1" applyFont="1" applyFill="1" applyBorder="1" applyAlignment="1">
      <alignment horizontal="center"/>
    </xf>
    <xf numFmtId="0" fontId="4" fillId="0" borderId="49" xfId="0" applyFont="1" applyBorder="1" applyAlignment="1">
      <alignment horizontal="left" indent="1"/>
    </xf>
    <xf numFmtId="0" fontId="0" fillId="0" borderId="50" xfId="0" applyBorder="1"/>
    <xf numFmtId="10" fontId="4" fillId="13" borderId="50" xfId="1" applyNumberFormat="1" applyFont="1" applyFill="1" applyBorder="1" applyAlignment="1">
      <alignment horizontal="center"/>
    </xf>
    <xf numFmtId="10" fontId="4" fillId="13" borderId="51" xfId="1" applyNumberFormat="1" applyFont="1" applyFill="1" applyBorder="1" applyAlignment="1">
      <alignment horizontal="center"/>
    </xf>
    <xf numFmtId="10" fontId="4" fillId="0" borderId="0" xfId="0" applyNumberFormat="1" applyFont="1"/>
    <xf numFmtId="10" fontId="4" fillId="13" borderId="51" xfId="1" applyNumberFormat="1" applyFont="1" applyFill="1" applyBorder="1"/>
    <xf numFmtId="0" fontId="4" fillId="0" borderId="1" xfId="0" applyFont="1" applyBorder="1"/>
    <xf numFmtId="0" fontId="4" fillId="0" borderId="2" xfId="0" applyFont="1" applyBorder="1"/>
    <xf numFmtId="10" fontId="4" fillId="13" borderId="2" xfId="0" applyNumberFormat="1" applyFont="1" applyFill="1" applyBorder="1" applyAlignment="1">
      <alignment horizontal="center" vertical="center"/>
    </xf>
    <xf numFmtId="10" fontId="4" fillId="13" borderId="3" xfId="0" applyNumberFormat="1" applyFont="1" applyFill="1" applyBorder="1" applyAlignment="1">
      <alignment horizontal="center" vertical="center"/>
    </xf>
    <xf numFmtId="0" fontId="0" fillId="0" borderId="0" xfId="0" applyAlignment="1">
      <alignment horizontal="left" indent="2"/>
    </xf>
    <xf numFmtId="170" fontId="13" fillId="0" borderId="0" xfId="2" applyNumberFormat="1" applyFont="1" applyAlignment="1">
      <alignment horizontal="center"/>
    </xf>
    <xf numFmtId="4" fontId="5" fillId="13" borderId="31" xfId="0" applyNumberFormat="1" applyFont="1" applyFill="1" applyBorder="1" applyAlignment="1">
      <alignment horizontal="center" vertical="center"/>
    </xf>
    <xf numFmtId="1" fontId="17" fillId="9" borderId="0" xfId="2" applyNumberFormat="1" applyFont="1" applyFill="1"/>
    <xf numFmtId="170" fontId="12" fillId="9" borderId="0" xfId="2" applyNumberFormat="1" applyFill="1"/>
    <xf numFmtId="0" fontId="12" fillId="9" borderId="0" xfId="2" quotePrefix="1" applyFill="1"/>
    <xf numFmtId="10" fontId="12" fillId="9" borderId="0" xfId="2" applyNumberFormat="1" applyFill="1"/>
    <xf numFmtId="1" fontId="17" fillId="0" borderId="0" xfId="2" applyNumberFormat="1" applyFont="1"/>
    <xf numFmtId="10" fontId="17" fillId="7" borderId="52" xfId="2" applyNumberFormat="1" applyFont="1" applyFill="1" applyBorder="1"/>
    <xf numFmtId="1" fontId="17" fillId="9" borderId="3" xfId="2" applyNumberFormat="1" applyFont="1" applyFill="1" applyBorder="1"/>
    <xf numFmtId="10" fontId="12" fillId="13" borderId="12" xfId="1" applyNumberFormat="1" applyFont="1" applyFill="1" applyBorder="1"/>
    <xf numFmtId="10" fontId="12" fillId="9" borderId="12" xfId="1" applyNumberFormat="1" applyFont="1" applyFill="1" applyBorder="1"/>
    <xf numFmtId="10" fontId="12" fillId="9" borderId="14" xfId="1" applyNumberFormat="1" applyFont="1" applyFill="1" applyBorder="1"/>
    <xf numFmtId="0" fontId="17" fillId="9" borderId="1" xfId="2" applyFont="1" applyFill="1" applyBorder="1" applyAlignment="1">
      <alignment horizontal="center"/>
    </xf>
    <xf numFmtId="0" fontId="17" fillId="24" borderId="11" xfId="2" applyFont="1" applyFill="1" applyBorder="1" applyAlignment="1">
      <alignment horizontal="center"/>
    </xf>
    <xf numFmtId="0" fontId="12" fillId="24" borderId="11" xfId="2" applyFill="1" applyBorder="1" applyAlignment="1">
      <alignment horizontal="center"/>
    </xf>
    <xf numFmtId="1" fontId="17" fillId="24" borderId="12" xfId="2" applyNumberFormat="1" applyFont="1" applyFill="1" applyBorder="1"/>
    <xf numFmtId="1" fontId="13" fillId="0" borderId="2" xfId="2" applyNumberFormat="1" applyFont="1" applyBorder="1" applyAlignment="1">
      <alignment horizontal="center"/>
    </xf>
    <xf numFmtId="0" fontId="0" fillId="0" borderId="15" xfId="0" applyBorder="1"/>
    <xf numFmtId="3" fontId="0" fillId="13" borderId="0" xfId="0" applyNumberFormat="1" applyFill="1" applyAlignment="1">
      <alignment horizontal="center" vertical="center" wrapText="1"/>
    </xf>
    <xf numFmtId="0" fontId="4" fillId="13" borderId="0" xfId="0" applyFont="1" applyFill="1" applyAlignment="1">
      <alignment horizontal="center" vertical="center"/>
    </xf>
    <xf numFmtId="4" fontId="63" fillId="13" borderId="31" xfId="0" applyNumberFormat="1" applyFont="1" applyFill="1" applyBorder="1" applyAlignment="1">
      <alignment horizontal="center" vertical="center"/>
    </xf>
    <xf numFmtId="3" fontId="0" fillId="0" borderId="0" xfId="0" applyNumberFormat="1" applyAlignment="1">
      <alignment horizontal="center" vertical="center"/>
    </xf>
    <xf numFmtId="3" fontId="0" fillId="0" borderId="15" xfId="0" applyNumberFormat="1" applyBorder="1" applyAlignment="1">
      <alignment horizontal="center" vertical="center"/>
    </xf>
    <xf numFmtId="0" fontId="5" fillId="5" borderId="0" xfId="0" applyFont="1" applyFill="1"/>
    <xf numFmtId="0" fontId="85" fillId="5" borderId="0" xfId="0" applyFont="1" applyFill="1"/>
    <xf numFmtId="0" fontId="5" fillId="26" borderId="0" xfId="8" applyFont="1" applyFill="1"/>
    <xf numFmtId="0" fontId="7" fillId="26" borderId="0" xfId="8" applyFont="1" applyFill="1"/>
    <xf numFmtId="0" fontId="86" fillId="5" borderId="0" xfId="0" applyFont="1" applyFill="1"/>
    <xf numFmtId="0" fontId="0" fillId="5" borderId="0" xfId="0" applyFill="1" applyAlignment="1">
      <alignment horizontal="left" indent="1"/>
    </xf>
    <xf numFmtId="0" fontId="86" fillId="5" borderId="0" xfId="0" applyFont="1" applyFill="1" applyAlignment="1">
      <alignment horizontal="center"/>
    </xf>
    <xf numFmtId="0" fontId="5" fillId="26" borderId="0" xfId="8" applyFont="1" applyFill="1" applyAlignment="1">
      <alignment horizontal="left" indent="2"/>
    </xf>
    <xf numFmtId="0" fontId="0" fillId="5" borderId="0" xfId="0" applyFill="1" applyAlignment="1">
      <alignment horizontal="right" indent="1"/>
    </xf>
    <xf numFmtId="0" fontId="53" fillId="26" borderId="0" xfId="8" applyFont="1" applyFill="1" applyAlignment="1">
      <alignment horizontal="left" indent="2"/>
    </xf>
    <xf numFmtId="0" fontId="63" fillId="5" borderId="0" xfId="0" applyFont="1" applyFill="1"/>
    <xf numFmtId="0" fontId="0" fillId="5" borderId="0" xfId="0" applyFill="1" applyAlignment="1">
      <alignment wrapText="1"/>
    </xf>
    <xf numFmtId="0" fontId="5" fillId="5" borderId="0" xfId="0" quotePrefix="1" applyFont="1" applyFill="1"/>
    <xf numFmtId="0" fontId="0" fillId="5" borderId="0" xfId="0" applyFill="1" applyAlignment="1">
      <alignment horizontal="center"/>
    </xf>
    <xf numFmtId="0" fontId="0" fillId="5" borderId="6" xfId="0" applyFill="1" applyBorder="1" applyAlignment="1">
      <alignment horizontal="center"/>
    </xf>
    <xf numFmtId="0" fontId="0" fillId="5" borderId="11" xfId="0" applyFill="1" applyBorder="1" applyAlignment="1">
      <alignment horizontal="center"/>
    </xf>
    <xf numFmtId="0" fontId="0" fillId="5" borderId="13" xfId="0" applyFill="1" applyBorder="1" applyAlignment="1">
      <alignment horizontal="center"/>
    </xf>
    <xf numFmtId="0" fontId="0" fillId="5" borderId="0" xfId="0" applyFill="1" applyAlignment="1">
      <alignment horizontal="left"/>
    </xf>
    <xf numFmtId="10" fontId="0" fillId="5" borderId="0" xfId="0" applyNumberFormat="1" applyFill="1"/>
    <xf numFmtId="176" fontId="0" fillId="5" borderId="11" xfId="7" applyNumberFormat="1" applyFont="1" applyFill="1" applyBorder="1" applyAlignment="1">
      <alignment horizontal="center" vertical="center"/>
    </xf>
    <xf numFmtId="177" fontId="0" fillId="5" borderId="11" xfId="7" applyNumberFormat="1" applyFont="1" applyFill="1" applyBorder="1" applyAlignment="1">
      <alignment horizontal="center" vertical="center"/>
    </xf>
    <xf numFmtId="176" fontId="0" fillId="5" borderId="13" xfId="7" applyNumberFormat="1" applyFont="1" applyFill="1" applyBorder="1" applyAlignment="1">
      <alignment horizontal="center" vertical="center"/>
    </xf>
    <xf numFmtId="0" fontId="0" fillId="5" borderId="0" xfId="0" applyFill="1" applyAlignment="1">
      <alignment horizontal="right"/>
    </xf>
    <xf numFmtId="170" fontId="0" fillId="5" borderId="0" xfId="1" applyNumberFormat="1" applyFont="1" applyFill="1"/>
    <xf numFmtId="0" fontId="79" fillId="5" borderId="0" xfId="0" applyFont="1" applyFill="1"/>
    <xf numFmtId="0" fontId="2" fillId="27" borderId="1" xfId="0" applyFont="1" applyFill="1" applyBorder="1" applyAlignment="1">
      <alignment horizontal="center"/>
    </xf>
    <xf numFmtId="0" fontId="2" fillId="27" borderId="3" xfId="0" applyFont="1" applyFill="1" applyBorder="1" applyAlignment="1">
      <alignment horizontal="center"/>
    </xf>
    <xf numFmtId="0" fontId="57" fillId="5" borderId="0" xfId="0" applyFont="1" applyFill="1" applyAlignment="1">
      <alignment horizontal="right"/>
    </xf>
    <xf numFmtId="43" fontId="2" fillId="27" borderId="1" xfId="7" applyFont="1" applyFill="1" applyBorder="1" applyAlignment="1">
      <alignment horizontal="center" vertical="center"/>
    </xf>
    <xf numFmtId="0" fontId="2" fillId="27" borderId="2" xfId="0" applyFont="1" applyFill="1" applyBorder="1" applyAlignment="1">
      <alignment horizontal="center" vertical="center"/>
    </xf>
    <xf numFmtId="0" fontId="2" fillId="27" borderId="3" xfId="0" applyFont="1" applyFill="1" applyBorder="1" applyAlignment="1">
      <alignment horizontal="center" vertical="center"/>
    </xf>
    <xf numFmtId="0" fontId="3" fillId="5" borderId="0" xfId="0" applyFont="1" applyFill="1"/>
    <xf numFmtId="2" fontId="0" fillId="5" borderId="0" xfId="0" applyNumberFormat="1" applyFill="1" applyAlignment="1">
      <alignment horizontal="center"/>
    </xf>
    <xf numFmtId="0" fontId="2" fillId="5" borderId="0" xfId="0" applyFont="1" applyFill="1"/>
    <xf numFmtId="0" fontId="6" fillId="5" borderId="10" xfId="0" applyFont="1" applyFill="1" applyBorder="1"/>
    <xf numFmtId="0" fontId="87" fillId="5" borderId="0" xfId="0" applyFont="1" applyFill="1"/>
    <xf numFmtId="0" fontId="88" fillId="5" borderId="0" xfId="0" applyFont="1" applyFill="1"/>
    <xf numFmtId="0" fontId="0" fillId="5" borderId="54" xfId="0" applyFill="1" applyBorder="1"/>
    <xf numFmtId="0" fontId="0" fillId="5" borderId="59" xfId="0" applyFill="1" applyBorder="1"/>
    <xf numFmtId="0" fontId="5" fillId="5" borderId="0" xfId="0" applyFont="1" applyFill="1" applyAlignment="1">
      <alignment horizontal="left" vertical="center" wrapText="1"/>
    </xf>
    <xf numFmtId="0" fontId="0" fillId="5" borderId="61" xfId="0" applyFill="1" applyBorder="1"/>
    <xf numFmtId="170" fontId="0" fillId="5" borderId="62" xfId="1" applyNumberFormat="1" applyFont="1" applyFill="1" applyBorder="1"/>
    <xf numFmtId="0" fontId="0" fillId="5" borderId="62" xfId="0" applyFill="1" applyBorder="1"/>
    <xf numFmtId="0" fontId="0" fillId="5" borderId="63" xfId="0" applyFill="1" applyBorder="1"/>
    <xf numFmtId="0" fontId="0" fillId="5" borderId="64" xfId="0" applyFill="1" applyBorder="1"/>
    <xf numFmtId="170" fontId="0" fillId="5" borderId="65" xfId="1" applyNumberFormat="1" applyFont="1" applyFill="1" applyBorder="1"/>
    <xf numFmtId="0" fontId="0" fillId="5" borderId="65" xfId="0" applyFill="1" applyBorder="1"/>
    <xf numFmtId="0" fontId="0" fillId="5" borderId="66" xfId="0" applyFill="1" applyBorder="1"/>
    <xf numFmtId="168" fontId="0" fillId="5" borderId="0" xfId="0" applyNumberFormat="1" applyFill="1" applyAlignment="1">
      <alignment horizontal="center" vertical="center"/>
    </xf>
    <xf numFmtId="0" fontId="5" fillId="26" borderId="0" xfId="0" applyFont="1" applyFill="1"/>
    <xf numFmtId="0" fontId="5" fillId="4" borderId="0" xfId="0" applyFont="1" applyFill="1"/>
    <xf numFmtId="0" fontId="5" fillId="6" borderId="0" xfId="0" applyFont="1" applyFill="1"/>
    <xf numFmtId="10" fontId="0" fillId="5" borderId="0" xfId="1" applyNumberFormat="1" applyFont="1" applyFill="1" applyBorder="1" applyAlignment="1">
      <alignment horizontal="centerContinuous" vertical="center"/>
    </xf>
    <xf numFmtId="0" fontId="0" fillId="5" borderId="0" xfId="0" applyFill="1" applyAlignment="1">
      <alignment horizontal="centerContinuous"/>
    </xf>
    <xf numFmtId="0" fontId="81" fillId="5" borderId="0" xfId="0" applyFont="1" applyFill="1"/>
    <xf numFmtId="0" fontId="2" fillId="27" borderId="46" xfId="0" applyFont="1" applyFill="1" applyBorder="1" applyAlignment="1">
      <alignment horizontal="center"/>
    </xf>
    <xf numFmtId="0" fontId="2" fillId="27" borderId="47" xfId="0" applyFont="1" applyFill="1" applyBorder="1" applyAlignment="1">
      <alignment horizontal="center"/>
    </xf>
    <xf numFmtId="2" fontId="0" fillId="13" borderId="0" xfId="0" applyNumberFormat="1" applyFill="1" applyAlignment="1">
      <alignment horizontal="center"/>
    </xf>
    <xf numFmtId="168" fontId="0" fillId="13" borderId="0" xfId="0" applyNumberFormat="1" applyFill="1" applyAlignment="1">
      <alignment horizontal="center"/>
    </xf>
    <xf numFmtId="0" fontId="37" fillId="5" borderId="0" xfId="0" applyFont="1" applyFill="1"/>
    <xf numFmtId="0" fontId="0" fillId="5" borderId="0" xfId="0" applyFill="1" applyAlignment="1">
      <alignment horizontal="left" vertical="center"/>
    </xf>
    <xf numFmtId="0" fontId="0" fillId="5" borderId="0" xfId="0" applyFill="1" applyAlignment="1">
      <alignment horizontal="center" vertical="center"/>
    </xf>
    <xf numFmtId="0" fontId="25" fillId="5" borderId="0" xfId="0" applyFont="1" applyFill="1"/>
    <xf numFmtId="0" fontId="0" fillId="5" borderId="0" xfId="0" applyFill="1" applyAlignment="1">
      <alignment horizontal="right" vertical="center"/>
    </xf>
    <xf numFmtId="0" fontId="4" fillId="5" borderId="0" xfId="0" applyFont="1" applyFill="1"/>
    <xf numFmtId="9" fontId="0" fillId="5" borderId="0" xfId="0" applyNumberFormat="1" applyFill="1"/>
    <xf numFmtId="0" fontId="17" fillId="5" borderId="0" xfId="0" applyFont="1" applyFill="1"/>
    <xf numFmtId="0" fontId="0" fillId="5" borderId="67" xfId="0" applyFill="1" applyBorder="1"/>
    <xf numFmtId="170" fontId="0" fillId="5" borderId="0" xfId="1" applyNumberFormat="1" applyFont="1" applyFill="1" applyBorder="1"/>
    <xf numFmtId="0" fontId="0" fillId="5" borderId="68" xfId="0" applyFill="1" applyBorder="1"/>
    <xf numFmtId="44" fontId="5" fillId="5" borderId="0" xfId="4" applyFont="1" applyFill="1" applyBorder="1" applyAlignment="1">
      <alignment horizontal="center" vertical="center"/>
    </xf>
    <xf numFmtId="167" fontId="5" fillId="13" borderId="12" xfId="7" applyNumberFormat="1" applyFont="1" applyFill="1" applyBorder="1" applyAlignment="1">
      <alignment horizontal="center" vertical="center"/>
    </xf>
    <xf numFmtId="44" fontId="5" fillId="5" borderId="15" xfId="4" applyFont="1" applyFill="1" applyBorder="1" applyAlignment="1">
      <alignment horizontal="center" vertical="center"/>
    </xf>
    <xf numFmtId="167" fontId="5" fillId="13" borderId="14" xfId="7" applyNumberFormat="1" applyFont="1" applyFill="1" applyBorder="1" applyAlignment="1">
      <alignment horizontal="center" vertical="center"/>
    </xf>
    <xf numFmtId="0" fontId="5" fillId="13" borderId="0" xfId="0" applyFont="1" applyFill="1" applyAlignment="1">
      <alignment horizontal="center"/>
    </xf>
    <xf numFmtId="0" fontId="0" fillId="5" borderId="0" xfId="1" applyNumberFormat="1" applyFont="1" applyFill="1"/>
    <xf numFmtId="168" fontId="0" fillId="5" borderId="45" xfId="0" applyNumberFormat="1" applyFill="1" applyBorder="1" applyAlignment="1">
      <alignment horizontal="center"/>
    </xf>
    <xf numFmtId="168" fontId="0" fillId="5" borderId="48" xfId="0" applyNumberFormat="1" applyFill="1" applyBorder="1" applyAlignment="1">
      <alignment horizontal="center"/>
    </xf>
    <xf numFmtId="0" fontId="89" fillId="5" borderId="0" xfId="0" applyFont="1" applyFill="1" applyAlignment="1">
      <alignment horizontal="left" vertical="center"/>
    </xf>
    <xf numFmtId="166" fontId="0" fillId="13" borderId="0" xfId="0" applyNumberFormat="1" applyFill="1" applyAlignment="1">
      <alignment horizontal="center"/>
    </xf>
    <xf numFmtId="166" fontId="0" fillId="13" borderId="0" xfId="0" applyNumberFormat="1" applyFill="1"/>
    <xf numFmtId="166" fontId="0" fillId="13" borderId="0" xfId="0" quotePrefix="1" applyNumberFormat="1" applyFill="1"/>
    <xf numFmtId="0" fontId="5" fillId="13" borderId="43" xfId="0" applyFont="1" applyFill="1" applyBorder="1" applyAlignment="1">
      <alignment horizontal="center"/>
    </xf>
    <xf numFmtId="0" fontId="5" fillId="13" borderId="44" xfId="0" applyFont="1" applyFill="1" applyBorder="1" applyAlignment="1">
      <alignment horizontal="center"/>
    </xf>
    <xf numFmtId="9" fontId="0" fillId="0" borderId="0" xfId="0" applyNumberFormat="1"/>
    <xf numFmtId="16" fontId="0" fillId="0" borderId="0" xfId="0" applyNumberFormat="1"/>
    <xf numFmtId="17" fontId="0" fillId="0" borderId="0" xfId="0" applyNumberFormat="1"/>
    <xf numFmtId="2" fontId="5" fillId="13" borderId="0" xfId="0" applyNumberFormat="1" applyFont="1" applyFill="1" applyAlignment="1">
      <alignment horizontal="center"/>
    </xf>
    <xf numFmtId="10" fontId="0" fillId="13" borderId="0" xfId="1" applyNumberFormat="1" applyFont="1" applyFill="1" applyBorder="1" applyAlignment="1">
      <alignment horizontal="center"/>
    </xf>
    <xf numFmtId="0" fontId="5" fillId="13" borderId="0" xfId="0" applyFont="1" applyFill="1"/>
    <xf numFmtId="170" fontId="89" fillId="13" borderId="0" xfId="1" applyNumberFormat="1" applyFont="1" applyFill="1" applyAlignment="1">
      <alignment horizontal="center"/>
    </xf>
    <xf numFmtId="0" fontId="2" fillId="27" borderId="3" xfId="0" applyFont="1" applyFill="1" applyBorder="1" applyAlignment="1">
      <alignment horizontal="center" vertical="center" wrapText="1"/>
    </xf>
    <xf numFmtId="3" fontId="0" fillId="13" borderId="69" xfId="0" applyNumberFormat="1" applyFill="1" applyBorder="1" applyAlignment="1">
      <alignment horizontal="center" vertical="center"/>
    </xf>
    <xf numFmtId="3" fontId="0" fillId="13" borderId="34" xfId="0" applyNumberFormat="1" applyFill="1" applyBorder="1" applyAlignment="1">
      <alignment horizontal="center" vertical="center"/>
    </xf>
    <xf numFmtId="0" fontId="0" fillId="5" borderId="0" xfId="0" applyFill="1" applyAlignment="1">
      <alignment horizontal="left" vertical="top" wrapText="1"/>
    </xf>
    <xf numFmtId="0" fontId="92" fillId="0" borderId="0" xfId="0" applyFont="1" applyAlignment="1">
      <alignment vertical="top"/>
    </xf>
    <xf numFmtId="0" fontId="4" fillId="0" borderId="34" xfId="0" applyFont="1" applyBorder="1"/>
    <xf numFmtId="4" fontId="0" fillId="0" borderId="34" xfId="0" applyNumberFormat="1" applyBorder="1"/>
    <xf numFmtId="4" fontId="4" fillId="0" borderId="0" xfId="0" applyNumberFormat="1" applyFont="1" applyAlignment="1">
      <alignment horizontal="center" vertical="center"/>
    </xf>
    <xf numFmtId="172" fontId="0" fillId="0" borderId="0" xfId="0" applyNumberFormat="1" applyAlignment="1">
      <alignment horizontal="center" vertical="center"/>
    </xf>
    <xf numFmtId="0" fontId="4" fillId="28" borderId="0" xfId="0" applyFont="1" applyFill="1"/>
    <xf numFmtId="0" fontId="4" fillId="28" borderId="0" xfId="0" applyFont="1" applyFill="1" applyAlignment="1">
      <alignment horizontal="center" vertical="center"/>
    </xf>
    <xf numFmtId="0" fontId="4" fillId="28" borderId="31" xfId="0" applyFont="1" applyFill="1" applyBorder="1" applyAlignment="1">
      <alignment horizontal="center" vertical="center"/>
    </xf>
    <xf numFmtId="0" fontId="0" fillId="28" borderId="0" xfId="0" applyFill="1" applyAlignment="1">
      <alignment horizontal="left" vertical="center"/>
    </xf>
    <xf numFmtId="0" fontId="63" fillId="28" borderId="0" xfId="0" applyFont="1" applyFill="1"/>
    <xf numFmtId="0" fontId="0" fillId="0" borderId="0" xfId="0" applyAlignment="1">
      <alignment horizontal="left"/>
    </xf>
    <xf numFmtId="0" fontId="91" fillId="0" borderId="0" xfId="0" applyFont="1"/>
    <xf numFmtId="0" fontId="6" fillId="5" borderId="70" xfId="0" applyFont="1" applyFill="1" applyBorder="1"/>
    <xf numFmtId="0" fontId="0" fillId="5" borderId="71" xfId="0" applyFill="1" applyBorder="1"/>
    <xf numFmtId="0" fontId="0" fillId="5" borderId="72" xfId="0" applyFill="1" applyBorder="1"/>
    <xf numFmtId="0" fontId="6" fillId="5" borderId="72" xfId="0" applyFont="1" applyFill="1" applyBorder="1"/>
    <xf numFmtId="0" fontId="6" fillId="5" borderId="74" xfId="0" quotePrefix="1" applyFont="1" applyFill="1" applyBorder="1" applyAlignment="1">
      <alignment horizontal="center" vertical="center"/>
    </xf>
    <xf numFmtId="0" fontId="0" fillId="5" borderId="71" xfId="0" quotePrefix="1" applyFill="1" applyBorder="1" applyAlignment="1">
      <alignment horizontal="center"/>
    </xf>
    <xf numFmtId="0" fontId="2" fillId="27" borderId="4" xfId="0" applyFont="1" applyFill="1" applyBorder="1" applyAlignment="1">
      <alignment horizontal="center" vertical="center" wrapText="1"/>
    </xf>
    <xf numFmtId="0" fontId="6" fillId="5" borderId="12" xfId="0" quotePrefix="1" applyFont="1" applyFill="1" applyBorder="1" applyAlignment="1">
      <alignment horizontal="center" vertical="center"/>
    </xf>
    <xf numFmtId="0" fontId="95" fillId="0" borderId="0" xfId="0" applyFont="1"/>
    <xf numFmtId="0" fontId="0" fillId="0" borderId="15" xfId="0" applyBorder="1" applyAlignment="1">
      <alignment horizontal="left" indent="1"/>
    </xf>
    <xf numFmtId="3" fontId="0" fillId="0" borderId="31" xfId="1" applyNumberFormat="1" applyFont="1" applyBorder="1" applyAlignment="1">
      <alignment horizontal="center" vertical="center"/>
    </xf>
    <xf numFmtId="3" fontId="63" fillId="28" borderId="0" xfId="0" applyNumberFormat="1" applyFont="1" applyFill="1" applyAlignment="1">
      <alignment horizontal="center"/>
    </xf>
    <xf numFmtId="3" fontId="0" fillId="0" borderId="15" xfId="0" applyNumberFormat="1" applyBorder="1" applyAlignment="1">
      <alignment horizontal="center"/>
    </xf>
    <xf numFmtId="3" fontId="4" fillId="0" borderId="0" xfId="0" applyNumberFormat="1" applyFont="1" applyAlignment="1">
      <alignment horizontal="center" vertical="center"/>
    </xf>
    <xf numFmtId="0" fontId="4" fillId="0" borderId="0" xfId="0" applyFont="1" applyAlignment="1">
      <alignment horizontal="right" indent="2"/>
    </xf>
    <xf numFmtId="0" fontId="0" fillId="0" borderId="15" xfId="0" applyBorder="1" applyAlignment="1">
      <alignment horizontal="left" indent="2"/>
    </xf>
    <xf numFmtId="0" fontId="0" fillId="0" borderId="0" xfId="0" applyAlignment="1">
      <alignment horizontal="right" indent="2"/>
    </xf>
    <xf numFmtId="0" fontId="4" fillId="0" borderId="7" xfId="0" applyFont="1" applyBorder="1" applyAlignment="1">
      <alignment horizontal="right"/>
    </xf>
    <xf numFmtId="3" fontId="0" fillId="0" borderId="0" xfId="1" applyNumberFormat="1" applyFont="1" applyBorder="1" applyAlignment="1">
      <alignment horizontal="center" vertical="center"/>
    </xf>
    <xf numFmtId="0" fontId="4" fillId="0" borderId="15" xfId="0" applyFont="1" applyBorder="1"/>
    <xf numFmtId="10" fontId="4" fillId="13" borderId="15" xfId="0" applyNumberFormat="1" applyFont="1" applyFill="1" applyBorder="1" applyAlignment="1">
      <alignment horizontal="center"/>
    </xf>
    <xf numFmtId="10" fontId="0" fillId="0" borderId="0" xfId="0" applyNumberFormat="1" applyAlignment="1">
      <alignment horizontal="center"/>
    </xf>
    <xf numFmtId="0" fontId="4" fillId="26" borderId="0" xfId="0" applyFont="1" applyFill="1"/>
    <xf numFmtId="0" fontId="0" fillId="26" borderId="0" xfId="0" applyFill="1"/>
    <xf numFmtId="4" fontId="93" fillId="0" borderId="0" xfId="0" applyNumberFormat="1" applyFont="1" applyAlignment="1">
      <alignment horizontal="center"/>
    </xf>
    <xf numFmtId="0" fontId="93" fillId="0" borderId="0" xfId="0" applyFont="1" applyAlignment="1">
      <alignment horizontal="left"/>
    </xf>
    <xf numFmtId="4" fontId="0" fillId="0" borderId="0" xfId="0" applyNumberFormat="1" applyAlignment="1">
      <alignment horizontal="center" vertical="center"/>
    </xf>
    <xf numFmtId="4" fontId="0" fillId="13" borderId="0" xfId="1" applyNumberFormat="1" applyFont="1" applyFill="1" applyBorder="1" applyAlignment="1">
      <alignment horizontal="center" vertical="center"/>
    </xf>
    <xf numFmtId="0" fontId="0" fillId="13" borderId="0" xfId="0" applyFill="1" applyAlignment="1">
      <alignment horizontal="left" vertical="center"/>
    </xf>
    <xf numFmtId="0" fontId="93" fillId="0" borderId="0" xfId="0" applyFont="1" applyAlignment="1">
      <alignment horizontal="left" vertical="center"/>
    </xf>
    <xf numFmtId="4" fontId="0" fillId="13" borderId="0" xfId="0" applyNumberFormat="1" applyFill="1" applyAlignment="1">
      <alignment horizontal="center" vertical="center"/>
    </xf>
    <xf numFmtId="4" fontId="93" fillId="0" borderId="0" xfId="0" applyNumberFormat="1" applyFont="1" applyAlignment="1">
      <alignment horizontal="center" vertical="center"/>
    </xf>
    <xf numFmtId="4" fontId="94" fillId="0" borderId="0" xfId="1" applyNumberFormat="1" applyFont="1" applyBorder="1" applyAlignment="1">
      <alignment horizontal="center" vertical="center"/>
    </xf>
    <xf numFmtId="4" fontId="4" fillId="13" borderId="0" xfId="1" applyNumberFormat="1" applyFont="1" applyFill="1" applyBorder="1" applyAlignment="1">
      <alignment horizontal="center" vertical="center"/>
    </xf>
    <xf numFmtId="4" fontId="94" fillId="5" borderId="0" xfId="1" applyNumberFormat="1" applyFont="1" applyFill="1" applyBorder="1" applyAlignment="1">
      <alignment horizontal="center" vertical="center"/>
    </xf>
    <xf numFmtId="0" fontId="78" fillId="26" borderId="0" xfId="0" applyFont="1" applyFill="1"/>
    <xf numFmtId="0" fontId="78" fillId="26" borderId="0" xfId="0" applyFont="1" applyFill="1" applyAlignment="1">
      <alignment horizontal="left"/>
    </xf>
    <xf numFmtId="0" fontId="0" fillId="26" borderId="0" xfId="0" applyFill="1" applyAlignment="1">
      <alignment horizontal="center"/>
    </xf>
    <xf numFmtId="2" fontId="0" fillId="13" borderId="0" xfId="1" applyNumberFormat="1" applyFont="1" applyFill="1" applyBorder="1" applyAlignment="1">
      <alignment horizontal="center" vertical="center"/>
    </xf>
    <xf numFmtId="0" fontId="0" fillId="0" borderId="15" xfId="0" applyBorder="1" applyAlignment="1">
      <alignment horizontal="right"/>
    </xf>
    <xf numFmtId="170" fontId="0" fillId="13" borderId="15" xfId="1" applyNumberFormat="1" applyFont="1" applyFill="1" applyBorder="1" applyAlignment="1">
      <alignment horizontal="center"/>
    </xf>
    <xf numFmtId="170" fontId="0" fillId="13" borderId="15" xfId="0" applyNumberFormat="1" applyFill="1" applyBorder="1" applyAlignment="1">
      <alignment horizontal="center"/>
    </xf>
    <xf numFmtId="170" fontId="0" fillId="13" borderId="0" xfId="1" applyNumberFormat="1" applyFont="1" applyFill="1" applyBorder="1" applyAlignment="1">
      <alignment horizontal="center"/>
    </xf>
    <xf numFmtId="0" fontId="63" fillId="13" borderId="0" xfId="0" applyFont="1" applyFill="1" applyAlignment="1">
      <alignment horizontal="center"/>
    </xf>
    <xf numFmtId="0" fontId="63" fillId="0" borderId="0" xfId="0" applyFont="1" applyAlignment="1">
      <alignment horizontal="left" indent="1"/>
    </xf>
    <xf numFmtId="10" fontId="63" fillId="13" borderId="0" xfId="0" applyNumberFormat="1" applyFont="1" applyFill="1" applyAlignment="1">
      <alignment horizontal="center" vertical="center"/>
    </xf>
    <xf numFmtId="10" fontId="63" fillId="13" borderId="81" xfId="0" applyNumberFormat="1" applyFont="1" applyFill="1" applyBorder="1" applyAlignment="1">
      <alignment horizontal="center" vertical="center"/>
    </xf>
    <xf numFmtId="10" fontId="0" fillId="13" borderId="81" xfId="0" applyNumberFormat="1" applyFill="1" applyBorder="1" applyAlignment="1">
      <alignment horizontal="center"/>
    </xf>
    <xf numFmtId="0" fontId="4" fillId="5" borderId="31" xfId="0" applyFont="1" applyFill="1" applyBorder="1"/>
    <xf numFmtId="0" fontId="0" fillId="5" borderId="31" xfId="0" applyFill="1" applyBorder="1" applyAlignment="1">
      <alignment horizontal="left" vertical="center" wrapText="1"/>
    </xf>
    <xf numFmtId="0" fontId="0" fillId="5" borderId="31" xfId="0" applyFill="1" applyBorder="1" applyAlignment="1">
      <alignment vertical="center" wrapText="1"/>
    </xf>
    <xf numFmtId="10" fontId="13" fillId="10" borderId="3" xfId="3" applyNumberFormat="1" applyFont="1" applyFill="1" applyBorder="1" applyAlignment="1">
      <alignment horizontal="center"/>
    </xf>
    <xf numFmtId="0" fontId="11" fillId="0" borderId="0" xfId="0" applyFont="1"/>
    <xf numFmtId="0" fontId="36" fillId="0" borderId="0" xfId="6"/>
    <xf numFmtId="0" fontId="0" fillId="5" borderId="0" xfId="0" quotePrefix="1" applyFill="1"/>
    <xf numFmtId="10" fontId="4" fillId="13" borderId="31" xfId="1" applyNumberFormat="1" applyFont="1" applyFill="1" applyBorder="1" applyAlignment="1">
      <alignment horizontal="center" vertical="center"/>
    </xf>
    <xf numFmtId="168" fontId="5" fillId="13" borderId="43" xfId="0" applyNumberFormat="1" applyFont="1" applyFill="1" applyBorder="1" applyAlignment="1">
      <alignment horizontal="center"/>
    </xf>
    <xf numFmtId="178" fontId="0" fillId="0" borderId="0" xfId="0" applyNumberFormat="1" applyAlignment="1">
      <alignment horizontal="center"/>
    </xf>
    <xf numFmtId="1" fontId="0" fillId="0" borderId="0" xfId="0" applyNumberFormat="1" applyAlignment="1">
      <alignment horizontal="center"/>
    </xf>
    <xf numFmtId="0" fontId="74" fillId="0" borderId="0" xfId="0" applyFont="1" applyAlignment="1">
      <alignment horizontal="left" indent="1"/>
    </xf>
    <xf numFmtId="0" fontId="74" fillId="0" borderId="31" xfId="0" applyFont="1" applyBorder="1" applyAlignment="1">
      <alignment horizontal="left" indent="2"/>
    </xf>
    <xf numFmtId="0" fontId="74" fillId="0" borderId="0" xfId="0" applyFont="1" applyAlignment="1">
      <alignment horizontal="left" indent="2"/>
    </xf>
    <xf numFmtId="0" fontId="12" fillId="0" borderId="0" xfId="2"/>
    <xf numFmtId="0" fontId="12" fillId="5" borderId="0" xfId="2" applyFill="1"/>
    <xf numFmtId="168" fontId="17" fillId="13" borderId="0" xfId="2" applyNumberFormat="1" applyFont="1" applyFill="1"/>
    <xf numFmtId="0" fontId="101" fillId="9" borderId="0" xfId="2" applyFont="1" applyFill="1"/>
    <xf numFmtId="2" fontId="12" fillId="5" borderId="0" xfId="2" applyNumberFormat="1" applyFill="1"/>
    <xf numFmtId="10" fontId="12" fillId="5" borderId="0" xfId="1" applyNumberFormat="1" applyFont="1" applyFill="1" applyBorder="1"/>
    <xf numFmtId="0" fontId="63" fillId="0" borderId="0" xfId="0" applyFont="1" applyAlignment="1">
      <alignment horizontal="right"/>
    </xf>
    <xf numFmtId="168" fontId="0" fillId="0" borderId="45" xfId="0" applyNumberFormat="1" applyBorder="1" applyAlignment="1">
      <alignment horizontal="center"/>
    </xf>
    <xf numFmtId="0" fontId="0" fillId="5" borderId="0" xfId="0" applyFill="1" applyAlignment="1">
      <alignment vertical="center"/>
    </xf>
    <xf numFmtId="0" fontId="5" fillId="5" borderId="0" xfId="0" applyFont="1" applyFill="1" applyAlignment="1">
      <alignment horizontal="left" vertical="center"/>
    </xf>
    <xf numFmtId="3" fontId="0" fillId="5" borderId="4" xfId="0" applyNumberFormat="1" applyFill="1" applyBorder="1" applyAlignment="1">
      <alignment horizontal="center" vertical="center"/>
    </xf>
    <xf numFmtId="0" fontId="7" fillId="5" borderId="0" xfId="0" applyFont="1" applyFill="1" applyAlignment="1">
      <alignment horizontal="left" vertical="center" wrapText="1"/>
    </xf>
    <xf numFmtId="0" fontId="0" fillId="5" borderId="15" xfId="0" applyFill="1" applyBorder="1"/>
    <xf numFmtId="0" fontId="5" fillId="5" borderId="0" xfId="0" applyFont="1" applyFill="1" applyAlignment="1">
      <alignment horizontal="right" vertical="center" wrapText="1"/>
    </xf>
    <xf numFmtId="0" fontId="0" fillId="5" borderId="4" xfId="0" applyFill="1" applyBorder="1" applyAlignment="1">
      <alignment horizontal="center" vertical="center"/>
    </xf>
    <xf numFmtId="0" fontId="5" fillId="5" borderId="0" xfId="0" applyFont="1" applyFill="1" applyAlignment="1">
      <alignment horizontal="left" vertical="center" wrapText="1" indent="1"/>
    </xf>
    <xf numFmtId="0" fontId="105" fillId="5" borderId="0" xfId="0" applyFont="1" applyFill="1" applyAlignment="1">
      <alignment horizontal="left" vertical="center" wrapText="1" indent="1"/>
    </xf>
    <xf numFmtId="0" fontId="106" fillId="5" borderId="0" xfId="0" applyFont="1" applyFill="1" applyAlignment="1">
      <alignment horizontal="left" vertical="center" wrapText="1"/>
    </xf>
    <xf numFmtId="168" fontId="5" fillId="5" borderId="0" xfId="0" applyNumberFormat="1" applyFont="1" applyFill="1" applyAlignment="1">
      <alignment horizontal="left" vertical="center" wrapText="1"/>
    </xf>
    <xf numFmtId="0" fontId="3" fillId="5" borderId="0" xfId="0" applyFont="1" applyFill="1" applyAlignment="1">
      <alignment horizontal="left" vertical="center" wrapText="1"/>
    </xf>
    <xf numFmtId="1" fontId="4" fillId="0" borderId="0" xfId="0" applyNumberFormat="1" applyFont="1" applyAlignment="1">
      <alignment horizontal="center"/>
    </xf>
    <xf numFmtId="167" fontId="0" fillId="0" borderId="0" xfId="0" applyNumberFormat="1"/>
    <xf numFmtId="1" fontId="4" fillId="0" borderId="0" xfId="0" applyNumberFormat="1" applyFont="1" applyAlignment="1">
      <alignment horizontal="center" wrapText="1"/>
    </xf>
    <xf numFmtId="167" fontId="36" fillId="0" borderId="0" xfId="6" applyNumberFormat="1" applyProtection="1"/>
    <xf numFmtId="167" fontId="63" fillId="0" borderId="0" xfId="0" applyNumberFormat="1" applyFont="1"/>
    <xf numFmtId="179" fontId="63" fillId="30" borderId="0" xfId="0" quotePrefix="1" applyNumberFormat="1" applyFont="1" applyFill="1" applyAlignment="1" applyProtection="1">
      <alignment horizontal="left"/>
      <protection locked="0"/>
    </xf>
    <xf numFmtId="179" fontId="63" fillId="30" borderId="0" xfId="0" applyNumberFormat="1" applyFont="1" applyFill="1" applyAlignment="1" applyProtection="1">
      <alignment horizontal="left"/>
      <protection locked="0"/>
    </xf>
    <xf numFmtId="167" fontId="108" fillId="0" borderId="0" xfId="0" applyNumberFormat="1" applyFont="1"/>
    <xf numFmtId="167" fontId="63" fillId="30" borderId="0" xfId="0" applyNumberFormat="1" applyFont="1" applyFill="1" applyAlignment="1" applyProtection="1">
      <alignment horizontal="left"/>
      <protection locked="0"/>
    </xf>
    <xf numFmtId="0" fontId="4" fillId="0" borderId="0" xfId="0" applyFont="1" applyAlignment="1">
      <alignment horizontal="center"/>
    </xf>
    <xf numFmtId="168" fontId="0" fillId="0" borderId="0" xfId="0" applyNumberFormat="1"/>
    <xf numFmtId="0" fontId="74" fillId="0" borderId="0" xfId="0" applyFont="1"/>
    <xf numFmtId="166" fontId="0" fillId="0" borderId="0" xfId="0" applyNumberFormat="1"/>
    <xf numFmtId="11" fontId="0" fillId="0" borderId="0" xfId="0" applyNumberFormat="1"/>
    <xf numFmtId="181" fontId="0" fillId="0" borderId="0" xfId="0" applyNumberFormat="1"/>
    <xf numFmtId="168" fontId="0" fillId="30" borderId="0" xfId="0" applyNumberFormat="1" applyFill="1"/>
    <xf numFmtId="0" fontId="0" fillId="30" borderId="0" xfId="0" applyFill="1"/>
    <xf numFmtId="0" fontId="0" fillId="17" borderId="0" xfId="0" applyFill="1"/>
    <xf numFmtId="165" fontId="0" fillId="0" borderId="0" xfId="0" applyNumberFormat="1"/>
    <xf numFmtId="180" fontId="0" fillId="0" borderId="0" xfId="0" applyNumberFormat="1"/>
    <xf numFmtId="1" fontId="0" fillId="0" borderId="0" xfId="0" applyNumberFormat="1"/>
    <xf numFmtId="167" fontId="109" fillId="0" borderId="0" xfId="0" applyNumberFormat="1" applyFont="1" applyAlignment="1">
      <alignment vertical="center"/>
    </xf>
    <xf numFmtId="167" fontId="0" fillId="0" borderId="0" xfId="0" applyNumberFormat="1" applyAlignment="1">
      <alignment horizontal="right"/>
    </xf>
    <xf numFmtId="2" fontId="0" fillId="0" borderId="0" xfId="0" applyNumberFormat="1" applyAlignment="1">
      <alignment horizontal="right"/>
    </xf>
    <xf numFmtId="0" fontId="4" fillId="0" borderId="0" xfId="0" applyFont="1" applyAlignment="1">
      <alignment horizontal="left"/>
    </xf>
    <xf numFmtId="2" fontId="0" fillId="31" borderId="0" xfId="0" applyNumberFormat="1" applyFill="1"/>
    <xf numFmtId="0" fontId="2" fillId="0" borderId="0" xfId="0" applyFont="1"/>
    <xf numFmtId="0" fontId="5" fillId="5" borderId="0" xfId="0" applyFont="1" applyFill="1" applyAlignment="1">
      <alignment horizontal="center" vertical="center" wrapText="1"/>
    </xf>
    <xf numFmtId="2" fontId="5" fillId="13" borderId="0" xfId="0" applyNumberFormat="1" applyFont="1" applyFill="1" applyAlignment="1">
      <alignment horizontal="center" vertical="center" wrapText="1"/>
    </xf>
    <xf numFmtId="2" fontId="5" fillId="5" borderId="0" xfId="0" applyNumberFormat="1" applyFont="1" applyFill="1" applyAlignment="1">
      <alignment horizontal="center" vertical="center" wrapText="1"/>
    </xf>
    <xf numFmtId="167" fontId="5" fillId="13" borderId="0" xfId="0" applyNumberFormat="1" applyFont="1" applyFill="1" applyAlignment="1">
      <alignment horizontal="center" vertical="center" wrapText="1"/>
    </xf>
    <xf numFmtId="2" fontId="4" fillId="0" borderId="83" xfId="0" applyNumberFormat="1" applyFont="1" applyBorder="1"/>
    <xf numFmtId="2" fontId="0" fillId="0" borderId="84" xfId="0" applyNumberFormat="1" applyBorder="1"/>
    <xf numFmtId="0" fontId="0" fillId="0" borderId="84" xfId="0" applyBorder="1"/>
    <xf numFmtId="0" fontId="0" fillId="13" borderId="84" xfId="0" applyFill="1" applyBorder="1"/>
    <xf numFmtId="0" fontId="0" fillId="0" borderId="85" xfId="0" applyBorder="1"/>
    <xf numFmtId="165" fontId="0" fillId="0" borderId="25" xfId="0" applyNumberFormat="1" applyBorder="1"/>
    <xf numFmtId="165" fontId="0" fillId="0" borderId="26" xfId="0" applyNumberFormat="1" applyBorder="1"/>
    <xf numFmtId="0" fontId="0" fillId="0" borderId="26" xfId="0" applyBorder="1"/>
    <xf numFmtId="2" fontId="0" fillId="13" borderId="26" xfId="0" applyNumberFormat="1" applyFill="1" applyBorder="1"/>
    <xf numFmtId="0" fontId="0" fillId="0" borderId="27" xfId="0" applyBorder="1"/>
    <xf numFmtId="0" fontId="0" fillId="0" borderId="12" xfId="0" applyBorder="1"/>
    <xf numFmtId="0" fontId="0" fillId="0" borderId="14" xfId="0" applyBorder="1"/>
    <xf numFmtId="168" fontId="0" fillId="13" borderId="0" xfId="0" applyNumberFormat="1" applyFill="1"/>
    <xf numFmtId="168" fontId="4" fillId="30" borderId="0" xfId="0" applyNumberFormat="1" applyFont="1" applyFill="1"/>
    <xf numFmtId="0" fontId="0" fillId="0" borderId="86" xfId="0" applyBorder="1"/>
    <xf numFmtId="1" fontId="0" fillId="13" borderId="87" xfId="0" applyNumberFormat="1" applyFill="1" applyBorder="1" applyAlignment="1">
      <alignment horizontal="center"/>
    </xf>
    <xf numFmtId="0" fontId="34" fillId="26" borderId="0" xfId="0" applyFont="1" applyFill="1" applyAlignment="1">
      <alignment vertical="center"/>
    </xf>
    <xf numFmtId="0" fontId="4" fillId="26" borderId="0" xfId="0" applyFont="1" applyFill="1" applyAlignment="1">
      <alignment vertical="center"/>
    </xf>
    <xf numFmtId="0" fontId="4" fillId="27" borderId="0" xfId="0" applyFont="1" applyFill="1"/>
    <xf numFmtId="2" fontId="0" fillId="13" borderId="84" xfId="0" applyNumberFormat="1" applyFill="1" applyBorder="1"/>
    <xf numFmtId="168" fontId="111" fillId="0" borderId="0" xfId="0" applyNumberFormat="1" applyFont="1"/>
    <xf numFmtId="10" fontId="5" fillId="5" borderId="0" xfId="0" applyNumberFormat="1" applyFont="1" applyFill="1" applyAlignment="1">
      <alignment horizontal="left" vertical="center" wrapText="1"/>
    </xf>
    <xf numFmtId="2" fontId="89" fillId="5" borderId="0" xfId="0" applyNumberFormat="1" applyFont="1" applyFill="1" applyAlignment="1">
      <alignment horizontal="center" vertical="center" wrapText="1"/>
    </xf>
    <xf numFmtId="0" fontId="89" fillId="5" borderId="0" xfId="0" applyFont="1" applyFill="1" applyAlignment="1">
      <alignment horizontal="left" vertical="center" wrapText="1"/>
    </xf>
    <xf numFmtId="0" fontId="4" fillId="27" borderId="0" xfId="0" applyFont="1" applyFill="1" applyAlignment="1">
      <alignment horizontal="left" vertical="center"/>
    </xf>
    <xf numFmtId="2" fontId="7" fillId="27" borderId="0" xfId="0" applyNumberFormat="1" applyFont="1" applyFill="1" applyAlignment="1">
      <alignment horizontal="center" vertical="center" wrapText="1"/>
    </xf>
    <xf numFmtId="0" fontId="7" fillId="27" borderId="0" xfId="0" applyFont="1" applyFill="1" applyAlignment="1">
      <alignment horizontal="left" vertical="center"/>
    </xf>
    <xf numFmtId="0" fontId="4" fillId="5" borderId="0" xfId="0" applyFont="1" applyFill="1" applyAlignment="1">
      <alignment horizontal="left" vertical="center"/>
    </xf>
    <xf numFmtId="2" fontId="7" fillId="5" borderId="0" xfId="0" applyNumberFormat="1" applyFont="1" applyFill="1" applyAlignment="1">
      <alignment horizontal="center" vertical="center" wrapText="1"/>
    </xf>
    <xf numFmtId="0" fontId="7" fillId="5" borderId="0" xfId="0" applyFont="1" applyFill="1" applyAlignment="1">
      <alignment horizontal="left" vertical="center"/>
    </xf>
    <xf numFmtId="1" fontId="5" fillId="13" borderId="0" xfId="0" applyNumberFormat="1" applyFont="1" applyFill="1" applyAlignment="1">
      <alignment horizontal="center" vertical="center" wrapText="1"/>
    </xf>
    <xf numFmtId="2" fontId="7" fillId="5" borderId="4" xfId="0" applyNumberFormat="1" applyFont="1" applyFill="1" applyBorder="1" applyAlignment="1">
      <alignment horizontal="center" vertical="center" wrapText="1"/>
    </xf>
    <xf numFmtId="2" fontId="5" fillId="5" borderId="4" xfId="0" applyNumberFormat="1" applyFont="1" applyFill="1" applyBorder="1" applyAlignment="1">
      <alignment horizontal="center" vertical="center" wrapText="1"/>
    </xf>
    <xf numFmtId="0" fontId="5" fillId="13" borderId="0" xfId="0" applyFont="1" applyFill="1" applyAlignment="1">
      <alignment horizontal="left" vertical="center" wrapText="1"/>
    </xf>
    <xf numFmtId="0" fontId="4" fillId="5" borderId="4" xfId="0" applyFont="1" applyFill="1" applyBorder="1" applyAlignment="1">
      <alignment horizontal="center" vertical="center"/>
    </xf>
    <xf numFmtId="0" fontId="0" fillId="5" borderId="4" xfId="0" applyFill="1" applyBorder="1" applyAlignment="1">
      <alignment horizontal="center"/>
    </xf>
    <xf numFmtId="0" fontId="5" fillId="5" borderId="4" xfId="0" applyFont="1" applyFill="1" applyBorder="1" applyAlignment="1">
      <alignment horizontal="right" vertical="center" wrapText="1"/>
    </xf>
    <xf numFmtId="0" fontId="5" fillId="5" borderId="4" xfId="0" quotePrefix="1" applyFont="1" applyFill="1" applyBorder="1" applyAlignment="1">
      <alignment horizontal="right" vertical="center" wrapText="1"/>
    </xf>
    <xf numFmtId="0" fontId="0" fillId="5" borderId="4" xfId="0" applyFill="1" applyBorder="1"/>
    <xf numFmtId="0" fontId="0" fillId="5" borderId="4" xfId="0" applyFill="1" applyBorder="1" applyAlignment="1">
      <alignment horizontal="right" vertical="center"/>
    </xf>
    <xf numFmtId="0" fontId="63" fillId="0" borderId="0" xfId="0" applyFont="1" applyAlignment="1">
      <alignment horizontal="center"/>
    </xf>
    <xf numFmtId="0" fontId="0" fillId="0" borderId="13" xfId="0" applyBorder="1"/>
    <xf numFmtId="0" fontId="63" fillId="0" borderId="15" xfId="0" applyFont="1" applyBorder="1" applyAlignment="1">
      <alignment horizontal="center"/>
    </xf>
    <xf numFmtId="168" fontId="0" fillId="0" borderId="4" xfId="0" applyNumberFormat="1" applyBorder="1" applyAlignment="1">
      <alignment horizontal="center" vertical="center"/>
    </xf>
    <xf numFmtId="0" fontId="63" fillId="0" borderId="4" xfId="0" applyFont="1" applyBorder="1" applyAlignment="1">
      <alignment horizontal="center" vertical="center"/>
    </xf>
    <xf numFmtId="3" fontId="0" fillId="0" borderId="4" xfId="0" applyNumberFormat="1" applyBorder="1" applyAlignment="1">
      <alignment horizontal="center" vertical="center"/>
    </xf>
    <xf numFmtId="3" fontId="0" fillId="13" borderId="4" xfId="0" applyNumberFormat="1" applyFill="1" applyBorder="1" applyAlignment="1">
      <alignment horizontal="center" vertical="center"/>
    </xf>
    <xf numFmtId="0" fontId="0" fillId="6" borderId="0" xfId="0" applyFill="1" applyAlignment="1">
      <alignment horizontal="center" vertical="center"/>
    </xf>
    <xf numFmtId="0" fontId="0" fillId="6" borderId="0" xfId="0" applyFill="1"/>
    <xf numFmtId="0" fontId="63" fillId="6" borderId="0" xfId="0" applyFont="1" applyFill="1" applyAlignment="1">
      <alignment horizontal="center"/>
    </xf>
    <xf numFmtId="0" fontId="34" fillId="6" borderId="0" xfId="0" applyFont="1" applyFill="1"/>
    <xf numFmtId="0" fontId="47" fillId="26" borderId="4" xfId="0" applyFont="1" applyFill="1" applyBorder="1" applyAlignment="1">
      <alignment horizontal="center" vertical="center" wrapText="1"/>
    </xf>
    <xf numFmtId="0" fontId="4" fillId="26" borderId="5" xfId="0" applyFont="1" applyFill="1" applyBorder="1" applyAlignment="1">
      <alignment horizontal="center" vertical="center"/>
    </xf>
    <xf numFmtId="0" fontId="4" fillId="26" borderId="5" xfId="0" applyFont="1" applyFill="1" applyBorder="1" applyAlignment="1">
      <alignment horizontal="center"/>
    </xf>
    <xf numFmtId="0" fontId="4" fillId="26" borderId="14" xfId="0" applyFont="1" applyFill="1" applyBorder="1" applyAlignment="1">
      <alignment horizontal="center" vertical="center"/>
    </xf>
    <xf numFmtId="0" fontId="2" fillId="6" borderId="0" xfId="0" applyFont="1" applyFill="1"/>
    <xf numFmtId="3" fontId="0" fillId="0" borderId="3" xfId="0" applyNumberFormat="1" applyBorder="1" applyAlignment="1">
      <alignment horizontal="center" vertical="center"/>
    </xf>
    <xf numFmtId="1" fontId="0" fillId="0" borderId="43" xfId="0" applyNumberFormat="1" applyBorder="1" applyAlignment="1">
      <alignment horizontal="center" vertical="center"/>
    </xf>
    <xf numFmtId="3" fontId="0" fillId="0" borderId="43" xfId="0" applyNumberFormat="1" applyBorder="1" applyAlignment="1">
      <alignment horizontal="center" vertical="center"/>
    </xf>
    <xf numFmtId="2" fontId="5" fillId="0" borderId="0" xfId="0" applyNumberFormat="1" applyFont="1" applyAlignment="1">
      <alignment horizontal="center" vertical="center" wrapText="1"/>
    </xf>
    <xf numFmtId="2" fontId="4" fillId="0" borderId="84" xfId="0" applyNumberFormat="1" applyFont="1" applyBorder="1"/>
    <xf numFmtId="168" fontId="4" fillId="26" borderId="0" xfId="0" applyNumberFormat="1" applyFont="1" applyFill="1"/>
    <xf numFmtId="167" fontId="110" fillId="0" borderId="0" xfId="0" applyNumberFormat="1" applyFont="1"/>
    <xf numFmtId="0" fontId="4" fillId="28" borderId="12" xfId="0" applyFont="1" applyFill="1" applyBorder="1" applyAlignment="1">
      <alignment horizontal="center"/>
    </xf>
    <xf numFmtId="0" fontId="4" fillId="28" borderId="15" xfId="0" applyFont="1" applyFill="1" applyBorder="1"/>
    <xf numFmtId="167" fontId="110" fillId="0" borderId="0" xfId="0" applyNumberFormat="1" applyFont="1" applyAlignment="1">
      <alignment horizontal="left"/>
    </xf>
    <xf numFmtId="168" fontId="4" fillId="26" borderId="0" xfId="0" applyNumberFormat="1" applyFont="1" applyFill="1" applyAlignment="1">
      <alignment vertical="center"/>
    </xf>
    <xf numFmtId="1" fontId="4" fillId="28" borderId="12" xfId="0" applyNumberFormat="1" applyFont="1" applyFill="1" applyBorder="1" applyAlignment="1">
      <alignment horizontal="center"/>
    </xf>
    <xf numFmtId="0" fontId="63" fillId="5" borderId="0" xfId="0" quotePrefix="1" applyFont="1" applyFill="1"/>
    <xf numFmtId="1" fontId="0" fillId="0" borderId="4" xfId="0" applyNumberFormat="1" applyBorder="1" applyAlignment="1">
      <alignment horizontal="center"/>
    </xf>
    <xf numFmtId="165" fontId="0" fillId="0" borderId="4" xfId="0" applyNumberFormat="1" applyBorder="1"/>
    <xf numFmtId="166" fontId="0" fillId="0" borderId="4" xfId="0" applyNumberFormat="1" applyBorder="1"/>
    <xf numFmtId="2" fontId="0" fillId="0" borderId="4" xfId="0" applyNumberFormat="1" applyBorder="1"/>
    <xf numFmtId="167" fontId="0" fillId="0" borderId="4" xfId="0" applyNumberFormat="1" applyBorder="1"/>
    <xf numFmtId="180" fontId="0" fillId="0" borderId="4" xfId="0" applyNumberFormat="1" applyBorder="1"/>
    <xf numFmtId="0" fontId="4" fillId="29" borderId="9" xfId="0" applyFont="1" applyFill="1" applyBorder="1" applyAlignment="1">
      <alignment horizontal="center" vertical="center"/>
    </xf>
    <xf numFmtId="0" fontId="4" fillId="29" borderId="5" xfId="0" applyFont="1" applyFill="1" applyBorder="1" applyAlignment="1">
      <alignment horizontal="center" vertical="center"/>
    </xf>
    <xf numFmtId="0" fontId="4" fillId="29" borderId="5" xfId="0" applyFont="1" applyFill="1" applyBorder="1" applyAlignment="1">
      <alignment horizontal="center"/>
    </xf>
    <xf numFmtId="3" fontId="0" fillId="0" borderId="3" xfId="0" applyNumberFormat="1" applyBorder="1" applyAlignment="1">
      <alignment horizontal="centerContinuous" vertical="distributed"/>
    </xf>
    <xf numFmtId="0" fontId="0" fillId="0" borderId="4" xfId="0" applyBorder="1" applyAlignment="1">
      <alignment horizontal="centerContinuous" vertical="distributed"/>
    </xf>
    <xf numFmtId="1" fontId="0" fillId="0" borderId="4" xfId="0" applyNumberFormat="1" applyBorder="1" applyAlignment="1">
      <alignment horizontal="centerContinuous" vertical="distributed"/>
    </xf>
    <xf numFmtId="0" fontId="0" fillId="0" borderId="43" xfId="0" applyBorder="1" applyAlignment="1">
      <alignment horizontal="centerContinuous"/>
    </xf>
    <xf numFmtId="1" fontId="0" fillId="0" borderId="4" xfId="0" applyNumberFormat="1" applyBorder="1"/>
    <xf numFmtId="0" fontId="0" fillId="0" borderId="4" xfId="0" applyBorder="1" applyAlignment="1">
      <alignment horizontal="center"/>
    </xf>
    <xf numFmtId="1" fontId="0" fillId="13" borderId="86" xfId="0" applyNumberFormat="1" applyFill="1" applyBorder="1" applyAlignment="1">
      <alignment horizontal="center"/>
    </xf>
    <xf numFmtId="1" fontId="0" fillId="13" borderId="88" xfId="0" applyNumberFormat="1" applyFill="1" applyBorder="1" applyAlignment="1">
      <alignment horizontal="center"/>
    </xf>
    <xf numFmtId="1" fontId="0" fillId="0" borderId="4" xfId="0" applyNumberFormat="1" applyBorder="1" applyAlignment="1">
      <alignment horizontal="centerContinuous"/>
    </xf>
    <xf numFmtId="165" fontId="0" fillId="0" borderId="26" xfId="0" quotePrefix="1" applyNumberFormat="1" applyBorder="1"/>
    <xf numFmtId="0" fontId="4" fillId="15" borderId="9" xfId="0" applyFont="1" applyFill="1" applyBorder="1" applyAlignment="1">
      <alignment horizontal="center" vertical="center"/>
    </xf>
    <xf numFmtId="0" fontId="4" fillId="15" borderId="5" xfId="0" applyFont="1" applyFill="1" applyBorder="1" applyAlignment="1">
      <alignment horizontal="center" vertical="center"/>
    </xf>
    <xf numFmtId="0" fontId="4" fillId="15" borderId="5" xfId="0" applyFont="1" applyFill="1" applyBorder="1" applyAlignment="1">
      <alignment horizontal="center"/>
    </xf>
    <xf numFmtId="168" fontId="0" fillId="0" borderId="0" xfId="0" applyNumberFormat="1" applyAlignment="1">
      <alignment horizontal="center"/>
    </xf>
    <xf numFmtId="168" fontId="0" fillId="0" borderId="12" xfId="0" applyNumberFormat="1" applyBorder="1" applyAlignment="1">
      <alignment horizontal="center"/>
    </xf>
    <xf numFmtId="0" fontId="5" fillId="5" borderId="0" xfId="0" applyFont="1" applyFill="1" applyAlignment="1">
      <alignment horizontal="left" vertical="center" indent="1"/>
    </xf>
    <xf numFmtId="0" fontId="4" fillId="0" borderId="0" xfId="0" applyFont="1" applyAlignment="1">
      <alignment horizontal="right" vertical="center" textRotation="90" wrapText="1"/>
    </xf>
    <xf numFmtId="0" fontId="4" fillId="0" borderId="0" xfId="0" applyFont="1" applyAlignment="1">
      <alignment horizontal="center" vertical="center" textRotation="90" wrapText="1"/>
    </xf>
    <xf numFmtId="1" fontId="0" fillId="0" borderId="0" xfId="0" applyNumberFormat="1" applyAlignment="1">
      <alignment horizontal="centerContinuous"/>
    </xf>
    <xf numFmtId="2" fontId="0" fillId="0" borderId="12" xfId="0" applyNumberFormat="1" applyBorder="1"/>
    <xf numFmtId="0" fontId="0" fillId="5" borderId="11" xfId="0" applyFill="1" applyBorder="1"/>
    <xf numFmtId="0" fontId="0" fillId="5" borderId="13" xfId="0" applyFill="1" applyBorder="1"/>
    <xf numFmtId="0" fontId="0" fillId="5" borderId="0" xfId="0" applyFill="1" applyAlignment="1">
      <alignment horizontal="left" indent="2"/>
    </xf>
    <xf numFmtId="0" fontId="5" fillId="5" borderId="0" xfId="0" applyFont="1" applyFill="1" applyAlignment="1">
      <alignment horizontal="left" indent="1"/>
    </xf>
    <xf numFmtId="182" fontId="0" fillId="5" borderId="0" xfId="0" applyNumberFormat="1" applyFill="1" applyAlignment="1">
      <alignment horizontal="center"/>
    </xf>
    <xf numFmtId="0" fontId="0" fillId="5" borderId="7" xfId="0" applyFill="1" applyBorder="1"/>
    <xf numFmtId="0" fontId="5" fillId="5" borderId="7" xfId="0" applyFont="1" applyFill="1" applyBorder="1"/>
    <xf numFmtId="0" fontId="5" fillId="5" borderId="8" xfId="0" applyFont="1" applyFill="1" applyBorder="1"/>
    <xf numFmtId="0" fontId="5" fillId="5" borderId="11" xfId="0" applyFont="1" applyFill="1" applyBorder="1"/>
    <xf numFmtId="0" fontId="5" fillId="5" borderId="12" xfId="0" applyFont="1" applyFill="1" applyBorder="1"/>
    <xf numFmtId="0" fontId="5" fillId="5" borderId="15" xfId="0" applyFont="1" applyFill="1" applyBorder="1"/>
    <xf numFmtId="0" fontId="5" fillId="5" borderId="14" xfId="0" applyFont="1" applyFill="1" applyBorder="1"/>
    <xf numFmtId="0" fontId="4" fillId="5" borderId="6" xfId="0" applyFont="1" applyFill="1" applyBorder="1"/>
    <xf numFmtId="9" fontId="57" fillId="0" borderId="39" xfId="1" applyFont="1" applyFill="1" applyBorder="1" applyAlignment="1">
      <alignment horizontal="center" vertical="center"/>
    </xf>
    <xf numFmtId="174" fontId="0" fillId="13" borderId="4" xfId="4" applyNumberFormat="1" applyFont="1" applyFill="1" applyBorder="1" applyAlignment="1">
      <alignment horizontal="center" vertical="center"/>
    </xf>
    <xf numFmtId="0" fontId="0" fillId="0" borderId="89" xfId="0" applyBorder="1" applyAlignment="1">
      <alignment horizontal="center" wrapText="1"/>
    </xf>
    <xf numFmtId="0" fontId="0" fillId="0" borderId="90" xfId="0" applyBorder="1" applyAlignment="1">
      <alignment horizontal="center"/>
    </xf>
    <xf numFmtId="0" fontId="0" fillId="0" borderId="11" xfId="0" applyBorder="1" applyAlignment="1">
      <alignment horizontal="center"/>
    </xf>
    <xf numFmtId="174" fontId="0" fillId="0" borderId="12" xfId="0" applyNumberFormat="1" applyBorder="1" applyAlignment="1">
      <alignment horizontal="center"/>
    </xf>
    <xf numFmtId="0" fontId="0" fillId="0" borderId="13" xfId="0" applyBorder="1" applyAlignment="1">
      <alignment horizontal="center"/>
    </xf>
    <xf numFmtId="174" fontId="0" fillId="0" borderId="14" xfId="0" applyNumberFormat="1" applyBorder="1" applyAlignment="1">
      <alignment horizontal="center"/>
    </xf>
    <xf numFmtId="0" fontId="0" fillId="0" borderId="12" xfId="4" applyNumberFormat="1" applyFont="1" applyBorder="1" applyAlignment="1">
      <alignment horizontal="center"/>
    </xf>
    <xf numFmtId="0" fontId="0" fillId="0" borderId="14" xfId="4" applyNumberFormat="1" applyFont="1" applyBorder="1" applyAlignment="1">
      <alignment horizontal="center"/>
    </xf>
    <xf numFmtId="0" fontId="0" fillId="13" borderId="4" xfId="0" applyFill="1" applyBorder="1"/>
    <xf numFmtId="0" fontId="85" fillId="0" borderId="0" xfId="0" applyFont="1"/>
    <xf numFmtId="0" fontId="63" fillId="5" borderId="0" xfId="0" applyFont="1" applyFill="1" applyAlignment="1">
      <alignment horizontal="center"/>
    </xf>
    <xf numFmtId="0" fontId="64" fillId="5" borderId="0" xfId="0" applyFont="1" applyFill="1" applyAlignment="1">
      <alignment horizontal="right"/>
    </xf>
    <xf numFmtId="0" fontId="115" fillId="5" borderId="0" xfId="0" applyFont="1" applyFill="1" applyAlignment="1">
      <alignment horizontal="right"/>
    </xf>
    <xf numFmtId="1" fontId="0" fillId="5" borderId="0" xfId="0" applyNumberFormat="1" applyFill="1"/>
    <xf numFmtId="167" fontId="85" fillId="0" borderId="0" xfId="0" applyNumberFormat="1" applyFont="1"/>
    <xf numFmtId="0" fontId="53" fillId="5" borderId="0" xfId="0" applyFont="1" applyFill="1" applyAlignment="1">
      <alignment horizontal="left"/>
    </xf>
    <xf numFmtId="164" fontId="0" fillId="5" borderId="0" xfId="0" applyNumberFormat="1" applyFill="1"/>
    <xf numFmtId="0" fontId="11" fillId="5" borderId="0" xfId="0" applyFont="1" applyFill="1" applyAlignment="1">
      <alignment wrapText="1"/>
    </xf>
    <xf numFmtId="169" fontId="0" fillId="5" borderId="0" xfId="1" applyNumberFormat="1" applyFont="1" applyFill="1"/>
    <xf numFmtId="0" fontId="11" fillId="5" borderId="0" xfId="0" applyFont="1" applyFill="1"/>
    <xf numFmtId="0" fontId="25" fillId="5" borderId="6" xfId="0" applyFont="1" applyFill="1" applyBorder="1"/>
    <xf numFmtId="0" fontId="25" fillId="5" borderId="8" xfId="0" applyFont="1" applyFill="1" applyBorder="1" applyAlignment="1">
      <alignment horizontal="center"/>
    </xf>
    <xf numFmtId="0" fontId="25" fillId="5" borderId="11" xfId="0" applyFont="1" applyFill="1" applyBorder="1"/>
    <xf numFmtId="0" fontId="25" fillId="5" borderId="12" xfId="0" applyFont="1" applyFill="1" applyBorder="1" applyAlignment="1">
      <alignment horizontal="center"/>
    </xf>
    <xf numFmtId="0" fontId="25" fillId="5" borderId="13" xfId="0" applyFont="1" applyFill="1" applyBorder="1"/>
    <xf numFmtId="0" fontId="25" fillId="5" borderId="14" xfId="0" applyFont="1" applyFill="1" applyBorder="1" applyAlignment="1">
      <alignment horizontal="center"/>
    </xf>
    <xf numFmtId="0" fontId="62" fillId="5" borderId="0" xfId="0" applyFont="1" applyFill="1"/>
    <xf numFmtId="0" fontId="0" fillId="5" borderId="9" xfId="0" applyFill="1" applyBorder="1" applyAlignment="1">
      <alignment horizontal="center" vertical="center" wrapText="1"/>
    </xf>
    <xf numFmtId="0" fontId="0" fillId="5" borderId="10" xfId="0" applyFill="1" applyBorder="1" applyAlignment="1">
      <alignment horizontal="center"/>
    </xf>
    <xf numFmtId="0" fontId="0" fillId="5" borderId="5" xfId="0" applyFill="1" applyBorder="1" applyAlignment="1">
      <alignment horizontal="center"/>
    </xf>
    <xf numFmtId="0" fontId="0" fillId="5" borderId="10" xfId="0" applyFill="1" applyBorder="1" applyAlignment="1">
      <alignment horizontal="center" vertical="center" wrapText="1"/>
    </xf>
    <xf numFmtId="0" fontId="0" fillId="5" borderId="0" xfId="0" applyFill="1" applyAlignment="1">
      <alignment horizontal="center" vertical="center" wrapText="1"/>
    </xf>
    <xf numFmtId="0" fontId="62" fillId="5" borderId="0" xfId="0" applyFont="1" applyFill="1" applyAlignment="1">
      <alignment vertical="center"/>
    </xf>
    <xf numFmtId="0" fontId="0" fillId="5" borderId="10" xfId="0" applyFill="1" applyBorder="1" applyAlignment="1">
      <alignment horizontal="center" vertical="center"/>
    </xf>
    <xf numFmtId="0" fontId="0" fillId="5" borderId="5" xfId="0" applyFill="1" applyBorder="1" applyAlignment="1">
      <alignment horizontal="center" vertical="center"/>
    </xf>
    <xf numFmtId="0" fontId="62" fillId="5" borderId="0" xfId="0" applyFont="1" applyFill="1" applyAlignment="1">
      <alignment vertical="center" wrapText="1"/>
    </xf>
    <xf numFmtId="0" fontId="49" fillId="16" borderId="4" xfId="0" applyFont="1" applyFill="1" applyBorder="1" applyAlignment="1">
      <alignment horizontal="center" vertical="center"/>
    </xf>
    <xf numFmtId="0" fontId="47" fillId="26" borderId="5" xfId="0" applyFont="1" applyFill="1" applyBorder="1" applyAlignment="1">
      <alignment horizontal="center" vertical="center" wrapText="1"/>
    </xf>
    <xf numFmtId="0" fontId="47" fillId="26" borderId="9" xfId="0" applyFont="1" applyFill="1" applyBorder="1" applyAlignment="1">
      <alignment horizontal="center" vertical="center" wrapText="1"/>
    </xf>
    <xf numFmtId="0" fontId="47" fillId="26" borderId="23" xfId="0" applyFont="1" applyFill="1" applyBorder="1" applyAlignment="1">
      <alignment horizontal="center" vertical="center" wrapText="1"/>
    </xf>
    <xf numFmtId="0" fontId="47" fillId="26" borderId="14" xfId="0" applyFont="1" applyFill="1" applyBorder="1" applyAlignment="1">
      <alignment horizontal="center" vertical="center" wrapText="1"/>
    </xf>
    <xf numFmtId="0" fontId="47" fillId="26" borderId="21" xfId="0" applyFont="1" applyFill="1" applyBorder="1" applyAlignment="1">
      <alignment horizontal="center" vertical="center" wrapText="1"/>
    </xf>
    <xf numFmtId="10" fontId="5" fillId="13" borderId="0" xfId="0" applyNumberFormat="1" applyFont="1" applyFill="1" applyAlignment="1">
      <alignment horizontal="center" vertical="center" wrapText="1"/>
    </xf>
    <xf numFmtId="0" fontId="5" fillId="5" borderId="0" xfId="0" applyFont="1" applyFill="1" applyAlignment="1">
      <alignment horizontal="left" vertical="center" wrapText="1" indent="7"/>
    </xf>
    <xf numFmtId="0" fontId="0" fillId="29" borderId="0" xfId="0" applyFill="1"/>
    <xf numFmtId="181" fontId="0" fillId="13" borderId="0" xfId="0" applyNumberFormat="1" applyFill="1"/>
    <xf numFmtId="0" fontId="74" fillId="0" borderId="0" xfId="0" applyFont="1" applyAlignment="1">
      <alignment horizontal="left"/>
    </xf>
    <xf numFmtId="11" fontId="0" fillId="13" borderId="0" xfId="0" applyNumberFormat="1" applyFill="1"/>
    <xf numFmtId="10" fontId="5" fillId="13" borderId="0" xfId="0" applyNumberFormat="1" applyFont="1" applyFill="1" applyAlignment="1">
      <alignment horizontal="center" vertical="center"/>
    </xf>
    <xf numFmtId="0" fontId="5" fillId="13" borderId="0" xfId="0" applyFont="1" applyFill="1" applyAlignment="1">
      <alignment horizontal="center" vertical="center" wrapText="1"/>
    </xf>
    <xf numFmtId="9" fontId="0" fillId="13" borderId="8" xfId="0" applyNumberFormat="1" applyFill="1" applyBorder="1" applyAlignment="1">
      <alignment horizontal="center"/>
    </xf>
    <xf numFmtId="10" fontId="0" fillId="13" borderId="12" xfId="0" applyNumberFormat="1" applyFill="1" applyBorder="1" applyAlignment="1">
      <alignment horizontal="center"/>
    </xf>
    <xf numFmtId="10" fontId="0" fillId="13" borderId="14" xfId="0" applyNumberFormat="1" applyFill="1" applyBorder="1" applyAlignment="1">
      <alignment horizontal="center"/>
    </xf>
    <xf numFmtId="10" fontId="118" fillId="13" borderId="0" xfId="0" applyNumberFormat="1" applyFont="1" applyFill="1" applyAlignment="1">
      <alignment horizontal="center" vertical="center"/>
    </xf>
    <xf numFmtId="0" fontId="118" fillId="0" borderId="0" xfId="0" applyFont="1" applyAlignment="1">
      <alignment horizontal="left" indent="1"/>
    </xf>
    <xf numFmtId="10" fontId="0" fillId="0" borderId="0" xfId="0" applyNumberFormat="1"/>
    <xf numFmtId="169" fontId="0" fillId="0" borderId="0" xfId="1" applyNumberFormat="1" applyFont="1"/>
    <xf numFmtId="178" fontId="63" fillId="0" borderId="0" xfId="0" applyNumberFormat="1" applyFont="1"/>
    <xf numFmtId="9" fontId="0" fillId="0" borderId="0" xfId="1" applyFont="1" applyFill="1" applyAlignment="1">
      <alignment horizontal="center"/>
    </xf>
    <xf numFmtId="9" fontId="0" fillId="0" borderId="0" xfId="1" applyFont="1" applyAlignment="1">
      <alignment horizontal="center"/>
    </xf>
    <xf numFmtId="0" fontId="4" fillId="5" borderId="0" xfId="0" applyFont="1" applyFill="1" applyAlignment="1">
      <alignment horizontal="center"/>
    </xf>
    <xf numFmtId="0" fontId="5" fillId="5" borderId="0" xfId="0" applyFont="1" applyFill="1" applyAlignment="1">
      <alignment horizontal="right" vertical="center" wrapText="1" indent="1"/>
    </xf>
    <xf numFmtId="0" fontId="4" fillId="33" borderId="0" xfId="0" applyFont="1" applyFill="1" applyAlignment="1">
      <alignment horizontal="center"/>
    </xf>
    <xf numFmtId="0" fontId="128" fillId="5" borderId="0" xfId="0" applyFont="1" applyFill="1" applyAlignment="1">
      <alignment horizontal="right"/>
    </xf>
    <xf numFmtId="0" fontId="36" fillId="0" borderId="0" xfId="6" applyFill="1"/>
    <xf numFmtId="0" fontId="36" fillId="5" borderId="0" xfId="6" applyFill="1"/>
    <xf numFmtId="0" fontId="74" fillId="0" borderId="0" xfId="0" quotePrefix="1" applyFont="1"/>
    <xf numFmtId="0" fontId="129" fillId="0" borderId="0" xfId="0" applyFont="1"/>
    <xf numFmtId="9" fontId="5" fillId="13" borderId="0" xfId="1" applyFont="1" applyFill="1" applyAlignment="1">
      <alignment horizontal="center"/>
    </xf>
    <xf numFmtId="9" fontId="5" fillId="5" borderId="0" xfId="1" applyFont="1" applyFill="1" applyAlignment="1">
      <alignment horizontal="center" vertical="center" wrapText="1"/>
    </xf>
    <xf numFmtId="9" fontId="5" fillId="13" borderId="0" xfId="1" applyFont="1" applyFill="1" applyAlignment="1">
      <alignment horizontal="center" vertical="center" wrapText="1"/>
    </xf>
    <xf numFmtId="0" fontId="89" fillId="5" borderId="0" xfId="1" quotePrefix="1" applyNumberFormat="1" applyFont="1" applyFill="1" applyAlignment="1">
      <alignment horizontal="center" vertical="center" wrapText="1"/>
    </xf>
    <xf numFmtId="9" fontId="89" fillId="5" borderId="0" xfId="1" applyFont="1" applyFill="1" applyAlignment="1">
      <alignment horizontal="center" vertical="center" wrapText="1"/>
    </xf>
    <xf numFmtId="9" fontId="89" fillId="5" borderId="0" xfId="1" quotePrefix="1" applyFont="1" applyFill="1" applyAlignment="1">
      <alignment horizontal="center" vertical="center" wrapText="1"/>
    </xf>
    <xf numFmtId="9" fontId="89" fillId="0" borderId="0" xfId="1" quotePrefix="1" applyFont="1" applyFill="1" applyAlignment="1">
      <alignment horizontal="center" vertical="center" wrapText="1"/>
    </xf>
    <xf numFmtId="2" fontId="116" fillId="5" borderId="0" xfId="0" applyNumberFormat="1" applyFont="1" applyFill="1" applyAlignment="1">
      <alignment horizontal="center" vertical="center" wrapText="1"/>
    </xf>
    <xf numFmtId="3" fontId="0" fillId="5" borderId="3" xfId="0" applyNumberFormat="1" applyFill="1" applyBorder="1" applyAlignment="1">
      <alignment horizontal="center" vertical="center"/>
    </xf>
    <xf numFmtId="2" fontId="0" fillId="5" borderId="4" xfId="0" applyNumberFormat="1" applyFill="1" applyBorder="1" applyAlignment="1">
      <alignment horizontal="center" vertical="center"/>
    </xf>
    <xf numFmtId="2" fontId="0" fillId="17" borderId="4" xfId="0" applyNumberFormat="1" applyFill="1" applyBorder="1" applyAlignment="1">
      <alignment horizontal="center" vertical="center"/>
    </xf>
    <xf numFmtId="9" fontId="0" fillId="5" borderId="0" xfId="1" applyFont="1" applyFill="1"/>
    <xf numFmtId="0" fontId="25" fillId="5" borderId="0" xfId="0" applyFont="1" applyFill="1" applyAlignment="1">
      <alignment horizontal="left" vertical="center"/>
    </xf>
    <xf numFmtId="0" fontId="49" fillId="16" borderId="4" xfId="0" applyFont="1" applyFill="1" applyBorder="1" applyAlignment="1">
      <alignment horizontal="center" vertical="center" wrapText="1"/>
    </xf>
    <xf numFmtId="3" fontId="44" fillId="22" borderId="4" xfId="0" applyNumberFormat="1" applyFont="1" applyFill="1" applyBorder="1" applyAlignment="1" applyProtection="1">
      <alignment horizontal="center" vertical="center"/>
      <protection locked="0"/>
    </xf>
    <xf numFmtId="9" fontId="44" fillId="22" borderId="4" xfId="1" applyFont="1" applyFill="1" applyBorder="1" applyAlignment="1" applyProtection="1">
      <alignment horizontal="center" vertical="center"/>
      <protection locked="0"/>
    </xf>
    <xf numFmtId="0" fontId="45" fillId="4" borderId="0" xfId="0" applyFont="1" applyFill="1" applyAlignment="1" applyProtection="1">
      <alignment horizontal="center" vertical="center"/>
      <protection locked="0"/>
    </xf>
    <xf numFmtId="0" fontId="132" fillId="0" borderId="0" xfId="0" applyFont="1" applyAlignment="1">
      <alignment vertical="center"/>
    </xf>
    <xf numFmtId="0" fontId="44" fillId="5" borderId="0" xfId="0" applyFont="1" applyFill="1" applyAlignment="1">
      <alignment horizontal="left" vertical="center"/>
    </xf>
    <xf numFmtId="0" fontId="43" fillId="5" borderId="0" xfId="0" applyFont="1" applyFill="1" applyAlignment="1">
      <alignment vertical="center"/>
    </xf>
    <xf numFmtId="0" fontId="46" fillId="5" borderId="0" xfId="0" applyFont="1" applyFill="1" applyAlignment="1">
      <alignment horizontal="right" vertical="center"/>
    </xf>
    <xf numFmtId="0" fontId="48" fillId="5" borderId="0" xfId="0" applyFont="1" applyFill="1" applyAlignment="1">
      <alignment vertical="center"/>
    </xf>
    <xf numFmtId="0" fontId="25" fillId="5" borderId="0" xfId="0" applyFont="1" applyFill="1" applyAlignment="1">
      <alignment vertical="center"/>
    </xf>
    <xf numFmtId="0" fontId="126" fillId="5" borderId="0" xfId="0" applyFont="1" applyFill="1" applyAlignment="1" applyProtection="1">
      <alignment horizontal="center" vertical="center"/>
      <protection locked="0"/>
    </xf>
    <xf numFmtId="3" fontId="44" fillId="5" borderId="35" xfId="0" applyNumberFormat="1" applyFont="1" applyFill="1" applyBorder="1" applyAlignment="1" applyProtection="1">
      <alignment horizontal="center" vertical="center"/>
      <protection locked="0"/>
    </xf>
    <xf numFmtId="0" fontId="45" fillId="5" borderId="0" xfId="0" applyFont="1" applyFill="1" applyAlignment="1" applyProtection="1">
      <alignment horizontal="left" vertical="center"/>
      <protection locked="0"/>
    </xf>
    <xf numFmtId="0" fontId="44" fillId="5" borderId="0" xfId="0" applyFont="1" applyFill="1" applyAlignment="1">
      <alignment horizontal="center" vertical="center"/>
    </xf>
    <xf numFmtId="0" fontId="45" fillId="5" borderId="0" xfId="0" applyFont="1" applyFill="1" applyAlignment="1" applyProtection="1">
      <alignment horizontal="center" vertical="center"/>
      <protection locked="0"/>
    </xf>
    <xf numFmtId="0" fontId="121" fillId="5" borderId="0" xfId="0" applyFont="1" applyFill="1" applyAlignment="1">
      <alignment horizontal="left" vertical="center"/>
    </xf>
    <xf numFmtId="0" fontId="44" fillId="5" borderId="0" xfId="0" applyFont="1" applyFill="1" applyAlignment="1">
      <alignment horizontal="right" vertical="center"/>
    </xf>
    <xf numFmtId="9" fontId="44" fillId="5" borderId="0" xfId="1" applyFont="1" applyFill="1" applyBorder="1" applyAlignment="1" applyProtection="1">
      <alignment horizontal="center" vertical="center"/>
      <protection locked="0"/>
    </xf>
    <xf numFmtId="0" fontId="39" fillId="5" borderId="0" xfId="0" applyFont="1" applyFill="1" applyAlignment="1">
      <alignment vertical="center"/>
    </xf>
    <xf numFmtId="3" fontId="44" fillId="5" borderId="0" xfId="0" applyNumberFormat="1" applyFont="1" applyFill="1" applyAlignment="1" applyProtection="1">
      <alignment horizontal="center" vertical="center"/>
      <protection locked="0"/>
    </xf>
    <xf numFmtId="0" fontId="37" fillId="0" borderId="0" xfId="0" applyFont="1" applyAlignment="1">
      <alignment vertical="center"/>
    </xf>
    <xf numFmtId="0" fontId="44" fillId="5" borderId="0" xfId="0" applyFont="1" applyFill="1" applyAlignment="1">
      <alignment horizontal="right" vertical="center" inden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0" xfId="0" applyFont="1" applyFill="1" applyBorder="1" applyAlignment="1">
      <alignment horizontal="center"/>
    </xf>
    <xf numFmtId="9" fontId="94" fillId="0" borderId="0" xfId="1" applyFont="1" applyBorder="1" applyAlignment="1">
      <alignment horizontal="center" vertical="center"/>
    </xf>
    <xf numFmtId="184" fontId="0" fillId="0" borderId="0" xfId="0" applyNumberFormat="1" applyAlignment="1">
      <alignment horizontal="center" vertical="center"/>
    </xf>
    <xf numFmtId="185" fontId="0" fillId="0" borderId="0" xfId="0" applyNumberFormat="1"/>
    <xf numFmtId="0" fontId="49" fillId="5" borderId="0" xfId="0" applyFont="1" applyFill="1"/>
    <xf numFmtId="0" fontId="49" fillId="5" borderId="0" xfId="0" applyFont="1" applyFill="1" applyAlignment="1">
      <alignment horizontal="center" vertical="center"/>
    </xf>
    <xf numFmtId="0" fontId="49" fillId="5" borderId="0" xfId="0" applyFont="1" applyFill="1" applyAlignment="1">
      <alignment horizontal="center" vertical="center" wrapText="1"/>
    </xf>
    <xf numFmtId="10" fontId="44" fillId="5" borderId="0" xfId="1" applyNumberFormat="1" applyFont="1" applyFill="1" applyBorder="1" applyAlignment="1">
      <alignment horizontal="center" vertical="center"/>
    </xf>
    <xf numFmtId="9" fontId="5" fillId="13" borderId="0" xfId="0" applyNumberFormat="1" applyFont="1" applyFill="1" applyAlignment="1">
      <alignment horizontal="center" vertical="center" wrapText="1"/>
    </xf>
    <xf numFmtId="0" fontId="132" fillId="5" borderId="0" xfId="0" applyFont="1" applyFill="1" applyAlignment="1">
      <alignment vertical="center"/>
    </xf>
    <xf numFmtId="0" fontId="44" fillId="5" borderId="0" xfId="0" applyFont="1" applyFill="1" applyAlignment="1">
      <alignment horizontal="right"/>
    </xf>
    <xf numFmtId="3" fontId="44" fillId="22" borderId="0" xfId="0" applyNumberFormat="1" applyFont="1" applyFill="1" applyAlignment="1" applyProtection="1">
      <alignment horizontal="center" vertical="center"/>
      <protection locked="0"/>
    </xf>
    <xf numFmtId="0" fontId="126" fillId="5" borderId="0" xfId="0" applyFont="1" applyFill="1" applyAlignment="1" applyProtection="1">
      <alignment horizontal="center" vertical="center" wrapText="1"/>
      <protection locked="0"/>
    </xf>
    <xf numFmtId="0" fontId="25" fillId="5" borderId="0" xfId="0" applyFont="1" applyFill="1" applyAlignment="1">
      <alignment horizontal="center" vertical="center" wrapText="1"/>
    </xf>
    <xf numFmtId="0" fontId="43" fillId="5" borderId="0" xfId="0" applyFont="1" applyFill="1" applyAlignment="1">
      <alignment horizontal="center" vertical="center" wrapText="1"/>
    </xf>
    <xf numFmtId="0" fontId="44" fillId="5" borderId="0" xfId="0" applyFont="1" applyFill="1" applyAlignment="1">
      <alignment horizontal="center" vertical="center" wrapText="1"/>
    </xf>
    <xf numFmtId="0" fontId="49" fillId="16" borderId="110" xfId="0" applyFont="1" applyFill="1" applyBorder="1" applyAlignment="1">
      <alignment horizontal="center" vertical="center" wrapText="1"/>
    </xf>
    <xf numFmtId="3" fontId="49" fillId="16" borderId="110" xfId="0" applyNumberFormat="1" applyFont="1" applyFill="1" applyBorder="1" applyAlignment="1" applyProtection="1">
      <alignment horizontal="center" vertical="center" wrapText="1"/>
      <protection locked="0"/>
    </xf>
    <xf numFmtId="0" fontId="44" fillId="4" borderId="110" xfId="0" applyFont="1" applyFill="1" applyBorder="1" applyAlignment="1">
      <alignment horizontal="center" vertical="center"/>
    </xf>
    <xf numFmtId="0" fontId="44" fillId="5" borderId="0" xfId="0" applyFont="1" applyFill="1" applyAlignment="1">
      <alignment vertical="center" wrapText="1"/>
    </xf>
    <xf numFmtId="0" fontId="147" fillId="5" borderId="0" xfId="0" applyFont="1" applyFill="1" applyAlignment="1">
      <alignment vertical="center"/>
    </xf>
    <xf numFmtId="9" fontId="44" fillId="5" borderId="0" xfId="1" applyFont="1" applyFill="1" applyBorder="1" applyAlignment="1">
      <alignment vertical="center"/>
    </xf>
    <xf numFmtId="0" fontId="49" fillId="5" borderId="0" xfId="0" applyFont="1" applyFill="1" applyAlignment="1">
      <alignment vertical="center" wrapText="1"/>
    </xf>
    <xf numFmtId="0" fontId="133" fillId="5" borderId="0" xfId="0" applyFont="1" applyFill="1" applyAlignment="1">
      <alignment vertical="center"/>
    </xf>
    <xf numFmtId="0" fontId="37" fillId="5" borderId="0" xfId="0" applyFont="1" applyFill="1" applyAlignment="1">
      <alignment vertical="center"/>
    </xf>
    <xf numFmtId="0" fontId="149" fillId="5" borderId="0" xfId="0" applyFont="1" applyFill="1" applyAlignment="1" applyProtection="1">
      <alignment horizontal="right" vertical="center"/>
      <protection locked="0"/>
    </xf>
    <xf numFmtId="9" fontId="45" fillId="15" borderId="0" xfId="1" applyFont="1" applyFill="1" applyAlignment="1" applyProtection="1">
      <alignment horizontal="center" vertical="center"/>
      <protection locked="0"/>
    </xf>
    <xf numFmtId="0" fontId="133" fillId="36" borderId="4" xfId="0" applyFont="1" applyFill="1" applyBorder="1" applyAlignment="1">
      <alignment horizontal="center" vertical="center"/>
    </xf>
    <xf numFmtId="0" fontId="0" fillId="0" borderId="3" xfId="0" applyBorder="1" applyAlignment="1">
      <alignment horizontal="center"/>
    </xf>
    <xf numFmtId="0" fontId="85" fillId="5" borderId="0" xfId="0" applyFont="1" applyFill="1" applyAlignment="1">
      <alignment horizontal="left" vertical="center"/>
    </xf>
    <xf numFmtId="0" fontId="62" fillId="5" borderId="0" xfId="0" applyFont="1" applyFill="1" applyAlignment="1">
      <alignment horizontal="left" vertical="center"/>
    </xf>
    <xf numFmtId="0" fontId="0" fillId="0" borderId="15" xfId="0" applyBorder="1" applyAlignment="1">
      <alignment horizontal="center" vertical="center"/>
    </xf>
    <xf numFmtId="0" fontId="182" fillId="5" borderId="156" xfId="0" applyFont="1" applyFill="1" applyBorder="1" applyAlignment="1" applyProtection="1">
      <alignment vertical="center" wrapText="1"/>
      <protection locked="0"/>
    </xf>
    <xf numFmtId="0" fontId="182" fillId="5" borderId="157" xfId="0" applyFont="1" applyFill="1" applyBorder="1" applyAlignment="1" applyProtection="1">
      <alignment vertical="center" wrapText="1"/>
      <protection locked="0"/>
    </xf>
    <xf numFmtId="44" fontId="182" fillId="5" borderId="158" xfId="18" applyFont="1" applyFill="1" applyBorder="1" applyAlignment="1" applyProtection="1">
      <alignment horizontal="center" vertical="center" wrapText="1"/>
      <protection locked="0"/>
    </xf>
    <xf numFmtId="0" fontId="182" fillId="5" borderId="159" xfId="0" applyFont="1" applyFill="1" applyBorder="1" applyAlignment="1" applyProtection="1">
      <alignment vertical="center" wrapText="1"/>
      <protection locked="0"/>
    </xf>
    <xf numFmtId="0" fontId="182" fillId="5" borderId="160" xfId="0" applyFont="1" applyFill="1" applyBorder="1" applyAlignment="1" applyProtection="1">
      <alignment vertical="center" wrapText="1"/>
      <protection locked="0"/>
    </xf>
    <xf numFmtId="44" fontId="182" fillId="5" borderId="161" xfId="18" applyFont="1" applyFill="1" applyBorder="1" applyAlignment="1" applyProtection="1">
      <alignment horizontal="center" vertical="center" wrapText="1"/>
      <protection locked="0"/>
    </xf>
    <xf numFmtId="0" fontId="182" fillId="5" borderId="162" xfId="0" applyFont="1" applyFill="1" applyBorder="1" applyAlignment="1" applyProtection="1">
      <alignment vertical="center" wrapText="1"/>
      <protection locked="0"/>
    </xf>
    <xf numFmtId="0" fontId="182" fillId="5" borderId="163" xfId="0" applyFont="1" applyFill="1" applyBorder="1" applyAlignment="1" applyProtection="1">
      <alignment vertical="center" wrapText="1"/>
      <protection locked="0"/>
    </xf>
    <xf numFmtId="44" fontId="182" fillId="5" borderId="164" xfId="0" applyNumberFormat="1" applyFont="1" applyFill="1" applyBorder="1" applyAlignment="1" applyProtection="1">
      <alignment horizontal="center" vertical="center" wrapText="1"/>
      <protection locked="0"/>
    </xf>
    <xf numFmtId="174" fontId="157" fillId="5" borderId="35" xfId="0" applyNumberFormat="1" applyFont="1" applyFill="1" applyBorder="1" applyAlignment="1" applyProtection="1">
      <alignment horizontal="center" vertical="center" wrapText="1"/>
      <protection locked="0"/>
    </xf>
    <xf numFmtId="14" fontId="157" fillId="5" borderId="35" xfId="0" applyNumberFormat="1" applyFont="1" applyFill="1" applyBorder="1" applyAlignment="1" applyProtection="1">
      <alignment horizontal="center" vertical="center" wrapText="1"/>
      <protection locked="0"/>
    </xf>
    <xf numFmtId="174" fontId="44" fillId="39" borderId="143" xfId="0" applyNumberFormat="1" applyFont="1" applyFill="1" applyBorder="1" applyAlignment="1" applyProtection="1">
      <alignment horizontal="center" vertical="center"/>
      <protection locked="0"/>
    </xf>
    <xf numFmtId="174" fontId="44" fillId="39" borderId="153" xfId="0" applyNumberFormat="1" applyFont="1" applyFill="1" applyBorder="1" applyAlignment="1" applyProtection="1">
      <alignment horizontal="center" vertical="center"/>
      <protection locked="0"/>
    </xf>
    <xf numFmtId="0" fontId="44" fillId="39" borderId="143" xfId="0" applyFont="1" applyFill="1" applyBorder="1" applyAlignment="1" applyProtection="1">
      <alignment horizontal="center" vertical="center"/>
      <protection locked="0"/>
    </xf>
    <xf numFmtId="0" fontId="44" fillId="39" borderId="153" xfId="0" applyFont="1" applyFill="1" applyBorder="1" applyAlignment="1" applyProtection="1">
      <alignment horizontal="center" vertical="center"/>
      <protection locked="0"/>
    </xf>
    <xf numFmtId="0" fontId="44" fillId="0" borderId="143" xfId="0" applyFont="1" applyBorder="1" applyAlignment="1" applyProtection="1">
      <alignment horizontal="left" vertical="center" wrapText="1"/>
      <protection locked="0"/>
    </xf>
    <xf numFmtId="0" fontId="44" fillId="0" borderId="143" xfId="0" applyFont="1" applyBorder="1" applyAlignment="1" applyProtection="1">
      <alignment horizontal="left" vertical="center" wrapText="1" shrinkToFit="1"/>
      <protection locked="0"/>
    </xf>
    <xf numFmtId="0" fontId="44" fillId="0" borderId="153" xfId="0" applyFont="1" applyBorder="1" applyAlignment="1" applyProtection="1">
      <alignment horizontal="left" vertical="center" wrapText="1" shrinkToFit="1"/>
      <protection locked="0"/>
    </xf>
    <xf numFmtId="9" fontId="44" fillId="5" borderId="0" xfId="1" applyFont="1" applyFill="1" applyBorder="1" applyAlignment="1">
      <alignment horizontal="center" vertical="center"/>
    </xf>
    <xf numFmtId="0" fontId="49" fillId="16" borderId="6" xfId="0" applyFont="1" applyFill="1" applyBorder="1" applyAlignment="1">
      <alignment horizontal="center" vertical="center" wrapText="1"/>
    </xf>
    <xf numFmtId="0" fontId="190" fillId="0" borderId="5" xfId="0" applyFont="1" applyBorder="1" applyAlignment="1">
      <alignment horizontal="center" vertical="center"/>
    </xf>
    <xf numFmtId="0" fontId="44" fillId="22" borderId="4" xfId="0" applyFont="1" applyFill="1" applyBorder="1" applyAlignment="1">
      <alignment horizontal="center" vertical="center"/>
    </xf>
    <xf numFmtId="0" fontId="49" fillId="16" borderId="114" xfId="0" applyFont="1" applyFill="1" applyBorder="1" applyAlignment="1">
      <alignment horizontal="center" vertical="center" wrapText="1"/>
    </xf>
    <xf numFmtId="0" fontId="133" fillId="36" borderId="4" xfId="0" applyFont="1" applyFill="1" applyBorder="1" applyAlignment="1">
      <alignment vertical="center"/>
    </xf>
    <xf numFmtId="0" fontId="48" fillId="5" borderId="0" xfId="0" applyFont="1" applyFill="1" applyAlignment="1">
      <alignment horizontal="center" vertical="center" wrapText="1"/>
    </xf>
    <xf numFmtId="168" fontId="5" fillId="13" borderId="31" xfId="0" quotePrefix="1" applyNumberFormat="1" applyFont="1" applyFill="1" applyBorder="1" applyAlignment="1">
      <alignment horizontal="center" vertical="center"/>
    </xf>
    <xf numFmtId="1" fontId="44" fillId="22" borderId="4" xfId="0" applyNumberFormat="1" applyFont="1" applyFill="1" applyBorder="1" applyAlignment="1">
      <alignment horizontal="center" vertical="center"/>
    </xf>
    <xf numFmtId="3" fontId="44" fillId="22" borderId="4" xfId="0" applyNumberFormat="1" applyFont="1" applyFill="1" applyBorder="1" applyAlignment="1">
      <alignment horizontal="center" vertical="center"/>
    </xf>
    <xf numFmtId="9" fontId="44" fillId="22" borderId="4" xfId="1" applyFont="1" applyFill="1" applyBorder="1" applyAlignment="1">
      <alignment horizontal="center" vertical="center"/>
    </xf>
    <xf numFmtId="174" fontId="44" fillId="22" borderId="110" xfId="0" applyNumberFormat="1" applyFont="1" applyFill="1" applyBorder="1" applyAlignment="1">
      <alignment horizontal="center" vertical="center"/>
    </xf>
    <xf numFmtId="0" fontId="44" fillId="22" borderId="110" xfId="0" applyFont="1" applyFill="1" applyBorder="1" applyAlignment="1">
      <alignment horizontal="center" vertical="center"/>
    </xf>
    <xf numFmtId="1" fontId="44" fillId="22" borderId="110" xfId="0" applyNumberFormat="1" applyFont="1" applyFill="1" applyBorder="1" applyAlignment="1" applyProtection="1">
      <alignment horizontal="center" vertical="center"/>
      <protection locked="0"/>
    </xf>
    <xf numFmtId="0" fontId="44" fillId="22" borderId="110" xfId="0" applyFont="1" applyFill="1" applyBorder="1" applyAlignment="1" applyProtection="1">
      <alignment horizontal="center" vertical="center"/>
      <protection locked="0"/>
    </xf>
    <xf numFmtId="170" fontId="0" fillId="0" borderId="0" xfId="0" applyNumberFormat="1"/>
    <xf numFmtId="174" fontId="44" fillId="22" borderId="4" xfId="0" applyNumberFormat="1" applyFont="1" applyFill="1" applyBorder="1" applyAlignment="1">
      <alignment horizontal="center" vertical="center"/>
    </xf>
    <xf numFmtId="3" fontId="48" fillId="5" borderId="0" xfId="0" applyNumberFormat="1" applyFont="1" applyFill="1" applyAlignment="1" applyProtection="1">
      <alignment horizontal="right" vertical="center"/>
      <protection locked="0"/>
    </xf>
    <xf numFmtId="3" fontId="126" fillId="5" borderId="0" xfId="0" applyNumberFormat="1" applyFont="1" applyFill="1" applyAlignment="1" applyProtection="1">
      <alignment horizontal="center" vertical="center"/>
      <protection locked="0"/>
    </xf>
    <xf numFmtId="0" fontId="0" fillId="5" borderId="14" xfId="0" applyFill="1" applyBorder="1" applyAlignment="1">
      <alignment horizontal="center" vertical="center"/>
    </xf>
    <xf numFmtId="168" fontId="0" fillId="4" borderId="87" xfId="0" applyNumberFormat="1"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63" fillId="5" borderId="11" xfId="0" applyFont="1" applyFill="1" applyBorder="1" applyAlignment="1">
      <alignment horizontal="left" indent="1"/>
    </xf>
    <xf numFmtId="168" fontId="63" fillId="13" borderId="87" xfId="0" applyNumberFormat="1" applyFont="1" applyFill="1" applyBorder="1" applyAlignment="1">
      <alignment horizontal="center"/>
    </xf>
    <xf numFmtId="168" fontId="63" fillId="5" borderId="0" xfId="0" applyNumberFormat="1" applyFont="1" applyFill="1" applyAlignment="1">
      <alignment horizontal="center"/>
    </xf>
    <xf numFmtId="168" fontId="63" fillId="5" borderId="12" xfId="0" applyNumberFormat="1" applyFont="1" applyFill="1" applyBorder="1" applyAlignment="1">
      <alignment horizontal="center"/>
    </xf>
    <xf numFmtId="0" fontId="63" fillId="5" borderId="13" xfId="0" applyFont="1" applyFill="1" applyBorder="1" applyAlignment="1">
      <alignment horizontal="left" indent="1"/>
    </xf>
    <xf numFmtId="168" fontId="63" fillId="5" borderId="15" xfId="0" applyNumberFormat="1" applyFont="1" applyFill="1" applyBorder="1" applyAlignment="1">
      <alignment horizontal="center"/>
    </xf>
    <xf numFmtId="168" fontId="63" fillId="5" borderId="14" xfId="0" applyNumberFormat="1" applyFont="1" applyFill="1" applyBorder="1" applyAlignment="1">
      <alignment horizontal="center"/>
    </xf>
    <xf numFmtId="0" fontId="0" fillId="5" borderId="1" xfId="0" applyFill="1" applyBorder="1"/>
    <xf numFmtId="9" fontId="4" fillId="4" borderId="180" xfId="0" applyNumberFormat="1" applyFont="1" applyFill="1" applyBorder="1" applyAlignment="1">
      <alignment horizontal="center" vertical="center"/>
    </xf>
    <xf numFmtId="0" fontId="7" fillId="13" borderId="3" xfId="0" applyFont="1" applyFill="1" applyBorder="1" applyAlignment="1">
      <alignment horizontal="center"/>
    </xf>
    <xf numFmtId="0" fontId="7" fillId="13" borderId="4" xfId="0" applyFont="1" applyFill="1" applyBorder="1" applyAlignment="1">
      <alignment horizontal="center"/>
    </xf>
    <xf numFmtId="0" fontId="0" fillId="5" borderId="1" xfId="0" applyFill="1" applyBorder="1" applyAlignment="1">
      <alignment vertical="center"/>
    </xf>
    <xf numFmtId="1" fontId="0" fillId="4" borderId="181" xfId="0" applyNumberFormat="1" applyFill="1" applyBorder="1" applyAlignment="1">
      <alignment horizontal="center" vertical="center" wrapText="1"/>
    </xf>
    <xf numFmtId="1" fontId="0" fillId="5" borderId="2" xfId="0" applyNumberFormat="1" applyFill="1" applyBorder="1" applyAlignment="1">
      <alignment horizontal="center" vertical="center"/>
    </xf>
    <xf numFmtId="0" fontId="0" fillId="5" borderId="3" xfId="0" applyFill="1" applyBorder="1" applyAlignment="1">
      <alignment horizontal="center" vertical="center"/>
    </xf>
    <xf numFmtId="9" fontId="0" fillId="4" borderId="181" xfId="0" applyNumberFormat="1" applyFill="1" applyBorder="1" applyAlignment="1">
      <alignment horizontal="center"/>
    </xf>
    <xf numFmtId="9" fontId="0" fillId="13" borderId="3" xfId="0" applyNumberFormat="1" applyFill="1" applyBorder="1" applyAlignment="1">
      <alignment horizontal="center"/>
    </xf>
    <xf numFmtId="9" fontId="0" fillId="13" borderId="4" xfId="0" applyNumberFormat="1" applyFill="1" applyBorder="1" applyAlignment="1">
      <alignment horizontal="center"/>
    </xf>
    <xf numFmtId="0" fontId="0" fillId="4" borderId="181" xfId="0" applyFill="1" applyBorder="1" applyAlignment="1">
      <alignment horizontal="center"/>
    </xf>
    <xf numFmtId="0" fontId="0" fillId="13" borderId="3" xfId="0" applyFill="1" applyBorder="1" applyAlignment="1">
      <alignment horizontal="center"/>
    </xf>
    <xf numFmtId="0" fontId="0" fillId="5" borderId="1" xfId="0" applyFill="1" applyBorder="1" applyAlignment="1">
      <alignment wrapText="1"/>
    </xf>
    <xf numFmtId="0" fontId="0" fillId="5" borderId="1" xfId="0" applyFill="1" applyBorder="1" applyAlignment="1">
      <alignment horizontal="left" vertical="center" wrapText="1"/>
    </xf>
    <xf numFmtId="10" fontId="0" fillId="13" borderId="3" xfId="0" applyNumberFormat="1" applyFill="1" applyBorder="1" applyAlignment="1">
      <alignment horizontal="center"/>
    </xf>
    <xf numFmtId="1" fontId="0" fillId="4" borderId="179" xfId="0" applyNumberFormat="1" applyFill="1" applyBorder="1" applyAlignment="1">
      <alignment horizontal="center" vertical="center"/>
    </xf>
    <xf numFmtId="1" fontId="0" fillId="13" borderId="14" xfId="0" applyNumberFormat="1" applyFill="1" applyBorder="1" applyAlignment="1">
      <alignment horizontal="center" vertical="center"/>
    </xf>
    <xf numFmtId="0" fontId="0" fillId="4" borderId="87" xfId="0" applyFill="1" applyBorder="1" applyAlignment="1">
      <alignment horizontal="center" vertical="center"/>
    </xf>
    <xf numFmtId="0" fontId="0" fillId="5" borderId="12" xfId="0" applyFill="1" applyBorder="1" applyAlignment="1">
      <alignment horizontal="center" vertical="center"/>
    </xf>
    <xf numFmtId="0" fontId="63" fillId="5" borderId="87" xfId="0" applyFont="1" applyFill="1" applyBorder="1" applyAlignment="1">
      <alignment horizontal="center" vertical="center"/>
    </xf>
    <xf numFmtId="0" fontId="63" fillId="13" borderId="0" xfId="0" applyFont="1" applyFill="1" applyAlignment="1">
      <alignment horizontal="center" vertical="center"/>
    </xf>
    <xf numFmtId="0" fontId="63" fillId="13" borderId="10" xfId="0" applyFont="1" applyFill="1" applyBorder="1" applyAlignment="1">
      <alignment horizontal="center" vertical="center"/>
    </xf>
    <xf numFmtId="0" fontId="63" fillId="5" borderId="88" xfId="0" applyFont="1" applyFill="1" applyBorder="1" applyAlignment="1">
      <alignment horizontal="center" vertical="center"/>
    </xf>
    <xf numFmtId="0" fontId="63" fillId="13" borderId="14" xfId="0" applyFont="1" applyFill="1" applyBorder="1" applyAlignment="1">
      <alignment horizontal="center" vertical="center"/>
    </xf>
    <xf numFmtId="0" fontId="63" fillId="13" borderId="5" xfId="0" applyFont="1" applyFill="1" applyBorder="1" applyAlignment="1">
      <alignment horizontal="center" vertical="center"/>
    </xf>
    <xf numFmtId="0" fontId="4" fillId="5" borderId="0" xfId="0" applyFont="1" applyFill="1" applyAlignment="1">
      <alignment horizontal="center" vertical="top"/>
    </xf>
    <xf numFmtId="0" fontId="0" fillId="5" borderId="3" xfId="0" applyFill="1" applyBorder="1" applyAlignment="1">
      <alignment horizontal="center"/>
    </xf>
    <xf numFmtId="0" fontId="152" fillId="0" borderId="0" xfId="0" applyFont="1"/>
    <xf numFmtId="0" fontId="192" fillId="0" borderId="0" xfId="6" applyFont="1"/>
    <xf numFmtId="0" fontId="0" fillId="0" borderId="15" xfId="0" applyBorder="1" applyAlignment="1">
      <alignment horizontal="center"/>
    </xf>
    <xf numFmtId="14" fontId="0" fillId="0" borderId="0" xfId="0" applyNumberFormat="1"/>
    <xf numFmtId="0" fontId="0" fillId="0" borderId="12" xfId="0" applyBorder="1" applyAlignment="1">
      <alignment horizontal="center"/>
    </xf>
    <xf numFmtId="168" fontId="4" fillId="0" borderId="0" xfId="0" applyNumberFormat="1" applyFont="1"/>
    <xf numFmtId="10" fontId="0" fillId="13" borderId="31" xfId="1" applyNumberFormat="1" applyFont="1" applyFill="1" applyBorder="1" applyAlignment="1">
      <alignment horizontal="center" vertical="center"/>
    </xf>
    <xf numFmtId="9" fontId="0" fillId="13" borderId="4" xfId="1" applyFont="1" applyFill="1" applyBorder="1" applyAlignment="1">
      <alignment horizontal="center" vertical="center"/>
    </xf>
    <xf numFmtId="0" fontId="2" fillId="27" borderId="4" xfId="0" applyFont="1" applyFill="1" applyBorder="1" applyAlignment="1">
      <alignment horizontal="center" vertical="center"/>
    </xf>
    <xf numFmtId="10" fontId="0" fillId="5" borderId="4" xfId="0" applyNumberFormat="1" applyFill="1" applyBorder="1" applyAlignment="1">
      <alignment horizontal="center"/>
    </xf>
    <xf numFmtId="9" fontId="0" fillId="5" borderId="4" xfId="0" applyNumberFormat="1" applyFill="1" applyBorder="1" applyAlignment="1">
      <alignment horizontal="center"/>
    </xf>
    <xf numFmtId="174" fontId="44" fillId="5" borderId="0" xfId="4" applyNumberFormat="1" applyFont="1" applyFill="1" applyAlignment="1">
      <alignment horizontal="center" vertical="center"/>
    </xf>
    <xf numFmtId="0" fontId="169" fillId="4" borderId="0" xfId="6" applyFont="1" applyFill="1" applyBorder="1" applyAlignment="1" applyProtection="1">
      <alignment vertical="center"/>
    </xf>
    <xf numFmtId="0" fontId="44" fillId="37" borderId="152" xfId="0" applyFont="1" applyFill="1" applyBorder="1" applyAlignment="1" applyProtection="1">
      <alignment horizontal="left" vertical="center" wrapText="1"/>
      <protection locked="0"/>
    </xf>
    <xf numFmtId="0" fontId="44" fillId="0" borderId="153" xfId="0" applyFont="1" applyBorder="1" applyAlignment="1" applyProtection="1">
      <alignment horizontal="left" vertical="center" wrapText="1"/>
      <protection locked="0"/>
    </xf>
    <xf numFmtId="0" fontId="44" fillId="37" borderId="154" xfId="0" applyFont="1" applyFill="1" applyBorder="1" applyAlignment="1" applyProtection="1">
      <alignment horizontal="left" vertical="center" wrapText="1"/>
      <protection locked="0"/>
    </xf>
    <xf numFmtId="170" fontId="13" fillId="4" borderId="4" xfId="1" applyNumberFormat="1" applyFont="1" applyFill="1" applyBorder="1" applyAlignment="1" applyProtection="1">
      <alignment horizontal="center" vertical="center" wrapText="1"/>
    </xf>
    <xf numFmtId="9" fontId="7" fillId="22" borderId="0" xfId="1" applyFont="1" applyFill="1" applyAlignment="1" applyProtection="1">
      <alignment horizontal="center"/>
    </xf>
    <xf numFmtId="1" fontId="44" fillId="5" borderId="35" xfId="0" applyNumberFormat="1"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wrapText="1"/>
      <protection locked="0"/>
    </xf>
    <xf numFmtId="1" fontId="12" fillId="5" borderId="4" xfId="0" applyNumberFormat="1" applyFont="1" applyFill="1" applyBorder="1" applyAlignment="1" applyProtection="1">
      <alignment horizontal="center" vertical="center"/>
      <protection locked="0"/>
    </xf>
    <xf numFmtId="0" fontId="44" fillId="5" borderId="95" xfId="0" applyFont="1" applyFill="1" applyBorder="1" applyAlignment="1" applyProtection="1">
      <alignment horizontal="center" vertical="center"/>
      <protection locked="0"/>
    </xf>
    <xf numFmtId="2" fontId="44" fillId="5" borderId="105" xfId="0" applyNumberFormat="1" applyFont="1" applyFill="1" applyBorder="1" applyAlignment="1" applyProtection="1">
      <alignment horizontal="center" vertical="center"/>
      <protection locked="0"/>
    </xf>
    <xf numFmtId="1" fontId="44" fillId="5" borderId="96" xfId="0" applyNumberFormat="1" applyFont="1" applyFill="1" applyBorder="1" applyAlignment="1" applyProtection="1">
      <alignment horizontal="center" vertical="center"/>
      <protection locked="0"/>
    </xf>
    <xf numFmtId="1" fontId="44" fillId="5" borderId="104" xfId="0" applyNumberFormat="1" applyFont="1" applyFill="1" applyBorder="1" applyAlignment="1" applyProtection="1">
      <alignment horizontal="center" vertical="center"/>
      <protection locked="0"/>
    </xf>
    <xf numFmtId="0" fontId="44" fillId="5" borderId="98" xfId="0" applyFont="1" applyFill="1" applyBorder="1" applyAlignment="1" applyProtection="1">
      <alignment horizontal="center" vertical="center"/>
      <protection locked="0"/>
    </xf>
    <xf numFmtId="2" fontId="44" fillId="5" borderId="3" xfId="0" applyNumberFormat="1" applyFont="1" applyFill="1" applyBorder="1" applyAlignment="1" applyProtection="1">
      <alignment horizontal="center" vertical="center"/>
      <protection locked="0"/>
    </xf>
    <xf numFmtId="1" fontId="44" fillId="5" borderId="4" xfId="0" applyNumberFormat="1" applyFont="1" applyFill="1" applyBorder="1" applyAlignment="1" applyProtection="1">
      <alignment horizontal="center" vertical="center"/>
      <protection locked="0"/>
    </xf>
    <xf numFmtId="1" fontId="44" fillId="5" borderId="3" xfId="0" applyNumberFormat="1" applyFont="1" applyFill="1" applyBorder="1" applyAlignment="1" applyProtection="1">
      <alignment horizontal="center" vertical="center"/>
      <protection locked="0"/>
    </xf>
    <xf numFmtId="1" fontId="44" fillId="5" borderId="107" xfId="0" applyNumberFormat="1" applyFont="1" applyFill="1" applyBorder="1" applyAlignment="1" applyProtection="1">
      <alignment horizontal="center" vertical="center"/>
      <protection locked="0"/>
    </xf>
    <xf numFmtId="0" fontId="44" fillId="5" borderId="102" xfId="0" applyFont="1" applyFill="1" applyBorder="1" applyAlignment="1" applyProtection="1">
      <alignment horizontal="center" vertical="center"/>
      <protection locked="0"/>
    </xf>
    <xf numFmtId="2" fontId="44" fillId="5" borderId="108" xfId="0" applyNumberFormat="1" applyFont="1" applyFill="1" applyBorder="1" applyAlignment="1" applyProtection="1">
      <alignment horizontal="center" vertical="center"/>
      <protection locked="0"/>
    </xf>
    <xf numFmtId="1" fontId="44" fillId="5" borderId="103" xfId="0" applyNumberFormat="1" applyFont="1" applyFill="1" applyBorder="1" applyAlignment="1" applyProtection="1">
      <alignment horizontal="center" vertical="center"/>
      <protection locked="0"/>
    </xf>
    <xf numFmtId="1" fontId="44" fillId="5" borderId="108" xfId="0" applyNumberFormat="1" applyFont="1" applyFill="1" applyBorder="1" applyAlignment="1" applyProtection="1">
      <alignment horizontal="center" vertical="center"/>
      <protection locked="0"/>
    </xf>
    <xf numFmtId="1" fontId="44" fillId="5" borderId="109" xfId="0" applyNumberFormat="1" applyFont="1" applyFill="1" applyBorder="1" applyAlignment="1" applyProtection="1">
      <alignment horizontal="center" vertical="center"/>
      <protection locked="0"/>
    </xf>
    <xf numFmtId="1" fontId="44" fillId="5" borderId="105" xfId="0" applyNumberFormat="1" applyFont="1" applyFill="1" applyBorder="1" applyAlignment="1" applyProtection="1">
      <alignment horizontal="center" vertical="center"/>
      <protection locked="0"/>
    </xf>
    <xf numFmtId="1" fontId="44" fillId="5" borderId="106" xfId="0" applyNumberFormat="1" applyFont="1" applyFill="1" applyBorder="1" applyAlignment="1" applyProtection="1">
      <alignment horizontal="center" vertical="center"/>
      <protection locked="0"/>
    </xf>
    <xf numFmtId="9" fontId="44" fillId="4" borderId="0" xfId="1" applyFont="1" applyFill="1" applyBorder="1" applyAlignment="1" applyProtection="1">
      <alignment horizontal="center" vertical="center"/>
    </xf>
    <xf numFmtId="0" fontId="28" fillId="5" borderId="0" xfId="0" applyFont="1" applyFill="1"/>
    <xf numFmtId="1" fontId="121" fillId="4" borderId="0" xfId="1" applyNumberFormat="1" applyFont="1" applyFill="1" applyBorder="1" applyAlignment="1" applyProtection="1">
      <alignment horizontal="center" vertical="center"/>
    </xf>
    <xf numFmtId="9" fontId="44" fillId="4" borderId="0" xfId="1" applyFont="1" applyFill="1" applyAlignment="1" applyProtection="1">
      <alignment horizontal="center" vertical="center"/>
    </xf>
    <xf numFmtId="0" fontId="44" fillId="4" borderId="0" xfId="1" applyNumberFormat="1" applyFont="1" applyFill="1" applyBorder="1" applyAlignment="1" applyProtection="1">
      <alignment horizontal="center" vertical="center"/>
    </xf>
    <xf numFmtId="0" fontId="44" fillId="4" borderId="92" xfId="1" applyNumberFormat="1" applyFont="1" applyFill="1" applyBorder="1" applyAlignment="1" applyProtection="1">
      <alignment horizontal="center" vertical="center"/>
    </xf>
    <xf numFmtId="10" fontId="12" fillId="4" borderId="0" xfId="1" applyNumberFormat="1" applyFont="1" applyFill="1" applyBorder="1" applyAlignment="1" applyProtection="1">
      <alignment horizontal="center" vertical="center" wrapText="1"/>
    </xf>
    <xf numFmtId="0" fontId="12" fillId="4" borderId="0" xfId="1" applyNumberFormat="1" applyFont="1" applyFill="1" applyBorder="1" applyAlignment="1" applyProtection="1">
      <alignment horizontal="center" vertical="center"/>
    </xf>
    <xf numFmtId="10" fontId="44" fillId="15" borderId="0" xfId="1" applyNumberFormat="1" applyFont="1" applyFill="1" applyBorder="1" applyAlignment="1" applyProtection="1">
      <alignment horizontal="center" vertical="center" wrapText="1"/>
    </xf>
    <xf numFmtId="10" fontId="12" fillId="15" borderId="0" xfId="1" applyNumberFormat="1" applyFont="1" applyFill="1" applyBorder="1" applyAlignment="1" applyProtection="1">
      <alignment horizontal="center" vertical="center" wrapText="1"/>
    </xf>
    <xf numFmtId="10" fontId="44" fillId="15" borderId="37" xfId="1" applyNumberFormat="1" applyFont="1" applyFill="1" applyBorder="1" applyAlignment="1" applyProtection="1">
      <alignment horizontal="center" vertical="center"/>
    </xf>
    <xf numFmtId="173" fontId="1" fillId="22" borderId="0" xfId="4" applyNumberFormat="1" applyFont="1" applyFill="1" applyProtection="1"/>
    <xf numFmtId="0" fontId="44" fillId="5" borderId="35" xfId="0" applyFont="1" applyFill="1" applyBorder="1" applyAlignment="1" applyProtection="1">
      <alignment horizontal="center" vertical="center"/>
      <protection locked="0"/>
    </xf>
    <xf numFmtId="9" fontId="44" fillId="5" borderId="35" xfId="1" applyFont="1" applyFill="1" applyBorder="1" applyAlignment="1" applyProtection="1">
      <alignment horizontal="center" vertical="center"/>
      <protection locked="0"/>
    </xf>
    <xf numFmtId="0" fontId="44" fillId="5" borderId="35" xfId="1" applyNumberFormat="1" applyFont="1" applyFill="1" applyBorder="1" applyAlignment="1" applyProtection="1">
      <alignment horizontal="center" vertical="center"/>
      <protection locked="0"/>
    </xf>
    <xf numFmtId="3" fontId="44" fillId="5" borderId="35" xfId="0" applyNumberFormat="1" applyFont="1" applyFill="1" applyBorder="1" applyAlignment="1" applyProtection="1">
      <alignment horizontal="center" vertical="center" wrapText="1"/>
      <protection locked="0"/>
    </xf>
    <xf numFmtId="10" fontId="44" fillId="5" borderId="35" xfId="1" applyNumberFormat="1" applyFont="1" applyFill="1" applyBorder="1" applyAlignment="1" applyProtection="1">
      <alignment horizontal="center" vertical="center"/>
      <protection locked="0"/>
    </xf>
    <xf numFmtId="3" fontId="43" fillId="5" borderId="35" xfId="0" applyNumberFormat="1" applyFont="1" applyFill="1" applyBorder="1" applyAlignment="1" applyProtection="1">
      <alignment horizontal="center" vertical="center"/>
      <protection locked="0"/>
    </xf>
    <xf numFmtId="4" fontId="32" fillId="4" borderId="0" xfId="1" applyNumberFormat="1" applyFont="1" applyFill="1" applyBorder="1" applyAlignment="1" applyProtection="1">
      <alignment horizontal="center" vertical="center" wrapText="1"/>
    </xf>
    <xf numFmtId="4" fontId="136" fillId="4" borderId="0" xfId="1" applyNumberFormat="1" applyFont="1" applyFill="1" applyBorder="1" applyAlignment="1" applyProtection="1">
      <alignment horizontal="right" vertical="center" wrapText="1"/>
    </xf>
    <xf numFmtId="174" fontId="136" fillId="4" borderId="0" xfId="1" applyNumberFormat="1" applyFont="1" applyFill="1" applyBorder="1" applyAlignment="1" applyProtection="1">
      <alignment horizontal="center" vertical="center" wrapText="1"/>
    </xf>
    <xf numFmtId="4" fontId="62" fillId="4" borderId="0" xfId="1" applyNumberFormat="1" applyFont="1" applyFill="1" applyBorder="1" applyAlignment="1" applyProtection="1">
      <alignment horizontal="right" vertical="center" wrapText="1"/>
    </xf>
    <xf numFmtId="174" fontId="62" fillId="4" borderId="0" xfId="1" applyNumberFormat="1" applyFont="1" applyFill="1" applyBorder="1" applyAlignment="1" applyProtection="1">
      <alignment horizontal="center" vertical="center" wrapText="1"/>
    </xf>
    <xf numFmtId="4" fontId="32" fillId="5" borderId="0" xfId="1" applyNumberFormat="1" applyFont="1" applyFill="1" applyBorder="1" applyAlignment="1" applyProtection="1">
      <alignment horizontal="center" vertical="center" wrapText="1"/>
    </xf>
    <xf numFmtId="4" fontId="62" fillId="5" borderId="0" xfId="1" applyNumberFormat="1" applyFont="1" applyFill="1" applyBorder="1" applyAlignment="1" applyProtection="1">
      <alignment horizontal="right" vertical="center" wrapText="1"/>
    </xf>
    <xf numFmtId="174" fontId="62" fillId="5" borderId="0" xfId="1" applyNumberFormat="1" applyFont="1" applyFill="1" applyBorder="1" applyAlignment="1" applyProtection="1">
      <alignment horizontal="center" vertical="center" wrapText="1"/>
    </xf>
    <xf numFmtId="174" fontId="48" fillId="4" borderId="0" xfId="1" applyNumberFormat="1" applyFont="1" applyFill="1" applyBorder="1" applyAlignment="1" applyProtection="1">
      <alignment horizontal="center" vertical="center" wrapText="1"/>
    </xf>
    <xf numFmtId="4" fontId="139" fillId="4" borderId="0" xfId="1" applyNumberFormat="1" applyFont="1" applyFill="1" applyBorder="1" applyAlignment="1" applyProtection="1">
      <alignment horizontal="center" vertical="center" wrapText="1"/>
    </xf>
    <xf numFmtId="4" fontId="48" fillId="4" borderId="0" xfId="1" applyNumberFormat="1" applyFont="1" applyFill="1" applyBorder="1" applyAlignment="1" applyProtection="1">
      <alignment horizontal="right" vertical="center" wrapText="1"/>
    </xf>
    <xf numFmtId="0" fontId="0" fillId="5" borderId="9" xfId="0" applyFill="1" applyBorder="1" applyAlignment="1">
      <alignment horizontal="center" vertical="center"/>
    </xf>
    <xf numFmtId="0" fontId="190" fillId="5" borderId="10" xfId="0" applyFont="1" applyFill="1" applyBorder="1" applyAlignment="1">
      <alignment horizontal="center" vertical="center"/>
    </xf>
    <xf numFmtId="0" fontId="28" fillId="5" borderId="9" xfId="0" applyFont="1" applyFill="1" applyBorder="1" applyAlignment="1">
      <alignment horizontal="center" vertical="center" wrapText="1"/>
    </xf>
    <xf numFmtId="0" fontId="193" fillId="5" borderId="0" xfId="0" applyFont="1" applyFill="1"/>
    <xf numFmtId="0" fontId="28" fillId="5" borderId="0" xfId="0" applyFont="1" applyFill="1" applyAlignment="1">
      <alignment horizontal="center" vertical="center" wrapText="1"/>
    </xf>
    <xf numFmtId="0" fontId="28" fillId="5" borderId="9" xfId="0" applyFont="1" applyFill="1" applyBorder="1" applyAlignment="1">
      <alignment horizontal="center"/>
    </xf>
    <xf numFmtId="0" fontId="28" fillId="5" borderId="10" xfId="0" applyFont="1" applyFill="1" applyBorder="1" applyAlignment="1">
      <alignment horizontal="center"/>
    </xf>
    <xf numFmtId="0" fontId="28" fillId="5" borderId="5" xfId="0" applyFont="1" applyFill="1" applyBorder="1" applyAlignment="1">
      <alignment horizontal="center"/>
    </xf>
    <xf numFmtId="0" fontId="28" fillId="5" borderId="0" xfId="0" applyFont="1" applyFill="1" applyAlignment="1">
      <alignment horizontal="center"/>
    </xf>
    <xf numFmtId="0" fontId="28" fillId="5" borderId="10"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36" fillId="5" borderId="0" xfId="6" applyFill="1" applyBorder="1" applyAlignment="1" applyProtection="1"/>
    <xf numFmtId="0" fontId="49" fillId="16" borderId="1" xfId="0" applyFont="1" applyFill="1" applyBorder="1" applyAlignment="1">
      <alignment horizontal="center" vertical="center" wrapText="1"/>
    </xf>
    <xf numFmtId="0" fontId="2" fillId="16" borderId="9" xfId="0" applyFont="1" applyFill="1" applyBorder="1" applyAlignment="1">
      <alignment horizontal="center" vertical="center"/>
    </xf>
    <xf numFmtId="0" fontId="2" fillId="16" borderId="13" xfId="0" applyFont="1" applyFill="1" applyBorder="1" applyAlignment="1">
      <alignment horizontal="center" vertical="center" wrapText="1"/>
    </xf>
    <xf numFmtId="0" fontId="0" fillId="22" borderId="0" xfId="0" applyFill="1"/>
    <xf numFmtId="0" fontId="37" fillId="5" borderId="0" xfId="0" applyFont="1" applyFill="1" applyAlignment="1">
      <alignment horizontal="left"/>
    </xf>
    <xf numFmtId="0" fontId="152" fillId="5" borderId="0" xfId="0" applyFont="1" applyFill="1"/>
    <xf numFmtId="0" fontId="152" fillId="5" borderId="0" xfId="0" applyFont="1" applyFill="1" applyAlignment="1">
      <alignment horizontal="left" wrapText="1"/>
    </xf>
    <xf numFmtId="0" fontId="153" fillId="5" borderId="0" xfId="0" applyFont="1" applyFill="1" applyAlignment="1">
      <alignment horizontal="left"/>
    </xf>
    <xf numFmtId="0" fontId="132" fillId="5" borderId="0" xfId="0" applyFont="1" applyFill="1"/>
    <xf numFmtId="0" fontId="154" fillId="5" borderId="0" xfId="0" applyFont="1" applyFill="1" applyAlignment="1">
      <alignment horizontal="left" vertical="top"/>
    </xf>
    <xf numFmtId="0" fontId="155" fillId="5" borderId="0" xfId="0" applyFont="1" applyFill="1" applyAlignment="1">
      <alignment horizontal="left" vertical="top"/>
    </xf>
    <xf numFmtId="0" fontId="43" fillId="5" borderId="0" xfId="0" applyFont="1" applyFill="1"/>
    <xf numFmtId="0" fontId="168" fillId="5" borderId="0" xfId="0" applyFont="1" applyFill="1"/>
    <xf numFmtId="0" fontId="159" fillId="5" borderId="0" xfId="0" applyFont="1" applyFill="1" applyAlignment="1">
      <alignment horizontal="left" vertical="top"/>
    </xf>
    <xf numFmtId="0" fontId="160" fillId="5" borderId="0" xfId="0" applyFont="1" applyFill="1" applyAlignment="1">
      <alignment horizontal="left" vertical="top"/>
    </xf>
    <xf numFmtId="0" fontId="161" fillId="5" borderId="0" xfId="0" applyFont="1" applyFill="1" applyAlignment="1">
      <alignment horizontal="right" vertical="center"/>
    </xf>
    <xf numFmtId="0" fontId="13" fillId="19" borderId="0" xfId="0" applyFont="1" applyFill="1" applyAlignment="1">
      <alignment vertical="top" wrapText="1"/>
    </xf>
    <xf numFmtId="0" fontId="43" fillId="4" borderId="0" xfId="0" applyFont="1" applyFill="1"/>
    <xf numFmtId="0" fontId="157" fillId="4" borderId="0" xfId="0" applyFont="1" applyFill="1" applyAlignment="1">
      <alignment horizontal="left" vertical="top" wrapText="1"/>
    </xf>
    <xf numFmtId="0" fontId="43" fillId="4" borderId="0" xfId="0" applyFont="1" applyFill="1" applyAlignment="1">
      <alignment horizontal="left" vertical="top" wrapText="1"/>
    </xf>
    <xf numFmtId="0" fontId="39" fillId="4" borderId="0" xfId="0" applyFont="1" applyFill="1" applyAlignment="1">
      <alignment horizontal="right"/>
    </xf>
    <xf numFmtId="0" fontId="157" fillId="4" borderId="0" xfId="0" applyFont="1" applyFill="1" applyAlignment="1">
      <alignment vertical="center" wrapText="1"/>
    </xf>
    <xf numFmtId="0" fontId="157" fillId="4" borderId="0" xfId="0" applyFont="1" applyFill="1" applyAlignment="1">
      <alignment horizontal="left" vertical="center" wrapText="1"/>
    </xf>
    <xf numFmtId="0" fontId="157" fillId="4" borderId="0" xfId="0" applyFont="1" applyFill="1" applyAlignment="1">
      <alignment vertical="center"/>
    </xf>
    <xf numFmtId="0" fontId="43" fillId="4" borderId="0" xfId="0" applyFont="1" applyFill="1" applyAlignment="1">
      <alignment vertical="center"/>
    </xf>
    <xf numFmtId="0" fontId="163" fillId="4" borderId="0" xfId="0" applyFont="1" applyFill="1" applyAlignment="1">
      <alignment horizontal="left" vertical="center"/>
    </xf>
    <xf numFmtId="0" fontId="43" fillId="4" borderId="0" xfId="0" applyFont="1" applyFill="1" applyAlignment="1">
      <alignment horizontal="left" vertical="center"/>
    </xf>
    <xf numFmtId="0" fontId="164" fillId="4" borderId="0" xfId="0" applyFont="1" applyFill="1" applyAlignment="1">
      <alignment horizontal="left" vertical="center"/>
    </xf>
    <xf numFmtId="0" fontId="12" fillId="4" borderId="0" xfId="0" applyFont="1" applyFill="1" applyAlignment="1">
      <alignment horizontal="left" vertical="top"/>
    </xf>
    <xf numFmtId="0" fontId="43" fillId="4" borderId="0" xfId="0" applyFont="1" applyFill="1" applyAlignment="1">
      <alignment horizontal="left" vertical="top"/>
    </xf>
    <xf numFmtId="0" fontId="43" fillId="4" borderId="0" xfId="0" applyFont="1" applyFill="1" applyAlignment="1">
      <alignment horizontal="center" vertical="top"/>
    </xf>
    <xf numFmtId="0" fontId="165" fillId="4" borderId="0" xfId="0" applyFont="1" applyFill="1" applyAlignment="1">
      <alignment horizontal="left" vertical="top"/>
    </xf>
    <xf numFmtId="0" fontId="12" fillId="4" borderId="0" xfId="0" applyFont="1" applyFill="1" applyAlignment="1">
      <alignment horizontal="left" vertical="center"/>
    </xf>
    <xf numFmtId="0" fontId="43" fillId="4" borderId="0" xfId="0" applyFont="1" applyFill="1" applyAlignment="1">
      <alignment vertical="top"/>
    </xf>
    <xf numFmtId="0" fontId="48" fillId="4" borderId="0" xfId="0" applyFont="1" applyFill="1" applyAlignment="1">
      <alignment horizontal="left" vertical="center"/>
    </xf>
    <xf numFmtId="0" fontId="39" fillId="4" borderId="0" xfId="0" applyFont="1" applyFill="1" applyAlignment="1">
      <alignment horizontal="left" vertical="top"/>
    </xf>
    <xf numFmtId="0" fontId="46" fillId="4" borderId="0" xfId="0" applyFont="1" applyFill="1" applyAlignment="1">
      <alignment horizontal="left" vertical="center"/>
    </xf>
    <xf numFmtId="0" fontId="44" fillId="4" borderId="0" xfId="0" applyFont="1" applyFill="1" applyAlignment="1">
      <alignment horizontal="left" vertical="top"/>
    </xf>
    <xf numFmtId="0" fontId="156" fillId="5" borderId="0" xfId="0" applyFont="1" applyFill="1" applyAlignment="1">
      <alignment horizontal="left" vertical="center" indent="2"/>
    </xf>
    <xf numFmtId="0" fontId="135" fillId="19" borderId="0" xfId="0" applyFont="1" applyFill="1" applyAlignment="1">
      <alignment vertical="top" wrapText="1"/>
    </xf>
    <xf numFmtId="0" fontId="158" fillId="4" borderId="0" xfId="0" applyFont="1" applyFill="1" applyAlignment="1">
      <alignment horizontal="left" vertical="top" wrapText="1"/>
    </xf>
    <xf numFmtId="0" fontId="158" fillId="4" borderId="0" xfId="0" applyFont="1" applyFill="1"/>
    <xf numFmtId="0" fontId="3" fillId="4" borderId="0" xfId="0" applyFont="1" applyFill="1" applyAlignment="1">
      <alignment horizontal="right"/>
    </xf>
    <xf numFmtId="0" fontId="3" fillId="4" borderId="0" xfId="0" applyFont="1" applyFill="1" applyAlignment="1">
      <alignment horizontal="right" vertical="center"/>
    </xf>
    <xf numFmtId="0" fontId="25" fillId="4" borderId="0" xfId="0" applyFont="1" applyFill="1" applyAlignment="1">
      <alignment vertical="center"/>
    </xf>
    <xf numFmtId="0" fontId="156" fillId="5" borderId="0" xfId="0" applyFont="1" applyFill="1" applyAlignment="1">
      <alignment horizontal="left" vertical="top"/>
    </xf>
    <xf numFmtId="0" fontId="0" fillId="5" borderId="0" xfId="0" applyFill="1" applyAlignment="1">
      <alignment horizontal="left" vertical="top"/>
    </xf>
    <xf numFmtId="0" fontId="158" fillId="5" borderId="0" xfId="0" applyFont="1" applyFill="1"/>
    <xf numFmtId="0" fontId="158" fillId="22" borderId="0" xfId="0" applyFont="1" applyFill="1"/>
    <xf numFmtId="0" fontId="158" fillId="0" borderId="0" xfId="0" applyFont="1"/>
    <xf numFmtId="186" fontId="174" fillId="5" borderId="0" xfId="0" applyNumberFormat="1" applyFont="1" applyFill="1"/>
    <xf numFmtId="0" fontId="157" fillId="5" borderId="0" xfId="0" applyFont="1" applyFill="1" applyAlignment="1">
      <alignment vertical="center" wrapText="1"/>
    </xf>
    <xf numFmtId="0" fontId="175" fillId="5" borderId="0" xfId="0" applyFont="1" applyFill="1"/>
    <xf numFmtId="14" fontId="158" fillId="5" borderId="0" xfId="0" applyNumberFormat="1" applyFont="1" applyFill="1"/>
    <xf numFmtId="0" fontId="158" fillId="5" borderId="0" xfId="0" applyFont="1" applyFill="1" applyAlignment="1">
      <alignment vertical="center"/>
    </xf>
    <xf numFmtId="0" fontId="48" fillId="5" borderId="0" xfId="0" applyFont="1" applyFill="1" applyAlignment="1">
      <alignment horizontal="left" vertical="center"/>
    </xf>
    <xf numFmtId="0" fontId="42" fillId="5" borderId="0" xfId="0" applyFont="1" applyFill="1" applyAlignment="1">
      <alignment horizontal="left" vertical="center"/>
    </xf>
    <xf numFmtId="0" fontId="171" fillId="5" borderId="0" xfId="0" applyFont="1" applyFill="1" applyAlignment="1">
      <alignment vertical="center"/>
    </xf>
    <xf numFmtId="0" fontId="162" fillId="5" borderId="0" xfId="0" applyFont="1" applyFill="1" applyAlignment="1">
      <alignment vertical="center"/>
    </xf>
    <xf numFmtId="0" fontId="158" fillId="22" borderId="0" xfId="0" applyFont="1" applyFill="1" applyAlignment="1">
      <alignment vertical="center"/>
    </xf>
    <xf numFmtId="0" fontId="158" fillId="0" borderId="0" xfId="0" applyFont="1" applyAlignment="1">
      <alignment vertical="center"/>
    </xf>
    <xf numFmtId="0" fontId="172" fillId="16" borderId="0" xfId="0" applyFont="1" applyFill="1" applyAlignment="1">
      <alignment vertical="center"/>
    </xf>
    <xf numFmtId="0" fontId="172" fillId="16" borderId="0" xfId="0" applyFont="1" applyFill="1" applyAlignment="1">
      <alignment horizontal="left" vertical="center"/>
    </xf>
    <xf numFmtId="0" fontId="172" fillId="16" borderId="0" xfId="0" applyFont="1" applyFill="1" applyAlignment="1">
      <alignment horizontal="right" vertical="center" indent="1"/>
    </xf>
    <xf numFmtId="0" fontId="173" fillId="16" borderId="0" xfId="0" applyFont="1" applyFill="1" applyAlignment="1">
      <alignment vertical="center"/>
    </xf>
    <xf numFmtId="0" fontId="48" fillId="22" borderId="4" xfId="0" applyFont="1" applyFill="1" applyBorder="1" applyAlignment="1">
      <alignment vertical="top"/>
    </xf>
    <xf numFmtId="0" fontId="172" fillId="16" borderId="124" xfId="0" applyFont="1" applyFill="1" applyBorder="1" applyAlignment="1">
      <alignment vertical="center"/>
    </xf>
    <xf numFmtId="0" fontId="172" fillId="16" borderId="124" xfId="0" applyFont="1" applyFill="1" applyBorder="1" applyAlignment="1">
      <alignment horizontal="left" vertical="center"/>
    </xf>
    <xf numFmtId="0" fontId="172" fillId="16" borderId="124" xfId="0" applyFont="1" applyFill="1" applyBorder="1" applyAlignment="1">
      <alignment horizontal="right" vertical="center" indent="1"/>
    </xf>
    <xf numFmtId="0" fontId="173" fillId="34" borderId="125" xfId="0" applyFont="1" applyFill="1" applyBorder="1" applyAlignment="1">
      <alignment vertical="center"/>
    </xf>
    <xf numFmtId="0" fontId="173" fillId="34" borderId="125" xfId="0" applyFont="1" applyFill="1" applyBorder="1" applyAlignment="1">
      <alignment horizontal="center" vertical="center"/>
    </xf>
    <xf numFmtId="0" fontId="173" fillId="34" borderId="0" xfId="0" applyFont="1" applyFill="1" applyAlignment="1">
      <alignment vertical="center"/>
    </xf>
    <xf numFmtId="0" fontId="173" fillId="34" borderId="0" xfId="0" applyFont="1" applyFill="1" applyAlignment="1">
      <alignment horizontal="center" vertical="center"/>
    </xf>
    <xf numFmtId="0" fontId="173" fillId="34" borderId="128" xfId="0" applyFont="1" applyFill="1" applyBorder="1" applyAlignment="1">
      <alignment horizontal="center" vertical="center"/>
    </xf>
    <xf numFmtId="0" fontId="173" fillId="34" borderId="130" xfId="0" applyFont="1" applyFill="1" applyBorder="1" applyAlignment="1">
      <alignment horizontal="center" vertical="center"/>
    </xf>
    <xf numFmtId="0" fontId="176" fillId="0" borderId="0" xfId="0" applyFont="1" applyAlignment="1">
      <alignment horizontal="center" vertical="center"/>
    </xf>
    <xf numFmtId="0" fontId="178" fillId="0" borderId="137" xfId="0" applyFont="1" applyBorder="1" applyAlignment="1">
      <alignment horizontal="center" vertical="center"/>
    </xf>
    <xf numFmtId="0" fontId="178" fillId="0" borderId="146" xfId="0" applyFont="1" applyBorder="1" applyAlignment="1">
      <alignment horizontal="center" vertical="center"/>
    </xf>
    <xf numFmtId="0" fontId="178" fillId="0" borderId="0" xfId="0" applyFont="1" applyAlignment="1">
      <alignment horizontal="center" vertical="center"/>
    </xf>
    <xf numFmtId="49" fontId="179" fillId="6" borderId="0" xfId="0" applyNumberFormat="1" applyFont="1" applyFill="1" applyAlignment="1">
      <alignment horizontal="center" vertical="center"/>
    </xf>
    <xf numFmtId="14" fontId="179" fillId="6" borderId="147" xfId="0" applyNumberFormat="1" applyFont="1" applyFill="1" applyBorder="1" applyAlignment="1">
      <alignment horizontal="center" vertical="center"/>
    </xf>
    <xf numFmtId="186" fontId="180" fillId="0" borderId="149" xfId="0" applyNumberFormat="1" applyFont="1" applyBorder="1" applyAlignment="1">
      <alignment horizontal="left" vertical="center" wrapText="1"/>
    </xf>
    <xf numFmtId="174" fontId="44" fillId="39" borderId="149" xfId="0" applyNumberFormat="1" applyFont="1" applyFill="1" applyBorder="1" applyAlignment="1">
      <alignment horizontal="center" vertical="center"/>
    </xf>
    <xf numFmtId="0" fontId="44" fillId="39" borderId="149" xfId="0" applyFont="1" applyFill="1" applyBorder="1" applyAlignment="1">
      <alignment horizontal="center" vertical="center"/>
    </xf>
    <xf numFmtId="0" fontId="44" fillId="0" borderId="149" xfId="0" applyFont="1" applyBorder="1" applyAlignment="1">
      <alignment horizontal="left" vertical="center" wrapText="1"/>
    </xf>
    <xf numFmtId="0" fontId="44" fillId="37" borderId="150" xfId="0" applyFont="1" applyFill="1" applyBorder="1" applyAlignment="1">
      <alignment horizontal="left" vertical="center" wrapText="1"/>
    </xf>
    <xf numFmtId="186" fontId="180" fillId="0" borderId="143" xfId="0" applyNumberFormat="1" applyFont="1" applyBorder="1" applyAlignment="1">
      <alignment horizontal="left" vertical="center" wrapText="1" shrinkToFit="1"/>
    </xf>
    <xf numFmtId="174" fontId="44" fillId="39" borderId="143" xfId="0" applyNumberFormat="1" applyFont="1" applyFill="1" applyBorder="1" applyAlignment="1">
      <alignment horizontal="center" vertical="center"/>
    </xf>
    <xf numFmtId="0" fontId="44" fillId="39" borderId="143" xfId="0" applyFont="1" applyFill="1" applyBorder="1" applyAlignment="1">
      <alignment horizontal="center" vertical="center"/>
    </xf>
    <xf numFmtId="0" fontId="44" fillId="0" borderId="143" xfId="0" applyFont="1" applyBorder="1" applyAlignment="1">
      <alignment horizontal="left" vertical="center" wrapText="1"/>
    </xf>
    <xf numFmtId="0" fontId="44" fillId="37" borderId="152" xfId="0" applyFont="1" applyFill="1" applyBorder="1" applyAlignment="1">
      <alignment horizontal="left" vertical="center" wrapText="1"/>
    </xf>
    <xf numFmtId="0" fontId="181" fillId="5" borderId="0" xfId="0" applyFont="1" applyFill="1" applyAlignment="1">
      <alignment vertical="center"/>
    </xf>
    <xf numFmtId="0" fontId="48" fillId="2" borderId="151" xfId="0" applyFont="1" applyFill="1" applyBorder="1" applyAlignment="1">
      <alignment horizontal="left" vertical="center" wrapText="1"/>
    </xf>
    <xf numFmtId="0" fontId="48" fillId="2" borderId="170" xfId="0" applyFont="1" applyFill="1" applyBorder="1" applyAlignment="1">
      <alignment horizontal="left" vertical="center" wrapText="1"/>
    </xf>
    <xf numFmtId="186" fontId="44" fillId="2" borderId="143" xfId="0" applyNumberFormat="1" applyFont="1" applyFill="1" applyBorder="1" applyAlignment="1">
      <alignment vertical="center" wrapText="1"/>
    </xf>
    <xf numFmtId="186" fontId="44" fillId="2" borderId="143" xfId="0" applyNumberFormat="1" applyFont="1" applyFill="1" applyBorder="1" applyAlignment="1">
      <alignment horizontal="center" vertical="center"/>
    </xf>
    <xf numFmtId="0" fontId="44" fillId="2" borderId="143" xfId="0" applyFont="1" applyFill="1" applyBorder="1" applyAlignment="1">
      <alignment horizontal="center" vertical="center"/>
    </xf>
    <xf numFmtId="0" fontId="44" fillId="2" borderId="143" xfId="0" applyFont="1" applyFill="1" applyBorder="1" applyAlignment="1">
      <alignment horizontal="left" vertical="center" wrapText="1"/>
    </xf>
    <xf numFmtId="0" fontId="44" fillId="2" borderId="152" xfId="0" applyFont="1" applyFill="1" applyBorder="1" applyAlignment="1">
      <alignment horizontal="left" vertical="center" wrapText="1"/>
    </xf>
    <xf numFmtId="0" fontId="181" fillId="22" borderId="0" xfId="0" applyFont="1" applyFill="1" applyAlignment="1">
      <alignment vertical="center"/>
    </xf>
    <xf numFmtId="0" fontId="181" fillId="0" borderId="0" xfId="0" applyFont="1" applyAlignment="1">
      <alignment vertical="center"/>
    </xf>
    <xf numFmtId="0" fontId="181" fillId="5" borderId="0" xfId="0" applyFont="1" applyFill="1"/>
    <xf numFmtId="0" fontId="181" fillId="22" borderId="0" xfId="0" applyFont="1" applyFill="1"/>
    <xf numFmtId="0" fontId="181" fillId="0" borderId="0" xfId="0" applyFont="1"/>
    <xf numFmtId="0" fontId="48" fillId="2" borderId="151" xfId="0" applyFont="1" applyFill="1" applyBorder="1" applyAlignment="1">
      <alignment horizontal="left" vertical="center"/>
    </xf>
    <xf numFmtId="0" fontId="48" fillId="2" borderId="170" xfId="0" applyFont="1" applyFill="1" applyBorder="1" applyAlignment="1">
      <alignment horizontal="left" vertical="center"/>
    </xf>
    <xf numFmtId="0" fontId="44" fillId="2" borderId="143" xfId="0" applyFont="1" applyFill="1" applyBorder="1" applyAlignment="1">
      <alignment horizontal="left" vertical="center"/>
    </xf>
    <xf numFmtId="0" fontId="44" fillId="2" borderId="152" xfId="0" applyFont="1" applyFill="1" applyBorder="1" applyAlignment="1">
      <alignment vertical="center" wrapText="1"/>
    </xf>
    <xf numFmtId="0" fontId="48" fillId="2" borderId="136" xfId="0" applyFont="1" applyFill="1" applyBorder="1" applyAlignment="1">
      <alignment horizontal="left" vertical="center"/>
    </xf>
    <xf numFmtId="0" fontId="48" fillId="2" borderId="171" xfId="0" applyFont="1" applyFill="1" applyBorder="1" applyAlignment="1">
      <alignment horizontal="left" vertical="center"/>
    </xf>
    <xf numFmtId="186" fontId="44" fillId="2" borderId="138" xfId="0" applyNumberFormat="1" applyFont="1" applyFill="1" applyBorder="1" applyAlignment="1">
      <alignment vertical="center"/>
    </xf>
    <xf numFmtId="186" fontId="44" fillId="2" borderId="138" xfId="0" applyNumberFormat="1" applyFont="1" applyFill="1" applyBorder="1" applyAlignment="1">
      <alignment horizontal="center" vertical="center"/>
    </xf>
    <xf numFmtId="186" fontId="44" fillId="2" borderId="139" xfId="0" applyNumberFormat="1" applyFont="1" applyFill="1" applyBorder="1" applyAlignment="1">
      <alignment horizontal="center" vertical="center"/>
    </xf>
    <xf numFmtId="0" fontId="43" fillId="2" borderId="139" xfId="0" applyFont="1" applyFill="1" applyBorder="1" applyAlignment="1">
      <alignment horizontal="left" vertical="center"/>
    </xf>
    <xf numFmtId="0" fontId="43" fillId="2" borderId="140" xfId="0" applyFont="1" applyFill="1" applyBorder="1" applyAlignment="1">
      <alignment vertical="center"/>
    </xf>
    <xf numFmtId="0" fontId="48" fillId="5" borderId="120" xfId="0" applyFont="1" applyFill="1" applyBorder="1" applyAlignment="1">
      <alignment horizontal="left" vertical="center"/>
    </xf>
    <xf numFmtId="0" fontId="48" fillId="5" borderId="121" xfId="0" applyFont="1" applyFill="1" applyBorder="1" applyAlignment="1">
      <alignment horizontal="left" vertical="center"/>
    </xf>
    <xf numFmtId="186" fontId="48" fillId="5" borderId="141" xfId="0" applyNumberFormat="1" applyFont="1" applyFill="1" applyBorder="1" applyAlignment="1">
      <alignment horizontal="right" vertical="center"/>
    </xf>
    <xf numFmtId="186" fontId="48" fillId="5" borderId="141" xfId="0" applyNumberFormat="1" applyFont="1" applyFill="1" applyBorder="1" applyAlignment="1">
      <alignment horizontal="center" vertical="center"/>
    </xf>
    <xf numFmtId="186" fontId="47" fillId="5" borderId="141" xfId="0" applyNumberFormat="1" applyFont="1" applyFill="1" applyBorder="1" applyAlignment="1">
      <alignment horizontal="center" vertical="center"/>
    </xf>
    <xf numFmtId="0" fontId="47" fillId="5" borderId="141" xfId="0" applyFont="1" applyFill="1" applyBorder="1" applyAlignment="1">
      <alignment horizontal="left" vertical="center"/>
    </xf>
    <xf numFmtId="0" fontId="43" fillId="5" borderId="142" xfId="0" applyFont="1" applyFill="1" applyBorder="1"/>
    <xf numFmtId="0" fontId="170" fillId="5" borderId="0" xfId="0" applyFont="1" applyFill="1"/>
    <xf numFmtId="0" fontId="170" fillId="22" borderId="0" xfId="0" applyFont="1" applyFill="1"/>
    <xf numFmtId="0" fontId="170" fillId="0" borderId="0" xfId="0" applyFont="1"/>
    <xf numFmtId="174" fontId="43" fillId="2" borderId="4" xfId="0" applyNumberFormat="1" applyFont="1" applyFill="1" applyBorder="1" applyAlignment="1">
      <alignment horizontal="center" vertical="center"/>
    </xf>
    <xf numFmtId="0" fontId="174" fillId="5" borderId="0" xfId="0" applyFont="1" applyFill="1"/>
    <xf numFmtId="0" fontId="47" fillId="5" borderId="0" xfId="0" applyFont="1" applyFill="1" applyAlignment="1">
      <alignment horizontal="right"/>
    </xf>
    <xf numFmtId="174" fontId="47" fillId="5" borderId="0" xfId="0" applyNumberFormat="1" applyFont="1" applyFill="1" applyAlignment="1">
      <alignment horizontal="center" vertical="center"/>
    </xf>
    <xf numFmtId="0" fontId="174" fillId="22" borderId="0" xfId="0" applyFont="1" applyFill="1"/>
    <xf numFmtId="0" fontId="174" fillId="0" borderId="0" xfId="0" applyFont="1"/>
    <xf numFmtId="0" fontId="133" fillId="36" borderId="1" xfId="0" applyFont="1" applyFill="1" applyBorder="1" applyAlignment="1">
      <alignment horizontal="center" vertical="center"/>
    </xf>
    <xf numFmtId="0" fontId="38" fillId="5" borderId="0" xfId="0" applyFont="1" applyFill="1"/>
    <xf numFmtId="0" fontId="141" fillId="5" borderId="0" xfId="0" applyFont="1" applyFill="1"/>
    <xf numFmtId="0" fontId="38" fillId="5" borderId="99" xfId="0" applyFont="1" applyFill="1" applyBorder="1"/>
    <xf numFmtId="0" fontId="0" fillId="5" borderId="100" xfId="0" applyFill="1" applyBorder="1"/>
    <xf numFmtId="0" fontId="38" fillId="5" borderId="100" xfId="0" applyFont="1" applyFill="1" applyBorder="1"/>
    <xf numFmtId="0" fontId="0" fillId="5" borderId="97" xfId="0" applyFill="1" applyBorder="1"/>
    <xf numFmtId="0" fontId="0" fillId="5" borderId="93" xfId="0" applyFill="1" applyBorder="1"/>
    <xf numFmtId="0" fontId="0" fillId="5" borderId="82" xfId="0" applyFill="1" applyBorder="1"/>
    <xf numFmtId="0" fontId="38" fillId="5" borderId="93" xfId="0" applyFont="1" applyFill="1" applyBorder="1"/>
    <xf numFmtId="0" fontId="139" fillId="5" borderId="0" xfId="0" applyFont="1" applyFill="1"/>
    <xf numFmtId="0" fontId="139" fillId="5" borderId="0" xfId="0" applyFont="1" applyFill="1" applyAlignment="1">
      <alignment vertical="center"/>
    </xf>
    <xf numFmtId="0" fontId="139" fillId="5" borderId="93" xfId="0" applyFont="1" applyFill="1" applyBorder="1"/>
    <xf numFmtId="0" fontId="140" fillId="16" borderId="6" xfId="0" applyFont="1" applyFill="1" applyBorder="1" applyAlignment="1">
      <alignment horizontal="center" vertical="center" wrapText="1"/>
    </xf>
    <xf numFmtId="0" fontId="140" fillId="16" borderId="8" xfId="0" applyFont="1" applyFill="1" applyBorder="1" applyAlignment="1">
      <alignment horizontal="center" vertical="center" wrapText="1"/>
    </xf>
    <xf numFmtId="0" fontId="140" fillId="5" borderId="0" xfId="0" applyFont="1" applyFill="1"/>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32" fillId="5" borderId="0" xfId="0" applyFont="1" applyFill="1"/>
    <xf numFmtId="0" fontId="139" fillId="5" borderId="11" xfId="0" applyFont="1" applyFill="1" applyBorder="1" applyAlignment="1">
      <alignment horizontal="left" vertical="center"/>
    </xf>
    <xf numFmtId="0" fontId="139" fillId="5" borderId="12" xfId="0" applyFont="1" applyFill="1" applyBorder="1" applyAlignment="1">
      <alignment horizontal="center" vertical="center"/>
    </xf>
    <xf numFmtId="0" fontId="2" fillId="5" borderId="11" xfId="0" applyFont="1" applyFill="1" applyBorder="1" applyAlignment="1">
      <alignment horizontal="left"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139" fillId="5" borderId="0" xfId="0" applyFont="1" applyFill="1" applyAlignment="1">
      <alignment horizontal="left" indent="5"/>
    </xf>
    <xf numFmtId="0" fontId="0" fillId="5" borderId="35" xfId="0" applyFill="1" applyBorder="1"/>
    <xf numFmtId="0" fontId="139" fillId="5" borderId="101" xfId="0" applyFont="1" applyFill="1" applyBorder="1"/>
    <xf numFmtId="0" fontId="0" fillId="5" borderId="92" xfId="0" applyFill="1" applyBorder="1"/>
    <xf numFmtId="0" fontId="139" fillId="5" borderId="92" xfId="0" applyFont="1" applyFill="1" applyBorder="1"/>
    <xf numFmtId="0" fontId="0" fillId="5" borderId="94" xfId="0" applyFill="1" applyBorder="1"/>
    <xf numFmtId="0" fontId="0" fillId="5" borderId="99" xfId="0" applyFill="1" applyBorder="1"/>
    <xf numFmtId="0" fontId="136" fillId="5" borderId="93" xfId="0" applyFont="1" applyFill="1" applyBorder="1" applyAlignment="1">
      <alignment vertical="top" wrapText="1"/>
    </xf>
    <xf numFmtId="0" fontId="32" fillId="5" borderId="82" xfId="0" applyFont="1" applyFill="1" applyBorder="1"/>
    <xf numFmtId="0" fontId="32" fillId="22" borderId="0" xfId="0" applyFont="1" applyFill="1"/>
    <xf numFmtId="0" fontId="0" fillId="5" borderId="0" xfId="0" applyFill="1" applyAlignment="1">
      <alignment horizontal="left" vertical="top" indent="10"/>
    </xf>
    <xf numFmtId="0" fontId="123" fillId="5" borderId="0" xfId="0" applyFont="1" applyFill="1" applyAlignment="1">
      <alignment vertical="top"/>
    </xf>
    <xf numFmtId="0" fontId="91" fillId="5" borderId="0" xfId="0" applyFont="1" applyFill="1"/>
    <xf numFmtId="0" fontId="0" fillId="5" borderId="101" xfId="0" applyFill="1" applyBorder="1"/>
    <xf numFmtId="0" fontId="127" fillId="5" borderId="0" xfId="0" applyFont="1" applyFill="1"/>
    <xf numFmtId="0" fontId="98" fillId="5" borderId="0" xfId="0" applyFont="1" applyFill="1" applyAlignment="1">
      <alignment horizontal="center" vertical="center"/>
    </xf>
    <xf numFmtId="0" fontId="45" fillId="5" borderId="0" xfId="0" applyFont="1" applyFill="1" applyAlignment="1">
      <alignment vertical="center"/>
    </xf>
    <xf numFmtId="0" fontId="40" fillId="18" borderId="0" xfId="0" applyFont="1" applyFill="1" applyAlignment="1">
      <alignment vertical="top" wrapText="1"/>
    </xf>
    <xf numFmtId="0" fontId="41" fillId="18" borderId="0" xfId="0" applyFont="1" applyFill="1" applyAlignment="1">
      <alignment vertical="center"/>
    </xf>
    <xf numFmtId="0" fontId="41" fillId="18" borderId="0" xfId="0" applyFont="1" applyFill="1" applyAlignment="1">
      <alignment vertical="center" wrapText="1"/>
    </xf>
    <xf numFmtId="0" fontId="41" fillId="18" borderId="0" xfId="0" applyFont="1" applyFill="1" applyAlignment="1">
      <alignment horizontal="left" vertical="center" wrapText="1"/>
    </xf>
    <xf numFmtId="0" fontId="13" fillId="19" borderId="0" xfId="0" applyFont="1" applyFill="1" applyAlignment="1">
      <alignment horizontal="left" vertical="top" wrapText="1"/>
    </xf>
    <xf numFmtId="0" fontId="40" fillId="4" borderId="0" xfId="0" applyFont="1" applyFill="1" applyAlignment="1">
      <alignment vertical="top" wrapText="1"/>
    </xf>
    <xf numFmtId="0" fontId="41" fillId="4" borderId="0" xfId="0" applyFont="1" applyFill="1" applyAlignment="1">
      <alignment vertical="center"/>
    </xf>
    <xf numFmtId="0" fontId="41" fillId="4" borderId="0" xfId="0" applyFont="1" applyFill="1" applyAlignment="1">
      <alignment vertical="center" wrapText="1"/>
    </xf>
    <xf numFmtId="0" fontId="41" fillId="4" borderId="0" xfId="0" applyFont="1" applyFill="1" applyAlignment="1">
      <alignment horizontal="left" vertical="center" wrapText="1"/>
    </xf>
    <xf numFmtId="0" fontId="13" fillId="4" borderId="0" xfId="0" applyFont="1" applyFill="1" applyAlignment="1">
      <alignment horizontal="left" vertical="top" wrapText="1"/>
    </xf>
    <xf numFmtId="0" fontId="13" fillId="4" borderId="0" xfId="0" applyFont="1" applyFill="1" applyAlignment="1">
      <alignment vertical="top" wrapText="1"/>
    </xf>
    <xf numFmtId="0" fontId="44" fillId="4" borderId="0" xfId="0" applyFont="1" applyFill="1" applyAlignment="1">
      <alignment horizontal="left" vertical="center"/>
    </xf>
    <xf numFmtId="1" fontId="44" fillId="4" borderId="0" xfId="0" applyNumberFormat="1" applyFont="1" applyFill="1" applyAlignment="1">
      <alignment horizontal="center" vertical="center"/>
    </xf>
    <xf numFmtId="0" fontId="66" fillId="4" borderId="0" xfId="0" applyFont="1" applyFill="1" applyAlignment="1">
      <alignment vertical="center"/>
    </xf>
    <xf numFmtId="0" fontId="44" fillId="4" borderId="0" xfId="0" applyFont="1" applyFill="1" applyAlignment="1">
      <alignment vertical="center"/>
    </xf>
    <xf numFmtId="0" fontId="49" fillId="6" borderId="4" xfId="0" applyFont="1" applyFill="1" applyBorder="1" applyAlignment="1">
      <alignment horizontal="left" vertical="center"/>
    </xf>
    <xf numFmtId="0" fontId="13" fillId="4" borderId="0" xfId="0" applyFont="1" applyFill="1" applyAlignment="1">
      <alignment horizontal="right" vertical="center"/>
    </xf>
    <xf numFmtId="0" fontId="7" fillId="22" borderId="0" xfId="0" applyFont="1" applyFill="1" applyAlignment="1">
      <alignment horizontal="center"/>
    </xf>
    <xf numFmtId="0" fontId="44" fillId="4" borderId="0" xfId="0" applyFont="1" applyFill="1" applyAlignment="1">
      <alignment horizontal="right" vertical="center"/>
    </xf>
    <xf numFmtId="0" fontId="0" fillId="4" borderId="0" xfId="0" applyFill="1" applyAlignment="1">
      <alignment horizontal="center"/>
    </xf>
    <xf numFmtId="0" fontId="44" fillId="4" borderId="0" xfId="0" applyFont="1" applyFill="1" applyAlignment="1">
      <alignment vertical="top" wrapText="1"/>
    </xf>
    <xf numFmtId="0" fontId="0" fillId="22" borderId="0" xfId="0" applyFill="1" applyAlignment="1">
      <alignment horizontal="left" vertical="center"/>
    </xf>
    <xf numFmtId="0" fontId="48" fillId="4" borderId="0" xfId="0" applyFont="1" applyFill="1"/>
    <xf numFmtId="0" fontId="43" fillId="4" borderId="0" xfId="0" applyFont="1" applyFill="1" applyAlignment="1">
      <alignment horizontal="right" vertical="center"/>
    </xf>
    <xf numFmtId="0" fontId="0" fillId="4" borderId="0" xfId="0" applyFill="1" applyAlignment="1">
      <alignment horizontal="left" vertical="center"/>
    </xf>
    <xf numFmtId="0" fontId="44" fillId="3" borderId="9" xfId="0" applyFont="1" applyFill="1" applyBorder="1" applyAlignment="1">
      <alignment horizontal="center" vertical="center"/>
    </xf>
    <xf numFmtId="0" fontId="44" fillId="3" borderId="9" xfId="0" applyFont="1" applyFill="1" applyBorder="1" applyAlignment="1">
      <alignment horizontal="center" vertical="center" wrapText="1"/>
    </xf>
    <xf numFmtId="0" fontId="34" fillId="5" borderId="0" xfId="0" applyFont="1" applyFill="1"/>
    <xf numFmtId="0" fontId="43" fillId="4" borderId="0" xfId="0" applyFont="1" applyFill="1" applyAlignment="1">
      <alignment horizontal="center" vertical="center"/>
    </xf>
    <xf numFmtId="0" fontId="44" fillId="4" borderId="0" xfId="0" applyFont="1" applyFill="1" applyAlignment="1">
      <alignment horizontal="left" indent="4"/>
    </xf>
    <xf numFmtId="0" fontId="44" fillId="4" borderId="0" xfId="0" applyFont="1" applyFill="1" applyAlignment="1">
      <alignment horizontal="center" vertical="center" wrapText="1"/>
    </xf>
    <xf numFmtId="0" fontId="40" fillId="34" borderId="0" xfId="0" applyFont="1" applyFill="1" applyAlignment="1">
      <alignment vertical="top" wrapText="1"/>
    </xf>
    <xf numFmtId="0" fontId="59" fillId="4" borderId="0" xfId="0" applyFont="1" applyFill="1" applyAlignment="1">
      <alignment vertical="center"/>
    </xf>
    <xf numFmtId="0" fontId="63" fillId="5" borderId="6" xfId="0" applyFont="1" applyFill="1" applyBorder="1"/>
    <xf numFmtId="0" fontId="63" fillId="22" borderId="0" xfId="0" applyFont="1" applyFill="1"/>
    <xf numFmtId="0" fontId="44" fillId="5" borderId="13" xfId="0" applyFont="1" applyFill="1" applyBorder="1" applyAlignment="1">
      <alignment vertical="center" wrapText="1"/>
    </xf>
    <xf numFmtId="0" fontId="125" fillId="4" borderId="0" xfId="0" applyFont="1" applyFill="1" applyAlignment="1">
      <alignment horizontal="left" wrapText="1"/>
    </xf>
    <xf numFmtId="0" fontId="48" fillId="4" borderId="0" xfId="0" applyFont="1" applyFill="1" applyAlignment="1">
      <alignment horizontal="left" wrapText="1"/>
    </xf>
    <xf numFmtId="0" fontId="7" fillId="14" borderId="0" xfId="0" applyFont="1" applyFill="1" applyAlignment="1">
      <alignment horizontal="center" vertical="center"/>
    </xf>
    <xf numFmtId="0" fontId="3" fillId="22" borderId="0" xfId="0" applyFont="1" applyFill="1"/>
    <xf numFmtId="0" fontId="2" fillId="6" borderId="1" xfId="0" applyFont="1" applyFill="1" applyBorder="1" applyAlignment="1">
      <alignment vertical="center"/>
    </xf>
    <xf numFmtId="0" fontId="2" fillId="6" borderId="2" xfId="0" applyFont="1" applyFill="1" applyBorder="1" applyAlignment="1">
      <alignment vertical="center"/>
    </xf>
    <xf numFmtId="0" fontId="137" fillId="22" borderId="0" xfId="0" applyFont="1" applyFill="1"/>
    <xf numFmtId="0" fontId="7" fillId="0" borderId="4" xfId="0" applyFont="1" applyBorder="1" applyAlignment="1">
      <alignment horizontal="center" vertical="center"/>
    </xf>
    <xf numFmtId="0" fontId="91" fillId="15" borderId="4" xfId="0" applyFont="1" applyFill="1" applyBorder="1" applyAlignment="1">
      <alignment vertical="center"/>
    </xf>
    <xf numFmtId="0" fontId="137" fillId="22" borderId="4" xfId="0" applyFont="1" applyFill="1" applyBorder="1"/>
    <xf numFmtId="0" fontId="4" fillId="15" borderId="0" xfId="0" applyFont="1" applyFill="1" applyAlignment="1">
      <alignment horizontal="center"/>
    </xf>
    <xf numFmtId="0" fontId="0" fillId="15" borderId="7" xfId="0" applyFill="1" applyBorder="1"/>
    <xf numFmtId="0" fontId="4" fillId="4" borderId="0" xfId="0" applyFont="1" applyFill="1" applyAlignment="1">
      <alignment vertical="center"/>
    </xf>
    <xf numFmtId="3" fontId="4" fillId="4" borderId="0" xfId="0" applyNumberFormat="1" applyFont="1" applyFill="1" applyAlignment="1">
      <alignment horizontal="center" vertical="center"/>
    </xf>
    <xf numFmtId="0" fontId="4" fillId="4" borderId="0" xfId="0" applyFont="1" applyFill="1" applyAlignment="1">
      <alignment horizontal="center"/>
    </xf>
    <xf numFmtId="0" fontId="0" fillId="4" borderId="0" xfId="0" applyFill="1" applyAlignment="1">
      <alignment horizontal="left"/>
    </xf>
    <xf numFmtId="0" fontId="76" fillId="4" borderId="0" xfId="0" applyFont="1" applyFill="1" applyAlignment="1">
      <alignment horizontal="left" vertical="center"/>
    </xf>
    <xf numFmtId="174" fontId="4" fillId="4" borderId="0" xfId="0" applyNumberFormat="1" applyFont="1" applyFill="1" applyAlignment="1">
      <alignment horizontal="center" vertical="center"/>
    </xf>
    <xf numFmtId="0" fontId="127" fillId="5" borderId="6" xfId="0" applyFont="1" applyFill="1" applyBorder="1"/>
    <xf numFmtId="0" fontId="49" fillId="4" borderId="11" xfId="0" applyFont="1" applyFill="1" applyBorder="1" applyAlignment="1">
      <alignment vertical="center"/>
    </xf>
    <xf numFmtId="0" fontId="49" fillId="4" borderId="0" xfId="0" applyFont="1" applyFill="1" applyAlignment="1">
      <alignment vertical="center"/>
    </xf>
    <xf numFmtId="3" fontId="62" fillId="4" borderId="0" xfId="0" applyNumberFormat="1" applyFont="1" applyFill="1" applyAlignment="1">
      <alignment vertical="center"/>
    </xf>
    <xf numFmtId="0" fontId="62" fillId="4" borderId="0" xfId="0" applyFont="1" applyFill="1" applyAlignment="1">
      <alignment horizontal="center" vertical="center"/>
    </xf>
    <xf numFmtId="0" fontId="7" fillId="4" borderId="0" xfId="0" applyFont="1" applyFill="1" applyAlignment="1">
      <alignment vertical="center"/>
    </xf>
    <xf numFmtId="0" fontId="102" fillId="4" borderId="0" xfId="0" applyFont="1" applyFill="1"/>
    <xf numFmtId="0" fontId="0" fillId="22" borderId="0" xfId="0" applyFill="1" applyAlignment="1">
      <alignment horizontal="center"/>
    </xf>
    <xf numFmtId="0" fontId="0" fillId="22" borderId="0" xfId="0" applyFill="1" applyAlignment="1">
      <alignment horizontal="left"/>
    </xf>
    <xf numFmtId="0" fontId="0" fillId="4" borderId="0" xfId="0" applyFill="1" applyAlignment="1" applyProtection="1">
      <alignment horizontal="center"/>
      <protection locked="0"/>
    </xf>
    <xf numFmtId="0" fontId="151" fillId="4" borderId="0" xfId="0" applyFont="1" applyFill="1" applyAlignment="1" applyProtection="1">
      <alignment horizontal="center"/>
      <protection locked="0"/>
    </xf>
    <xf numFmtId="0" fontId="40" fillId="5" borderId="0" xfId="0" applyFont="1" applyFill="1" applyAlignment="1">
      <alignment vertical="top" wrapText="1"/>
    </xf>
    <xf numFmtId="0" fontId="40" fillId="5" borderId="0" xfId="0" applyFont="1" applyFill="1" applyAlignment="1">
      <alignment wrapText="1"/>
    </xf>
    <xf numFmtId="0" fontId="41" fillId="5" borderId="0" xfId="0" applyFont="1" applyFill="1" applyAlignment="1">
      <alignment vertical="center" wrapText="1"/>
    </xf>
    <xf numFmtId="0" fontId="41" fillId="5" borderId="0" xfId="0" applyFont="1" applyFill="1" applyAlignment="1">
      <alignment horizontal="left" vertical="center" wrapText="1"/>
    </xf>
    <xf numFmtId="0" fontId="13" fillId="5" borderId="0" xfId="0" applyFont="1" applyFill="1" applyAlignment="1">
      <alignment horizontal="left" vertical="top" wrapText="1"/>
    </xf>
    <xf numFmtId="0" fontId="13" fillId="5" borderId="0" xfId="0" applyFont="1" applyFill="1" applyAlignment="1">
      <alignment vertical="top" wrapText="1"/>
    </xf>
    <xf numFmtId="0" fontId="40" fillId="18" borderId="0" xfId="0" applyFont="1" applyFill="1" applyAlignment="1">
      <alignment wrapText="1"/>
    </xf>
    <xf numFmtId="0" fontId="25" fillId="4" borderId="0" xfId="0" applyFont="1" applyFill="1"/>
    <xf numFmtId="0" fontId="25" fillId="4" borderId="0" xfId="0" applyFont="1" applyFill="1" applyAlignment="1">
      <alignment horizontal="left" vertical="center"/>
    </xf>
    <xf numFmtId="0" fontId="48" fillId="4" borderId="0" xfId="0" applyFont="1" applyFill="1" applyAlignment="1">
      <alignment vertical="center"/>
    </xf>
    <xf numFmtId="0" fontId="48" fillId="4" borderId="0" xfId="0" applyFont="1" applyFill="1" applyAlignment="1">
      <alignment horizontal="center" vertical="center"/>
    </xf>
    <xf numFmtId="0" fontId="4" fillId="4" borderId="0" xfId="0" applyFont="1" applyFill="1" applyAlignment="1">
      <alignment horizontal="left" vertical="center" wrapText="1"/>
    </xf>
    <xf numFmtId="0" fontId="0" fillId="4" borderId="0" xfId="0" applyFill="1" applyAlignment="1">
      <alignment horizontal="left" vertical="center" wrapText="1"/>
    </xf>
    <xf numFmtId="0" fontId="4" fillId="4" borderId="0" xfId="0" applyFont="1" applyFill="1" applyAlignment="1">
      <alignment horizontal="center" vertical="center"/>
    </xf>
    <xf numFmtId="0" fontId="5" fillId="4" borderId="0" xfId="0" applyFont="1" applyFill="1" applyAlignment="1">
      <alignment horizontal="left" vertical="center"/>
    </xf>
    <xf numFmtId="0" fontId="47" fillId="4" borderId="0" xfId="0" applyFont="1" applyFill="1" applyAlignment="1">
      <alignment horizontal="center" vertical="center"/>
    </xf>
    <xf numFmtId="0" fontId="98" fillId="4" borderId="0" xfId="0" applyFont="1" applyFill="1" applyAlignment="1">
      <alignment horizontal="center"/>
    </xf>
    <xf numFmtId="1" fontId="121" fillId="4" borderId="0" xfId="0" applyNumberFormat="1" applyFont="1" applyFill="1" applyAlignment="1">
      <alignment horizontal="center" vertical="center"/>
    </xf>
    <xf numFmtId="1" fontId="121" fillId="4" borderId="0" xfId="0" applyNumberFormat="1" applyFont="1" applyFill="1" applyAlignment="1">
      <alignment horizontal="left" vertical="center" wrapText="1"/>
    </xf>
    <xf numFmtId="0" fontId="63" fillId="4" borderId="0" xfId="0" applyFont="1" applyFill="1" applyAlignment="1">
      <alignment horizontal="left" vertical="center" wrapText="1"/>
    </xf>
    <xf numFmtId="0" fontId="121" fillId="4" borderId="0" xfId="0" applyFont="1" applyFill="1" applyAlignment="1">
      <alignment horizontal="left" vertical="center"/>
    </xf>
    <xf numFmtId="0" fontId="44" fillId="4" borderId="0" xfId="0" applyFont="1" applyFill="1" applyAlignment="1">
      <alignment horizontal="left" vertical="center" wrapText="1"/>
    </xf>
    <xf numFmtId="0" fontId="60" fillId="5" borderId="0" xfId="0" quotePrefix="1" applyFont="1" applyFill="1" applyAlignment="1">
      <alignment horizontal="left" vertical="center"/>
    </xf>
    <xf numFmtId="3" fontId="44" fillId="4" borderId="0" xfId="0" applyNumberFormat="1" applyFont="1" applyFill="1" applyAlignment="1">
      <alignment horizontal="center" vertical="center"/>
    </xf>
    <xf numFmtId="0" fontId="57" fillId="5" borderId="0" xfId="0" quotePrefix="1" applyFont="1" applyFill="1"/>
    <xf numFmtId="167" fontId="44" fillId="4" borderId="0" xfId="0" applyNumberFormat="1" applyFont="1" applyFill="1" applyAlignment="1">
      <alignment horizontal="center" vertical="center"/>
    </xf>
    <xf numFmtId="0" fontId="44" fillId="4" borderId="0" xfId="0" applyFont="1" applyFill="1"/>
    <xf numFmtId="0" fontId="25" fillId="16" borderId="1" xfId="0" applyFont="1" applyFill="1" applyBorder="1"/>
    <xf numFmtId="0" fontId="49" fillId="16" borderId="2" xfId="0" applyFont="1" applyFill="1" applyBorder="1" applyAlignment="1">
      <alignment vertical="center"/>
    </xf>
    <xf numFmtId="0" fontId="43" fillId="16" borderId="2" xfId="0" applyFont="1" applyFill="1" applyBorder="1" applyAlignment="1">
      <alignment vertical="center"/>
    </xf>
    <xf numFmtId="0" fontId="25" fillId="16" borderId="2" xfId="0" applyFont="1" applyFill="1" applyBorder="1" applyAlignment="1">
      <alignment vertical="center"/>
    </xf>
    <xf numFmtId="0" fontId="25" fillId="16" borderId="3" xfId="0" applyFont="1" applyFill="1" applyBorder="1" applyAlignment="1">
      <alignment vertical="center"/>
    </xf>
    <xf numFmtId="0" fontId="0" fillId="15" borderId="6" xfId="0" applyFill="1" applyBorder="1"/>
    <xf numFmtId="0" fontId="0" fillId="15" borderId="7" xfId="0" applyFill="1" applyBorder="1" applyAlignment="1">
      <alignment horizontal="right" vertical="center"/>
    </xf>
    <xf numFmtId="0" fontId="0" fillId="15" borderId="8" xfId="0" applyFill="1" applyBorder="1" applyAlignment="1">
      <alignment horizontal="left" vertical="center"/>
    </xf>
    <xf numFmtId="0" fontId="0" fillId="15" borderId="11" xfId="0" applyFill="1" applyBorder="1"/>
    <xf numFmtId="0" fontId="0" fillId="15" borderId="0" xfId="0" applyFill="1" applyAlignment="1">
      <alignment horizontal="right" vertical="center"/>
    </xf>
    <xf numFmtId="0" fontId="48" fillId="15" borderId="0" xfId="0" applyFont="1" applyFill="1" applyAlignment="1">
      <alignment horizontal="center" vertical="center"/>
    </xf>
    <xf numFmtId="0" fontId="0" fillId="15" borderId="0" xfId="0" applyFill="1"/>
    <xf numFmtId="0" fontId="0" fillId="15" borderId="12" xfId="0" applyFill="1" applyBorder="1" applyAlignment="1">
      <alignment horizontal="left" vertical="center"/>
    </xf>
    <xf numFmtId="0" fontId="44" fillId="15" borderId="0" xfId="0" applyFont="1" applyFill="1" applyAlignment="1">
      <alignment horizontal="left" vertical="center"/>
    </xf>
    <xf numFmtId="2" fontId="44" fillId="15" borderId="0" xfId="0" applyNumberFormat="1" applyFont="1" applyFill="1" applyAlignment="1">
      <alignment horizontal="center" vertical="center" wrapText="1"/>
    </xf>
    <xf numFmtId="0" fontId="44" fillId="15" borderId="0" xfId="0" applyFont="1" applyFill="1" applyAlignment="1">
      <alignment horizontal="center" vertical="center" wrapText="1"/>
    </xf>
    <xf numFmtId="0" fontId="76" fillId="15" borderId="0" xfId="0" applyFont="1" applyFill="1"/>
    <xf numFmtId="3" fontId="45" fillId="15" borderId="0" xfId="0" applyNumberFormat="1" applyFont="1" applyFill="1" applyAlignment="1">
      <alignment horizontal="center" vertical="center" wrapText="1"/>
    </xf>
    <xf numFmtId="0" fontId="44" fillId="15" borderId="0" xfId="0" applyFont="1" applyFill="1"/>
    <xf numFmtId="0" fontId="43" fillId="15" borderId="0" xfId="0" applyFont="1" applyFill="1"/>
    <xf numFmtId="2" fontId="39" fillId="15" borderId="0" xfId="0" applyNumberFormat="1" applyFont="1" applyFill="1"/>
    <xf numFmtId="0" fontId="44" fillId="15" borderId="12" xfId="0" applyFont="1" applyFill="1" applyBorder="1" applyAlignment="1">
      <alignment horizontal="left" vertical="center"/>
    </xf>
    <xf numFmtId="0" fontId="98" fillId="15" borderId="11" xfId="0" applyFont="1" applyFill="1" applyBorder="1" applyAlignment="1">
      <alignment horizontal="center"/>
    </xf>
    <xf numFmtId="0" fontId="44" fillId="15" borderId="0" xfId="0" applyFont="1" applyFill="1" applyAlignment="1">
      <alignment vertical="center"/>
    </xf>
    <xf numFmtId="0" fontId="43" fillId="15" borderId="0" xfId="0" applyFont="1" applyFill="1" applyAlignment="1">
      <alignment vertical="center"/>
    </xf>
    <xf numFmtId="0" fontId="44" fillId="15" borderId="0" xfId="0" applyFont="1" applyFill="1" applyAlignment="1">
      <alignment horizontal="right" vertical="center"/>
    </xf>
    <xf numFmtId="0" fontId="43" fillId="15" borderId="0" xfId="0" applyFont="1" applyFill="1" applyAlignment="1">
      <alignment horizontal="right" vertical="center"/>
    </xf>
    <xf numFmtId="2" fontId="39" fillId="15" borderId="0" xfId="0" applyNumberFormat="1" applyFont="1" applyFill="1" applyAlignment="1">
      <alignment horizontal="center" vertical="center"/>
    </xf>
    <xf numFmtId="0" fontId="43" fillId="15" borderId="0" xfId="0" applyFont="1" applyFill="1" applyAlignment="1">
      <alignment horizontal="center" vertical="center"/>
    </xf>
    <xf numFmtId="0" fontId="0" fillId="4" borderId="12" xfId="0" applyFill="1" applyBorder="1"/>
    <xf numFmtId="0" fontId="0" fillId="15" borderId="15" xfId="0" applyFill="1" applyBorder="1" applyAlignment="1">
      <alignment horizontal="center"/>
    </xf>
    <xf numFmtId="0" fontId="0" fillId="15" borderId="15" xfId="0" applyFill="1" applyBorder="1" applyAlignment="1">
      <alignment horizontal="right" vertical="center" wrapText="1"/>
    </xf>
    <xf numFmtId="0" fontId="0" fillId="15" borderId="14" xfId="0" applyFill="1" applyBorder="1" applyAlignment="1">
      <alignment horizontal="right" vertical="center" wrapText="1"/>
    </xf>
    <xf numFmtId="0" fontId="0" fillId="4" borderId="0" xfId="0" applyFill="1" applyAlignment="1">
      <alignment horizontal="right" vertical="center" wrapText="1"/>
    </xf>
    <xf numFmtId="0" fontId="40" fillId="4" borderId="0" xfId="0" applyFont="1" applyFill="1" applyAlignment="1">
      <alignment wrapText="1"/>
    </xf>
    <xf numFmtId="0" fontId="13" fillId="4" borderId="0" xfId="0" applyFont="1" applyFill="1" applyAlignment="1">
      <alignment vertical="center"/>
    </xf>
    <xf numFmtId="0" fontId="28" fillId="5" borderId="6" xfId="0" applyFont="1" applyFill="1" applyBorder="1" applyAlignment="1">
      <alignment horizontal="left"/>
    </xf>
    <xf numFmtId="0" fontId="28" fillId="5" borderId="7" xfId="0" applyFont="1" applyFill="1" applyBorder="1" applyAlignment="1">
      <alignment horizontal="left"/>
    </xf>
    <xf numFmtId="0" fontId="0" fillId="5" borderId="8" xfId="0" applyFill="1" applyBorder="1" applyAlignment="1">
      <alignment horizontal="left"/>
    </xf>
    <xf numFmtId="0" fontId="28" fillId="5" borderId="4" xfId="0" applyFont="1" applyFill="1" applyBorder="1" applyAlignment="1">
      <alignment horizontal="left"/>
    </xf>
    <xf numFmtId="0" fontId="28" fillId="4" borderId="0" xfId="0" applyFont="1" applyFill="1"/>
    <xf numFmtId="0" fontId="0" fillId="5" borderId="14" xfId="0" applyFill="1" applyBorder="1" applyAlignment="1">
      <alignment horizontal="left"/>
    </xf>
    <xf numFmtId="0" fontId="64" fillId="5" borderId="4" xfId="0" applyFont="1" applyFill="1" applyBorder="1" applyAlignment="1">
      <alignment horizontal="left"/>
    </xf>
    <xf numFmtId="0" fontId="41" fillId="4" borderId="0" xfId="0" applyFont="1" applyFill="1" applyAlignment="1">
      <alignment wrapText="1"/>
    </xf>
    <xf numFmtId="0" fontId="3" fillId="5" borderId="0" xfId="0" quotePrefix="1" applyFont="1" applyFill="1" applyAlignment="1">
      <alignment vertical="center" textRotation="180"/>
    </xf>
    <xf numFmtId="0" fontId="3" fillId="5" borderId="0" xfId="0" applyFont="1" applyFill="1" applyAlignment="1">
      <alignment vertical="center" textRotation="180"/>
    </xf>
    <xf numFmtId="0" fontId="2" fillId="16" borderId="4" xfId="0" applyFont="1" applyFill="1" applyBorder="1" applyAlignment="1">
      <alignment horizontal="center" vertical="center"/>
    </xf>
    <xf numFmtId="0" fontId="5" fillId="5" borderId="0" xfId="0" applyFont="1" applyFill="1" applyAlignment="1">
      <alignment horizontal="center" vertical="center"/>
    </xf>
    <xf numFmtId="0" fontId="40" fillId="4" borderId="0" xfId="0" applyFont="1" applyFill="1" applyAlignment="1">
      <alignment vertical="center" wrapText="1"/>
    </xf>
    <xf numFmtId="0" fontId="0" fillId="4" borderId="0" xfId="0" applyFill="1" applyAlignment="1">
      <alignment vertical="center"/>
    </xf>
    <xf numFmtId="0" fontId="0" fillId="22" borderId="0" xfId="0" applyFill="1" applyAlignment="1">
      <alignment vertical="center"/>
    </xf>
    <xf numFmtId="0" fontId="13" fillId="4" borderId="0" xfId="0" applyFont="1" applyFill="1" applyAlignment="1">
      <alignment horizontal="left" vertical="center" wrapText="1"/>
    </xf>
    <xf numFmtId="0" fontId="13" fillId="4" borderId="0" xfId="0" applyFont="1" applyFill="1" applyAlignment="1">
      <alignment vertical="center" wrapText="1"/>
    </xf>
    <xf numFmtId="0" fontId="44" fillId="5" borderId="13" xfId="0" applyFont="1" applyFill="1" applyBorder="1" applyAlignment="1">
      <alignment wrapText="1"/>
    </xf>
    <xf numFmtId="0" fontId="0" fillId="4" borderId="11" xfId="0" applyFill="1" applyBorder="1"/>
    <xf numFmtId="0" fontId="4" fillId="15" borderId="0" xfId="0" applyFont="1" applyFill="1" applyAlignment="1">
      <alignment horizontal="right" vertical="center"/>
    </xf>
    <xf numFmtId="0" fontId="0" fillId="15" borderId="0" xfId="0" applyFill="1" applyAlignment="1">
      <alignment horizontal="left" vertical="center"/>
    </xf>
    <xf numFmtId="174" fontId="4" fillId="15" borderId="0" xfId="0" applyNumberFormat="1" applyFont="1" applyFill="1" applyAlignment="1">
      <alignment horizontal="center" vertical="center"/>
    </xf>
    <xf numFmtId="3" fontId="4" fillId="15" borderId="0" xfId="0" applyNumberFormat="1" applyFont="1" applyFill="1" applyAlignment="1">
      <alignment horizontal="center" vertical="center"/>
    </xf>
    <xf numFmtId="0" fontId="7" fillId="4" borderId="0" xfId="0" applyFont="1" applyFill="1" applyAlignment="1">
      <alignment horizontal="left" vertical="center"/>
    </xf>
    <xf numFmtId="0" fontId="76" fillId="15" borderId="0" xfId="0" applyFont="1" applyFill="1" applyAlignment="1">
      <alignment horizontal="left" vertical="center"/>
    </xf>
    <xf numFmtId="0" fontId="4" fillId="15" borderId="0" xfId="0" applyFont="1" applyFill="1" applyAlignment="1">
      <alignment horizontal="right"/>
    </xf>
    <xf numFmtId="0" fontId="7" fillId="15" borderId="0" xfId="0" applyFont="1" applyFill="1" applyAlignment="1">
      <alignment vertical="center"/>
    </xf>
    <xf numFmtId="0" fontId="44" fillId="4" borderId="0" xfId="0" applyFont="1" applyFill="1" applyAlignment="1">
      <alignment horizontal="left"/>
    </xf>
    <xf numFmtId="0" fontId="63" fillId="4" borderId="0" xfId="0" applyFont="1" applyFill="1"/>
    <xf numFmtId="0" fontId="40" fillId="4" borderId="0" xfId="0" applyFont="1" applyFill="1" applyAlignment="1">
      <alignment horizontal="left" wrapText="1"/>
    </xf>
    <xf numFmtId="0" fontId="41" fillId="4" borderId="0" xfId="0" applyFont="1" applyFill="1" applyAlignment="1">
      <alignment horizontal="left" vertical="center"/>
    </xf>
    <xf numFmtId="3" fontId="62" fillId="4" borderId="0" xfId="0" applyNumberFormat="1" applyFont="1" applyFill="1" applyAlignment="1">
      <alignment horizontal="center" vertical="center"/>
    </xf>
    <xf numFmtId="0" fontId="32" fillId="4" borderId="0" xfId="0" applyFont="1" applyFill="1"/>
    <xf numFmtId="0" fontId="62" fillId="4" borderId="0" xfId="0" applyFont="1" applyFill="1" applyAlignment="1">
      <alignment vertical="center"/>
    </xf>
    <xf numFmtId="3" fontId="0" fillId="22" borderId="0" xfId="0" applyNumberFormat="1" applyFill="1"/>
    <xf numFmtId="0" fontId="7" fillId="22" borderId="0" xfId="0" applyFont="1" applyFill="1" applyAlignment="1">
      <alignment horizontal="center" vertical="center"/>
    </xf>
    <xf numFmtId="173" fontId="0" fillId="22" borderId="0" xfId="0" applyNumberFormat="1" applyFill="1"/>
    <xf numFmtId="0" fontId="4" fillId="22" borderId="0" xfId="0" applyFont="1" applyFill="1"/>
    <xf numFmtId="0" fontId="0" fillId="22" borderId="0" xfId="0" applyFill="1" applyAlignment="1">
      <alignment horizontal="center" vertical="center"/>
    </xf>
    <xf numFmtId="0" fontId="126" fillId="5" borderId="0" xfId="0" applyFont="1" applyFill="1" applyAlignment="1">
      <alignment horizontal="left" vertical="center" wrapText="1" indent="6"/>
    </xf>
    <xf numFmtId="0" fontId="161" fillId="0" borderId="0" xfId="0" applyFont="1" applyAlignment="1">
      <alignment horizontal="right" vertical="center"/>
    </xf>
    <xf numFmtId="0" fontId="0" fillId="34" borderId="0" xfId="0" applyFill="1"/>
    <xf numFmtId="0" fontId="4" fillId="26" borderId="4" xfId="0" applyFont="1" applyFill="1" applyBorder="1" applyAlignment="1">
      <alignment horizontal="center" vertical="center"/>
    </xf>
    <xf numFmtId="0" fontId="0" fillId="22" borderId="0" xfId="0" quotePrefix="1" applyFill="1"/>
    <xf numFmtId="0" fontId="142" fillId="4" borderId="0" xfId="0" applyFont="1" applyFill="1"/>
    <xf numFmtId="0" fontId="13" fillId="5" borderId="0" xfId="0" applyFont="1" applyFill="1" applyAlignment="1">
      <alignment horizontal="left" vertical="center" wrapText="1"/>
    </xf>
    <xf numFmtId="0" fontId="13" fillId="22" borderId="0" xfId="0" applyFont="1" applyFill="1" applyAlignment="1">
      <alignment vertical="center" wrapText="1"/>
    </xf>
    <xf numFmtId="0" fontId="41" fillId="34" borderId="0" xfId="0" applyFont="1" applyFill="1" applyAlignment="1">
      <alignment vertical="center"/>
    </xf>
    <xf numFmtId="0" fontId="2" fillId="4" borderId="0" xfId="0" applyFont="1" applyFill="1" applyAlignment="1">
      <alignment horizontal="left" vertical="center"/>
    </xf>
    <xf numFmtId="0" fontId="62" fillId="15" borderId="7" xfId="0" applyFont="1" applyFill="1" applyBorder="1" applyAlignment="1">
      <alignment horizontal="right" vertical="center"/>
    </xf>
    <xf numFmtId="0" fontId="40" fillId="5" borderId="0" xfId="0" applyFont="1" applyFill="1" applyAlignment="1">
      <alignment vertical="center" wrapText="1"/>
    </xf>
    <xf numFmtId="0" fontId="2" fillId="5" borderId="0" xfId="0" applyFont="1" applyFill="1" applyAlignment="1">
      <alignment horizontal="left" vertical="center"/>
    </xf>
    <xf numFmtId="0" fontId="164" fillId="4" borderId="0" xfId="0" applyFont="1" applyFill="1" applyAlignment="1">
      <alignment vertical="top" wrapText="1"/>
    </xf>
    <xf numFmtId="0" fontId="162" fillId="4" borderId="0" xfId="0" applyFont="1" applyFill="1" applyAlignment="1">
      <alignment horizontal="right"/>
    </xf>
    <xf numFmtId="0" fontId="49" fillId="16" borderId="155" xfId="0" applyFont="1" applyFill="1" applyBorder="1" applyAlignment="1">
      <alignment horizontal="center" vertical="center" wrapText="1"/>
    </xf>
    <xf numFmtId="0" fontId="157" fillId="4" borderId="0" xfId="0" applyFont="1" applyFill="1" applyAlignment="1">
      <alignment horizontal="left" vertical="center" wrapText="1" indent="1"/>
    </xf>
    <xf numFmtId="0" fontId="163" fillId="4" borderId="0" xfId="0" applyFont="1" applyFill="1" applyAlignment="1">
      <alignment vertical="top" wrapText="1"/>
    </xf>
    <xf numFmtId="0" fontId="164" fillId="4" borderId="0" xfId="0" applyFont="1" applyFill="1" applyAlignment="1">
      <alignment vertical="center" wrapText="1"/>
    </xf>
    <xf numFmtId="0" fontId="140" fillId="4" borderId="0" xfId="0" applyFont="1" applyFill="1" applyAlignment="1">
      <alignment horizontal="left" vertical="center" wrapText="1"/>
    </xf>
    <xf numFmtId="0" fontId="140" fillId="4" borderId="0" xfId="0" applyFont="1" applyFill="1" applyAlignment="1">
      <alignment horizontal="left" vertical="center"/>
    </xf>
    <xf numFmtId="0" fontId="49" fillId="16" borderId="165" xfId="0" applyFont="1" applyFill="1" applyBorder="1" applyAlignment="1">
      <alignment horizontal="left" vertical="center" wrapText="1" indent="1"/>
    </xf>
    <xf numFmtId="0" fontId="49" fillId="16" borderId="166" xfId="0" applyFont="1" applyFill="1" applyBorder="1" applyAlignment="1">
      <alignment horizontal="center" vertical="center"/>
    </xf>
    <xf numFmtId="0" fontId="49" fillId="16" borderId="166" xfId="0" applyFont="1" applyFill="1" applyBorder="1" applyAlignment="1">
      <alignment horizontal="center" vertical="center" wrapText="1"/>
    </xf>
    <xf numFmtId="0" fontId="49" fillId="16" borderId="167" xfId="0" applyFont="1" applyFill="1" applyBorder="1" applyAlignment="1">
      <alignment horizontal="center" vertical="center" wrapText="1"/>
    </xf>
    <xf numFmtId="0" fontId="188" fillId="19" borderId="168" xfId="0" applyFont="1" applyFill="1" applyBorder="1" applyAlignment="1">
      <alignment horizontal="left" vertical="center" wrapText="1" indent="1"/>
    </xf>
    <xf numFmtId="174" fontId="44" fillId="2" borderId="4" xfId="0" applyNumberFormat="1" applyFont="1" applyFill="1" applyBorder="1" applyAlignment="1">
      <alignment horizontal="center" vertical="center"/>
    </xf>
    <xf numFmtId="0" fontId="189" fillId="19" borderId="168" xfId="0" applyFont="1" applyFill="1" applyBorder="1" applyAlignment="1">
      <alignment horizontal="left" vertical="center" wrapText="1" indent="1"/>
    </xf>
    <xf numFmtId="0" fontId="158" fillId="4" borderId="0" xfId="0" applyFont="1" applyFill="1" applyAlignment="1">
      <alignment vertical="center"/>
    </xf>
    <xf numFmtId="0" fontId="47" fillId="4" borderId="0" xfId="0" applyFont="1" applyFill="1" applyAlignment="1">
      <alignment horizontal="left" vertical="center"/>
    </xf>
    <xf numFmtId="0" fontId="157" fillId="4" borderId="0" xfId="0" applyFont="1" applyFill="1" applyAlignment="1">
      <alignment vertical="top"/>
    </xf>
    <xf numFmtId="0" fontId="157" fillId="4" borderId="0" xfId="0" applyFont="1" applyFill="1" applyAlignment="1">
      <alignment vertical="top" wrapText="1"/>
    </xf>
    <xf numFmtId="0" fontId="157" fillId="4" borderId="0" xfId="0" applyFont="1" applyFill="1" applyAlignment="1">
      <alignment horizontal="right" vertical="top" wrapText="1"/>
    </xf>
    <xf numFmtId="0" fontId="184" fillId="4" borderId="0" xfId="0" applyFont="1" applyFill="1" applyAlignment="1">
      <alignment horizontal="center" vertical="center" wrapText="1"/>
    </xf>
    <xf numFmtId="0" fontId="157" fillId="4" borderId="0" xfId="0" applyFont="1" applyFill="1" applyAlignment="1">
      <alignment horizontal="left" vertical="center" indent="2"/>
    </xf>
    <xf numFmtId="0" fontId="44" fillId="4" borderId="0" xfId="0" applyFont="1" applyFill="1" applyAlignment="1">
      <alignment horizontal="left" indent="2"/>
    </xf>
    <xf numFmtId="0" fontId="158" fillId="4" borderId="0" xfId="0" applyFont="1" applyFill="1" applyAlignment="1">
      <alignment horizontal="left" vertical="top"/>
    </xf>
    <xf numFmtId="0" fontId="162" fillId="4" borderId="0" xfId="0" applyFont="1" applyFill="1" applyAlignment="1">
      <alignment horizontal="left" vertical="top"/>
    </xf>
    <xf numFmtId="0" fontId="43" fillId="4" borderId="0" xfId="0" applyFont="1" applyFill="1" applyAlignment="1">
      <alignment horizontal="left" vertical="top" wrapText="1" indent="2"/>
    </xf>
    <xf numFmtId="0" fontId="44" fillId="4" borderId="0" xfId="0" applyFont="1" applyFill="1" applyAlignment="1">
      <alignment horizontal="left" vertical="top" indent="2"/>
    </xf>
    <xf numFmtId="0" fontId="43" fillId="4" borderId="0" xfId="0" applyFont="1" applyFill="1" applyAlignment="1">
      <alignment horizontal="left" vertical="top" indent="3"/>
    </xf>
    <xf numFmtId="0" fontId="49" fillId="16" borderId="1" xfId="0" applyFont="1" applyFill="1" applyBorder="1" applyAlignment="1">
      <alignment horizontal="center" vertical="top" wrapText="1"/>
    </xf>
    <xf numFmtId="0" fontId="43" fillId="15" borderId="4" xfId="0" applyFont="1" applyFill="1" applyBorder="1" applyAlignment="1">
      <alignment horizontal="center" vertical="center" wrapText="1"/>
    </xf>
    <xf numFmtId="0" fontId="43" fillId="4" borderId="0" xfId="0" applyFont="1" applyFill="1" applyAlignment="1">
      <alignment horizontal="left" vertical="top" indent="2"/>
    </xf>
    <xf numFmtId="0" fontId="164" fillId="18" borderId="0" xfId="0" applyFont="1" applyFill="1" applyAlignment="1">
      <alignment vertical="top" wrapText="1"/>
    </xf>
    <xf numFmtId="0" fontId="170" fillId="4" borderId="0" xfId="0" applyFont="1" applyFill="1" applyAlignment="1">
      <alignment horizontal="center" vertical="top"/>
    </xf>
    <xf numFmtId="0" fontId="39" fillId="4" borderId="0" xfId="0" applyFont="1" applyFill="1" applyAlignment="1">
      <alignment horizontal="left" vertical="center"/>
    </xf>
    <xf numFmtId="0" fontId="157" fillId="5" borderId="0" xfId="0" applyFont="1" applyFill="1" applyAlignment="1">
      <alignment horizontal="left" vertical="center"/>
    </xf>
    <xf numFmtId="0" fontId="163" fillId="5" borderId="0" xfId="0" applyFont="1" applyFill="1" applyAlignment="1">
      <alignment horizontal="left" vertical="center"/>
    </xf>
    <xf numFmtId="0" fontId="158" fillId="5" borderId="0" xfId="0" applyFont="1" applyFill="1" applyAlignment="1">
      <alignment horizontal="left" vertical="top"/>
    </xf>
    <xf numFmtId="0" fontId="44" fillId="4" borderId="0" xfId="0"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49" fillId="16" borderId="3" xfId="0" applyFont="1" applyFill="1" applyBorder="1" applyAlignment="1">
      <alignment horizontal="center" vertical="center" wrapText="1"/>
    </xf>
    <xf numFmtId="0" fontId="49" fillId="16" borderId="1" xfId="0" applyFont="1" applyFill="1" applyBorder="1" applyAlignment="1">
      <alignment horizontal="center" vertical="center"/>
    </xf>
    <xf numFmtId="0" fontId="4" fillId="15" borderId="0" xfId="0" applyFont="1" applyFill="1" applyAlignment="1">
      <alignment vertical="center"/>
    </xf>
    <xf numFmtId="0" fontId="4" fillId="0" borderId="19" xfId="0" applyFont="1" applyBorder="1" applyAlignment="1">
      <alignment vertical="center"/>
    </xf>
    <xf numFmtId="0" fontId="0" fillId="5" borderId="0" xfId="0" applyFill="1" applyAlignment="1" applyProtection="1">
      <alignment horizontal="center"/>
      <protection locked="0"/>
    </xf>
    <xf numFmtId="0" fontId="0" fillId="0" borderId="0" xfId="0" applyAlignment="1">
      <alignment vertical="center"/>
    </xf>
    <xf numFmtId="0" fontId="0" fillId="5" borderId="20" xfId="0" applyFill="1" applyBorder="1" applyAlignment="1">
      <alignment vertical="center"/>
    </xf>
    <xf numFmtId="0" fontId="25" fillId="5" borderId="19" xfId="0" applyFont="1" applyFill="1" applyBorder="1" applyAlignment="1">
      <alignment horizontal="left"/>
    </xf>
    <xf numFmtId="0" fontId="4" fillId="5" borderId="0" xfId="0" applyFont="1" applyFill="1" applyAlignment="1">
      <alignment horizontal="right" indent="1"/>
    </xf>
    <xf numFmtId="0" fontId="0" fillId="5" borderId="218" xfId="0" applyFill="1" applyBorder="1" applyAlignment="1" applyProtection="1">
      <alignment horizontal="center"/>
      <protection locked="0"/>
    </xf>
    <xf numFmtId="0" fontId="195" fillId="5" borderId="19" xfId="0" applyFont="1" applyFill="1" applyBorder="1" applyAlignment="1">
      <alignment vertical="center"/>
    </xf>
    <xf numFmtId="0" fontId="0" fillId="5" borderId="20" xfId="0" applyFill="1" applyBorder="1"/>
    <xf numFmtId="0" fontId="154" fillId="0" borderId="0" xfId="0" applyFont="1" applyAlignment="1">
      <alignment horizontal="left" vertical="top"/>
    </xf>
    <xf numFmtId="0" fontId="133" fillId="40" borderId="219" xfId="0" applyFont="1" applyFill="1" applyBorder="1" applyAlignment="1">
      <alignment horizontal="center" vertical="center" wrapText="1"/>
    </xf>
    <xf numFmtId="0" fontId="196" fillId="0" borderId="20" xfId="0" applyFont="1" applyBorder="1" applyAlignment="1">
      <alignment horizontal="right"/>
    </xf>
    <xf numFmtId="0" fontId="147" fillId="6" borderId="222" xfId="0" applyFont="1" applyFill="1" applyBorder="1" applyAlignment="1">
      <alignment vertical="center" wrapText="1"/>
    </xf>
    <xf numFmtId="0" fontId="197" fillId="39" borderId="223" xfId="0" applyFont="1" applyFill="1" applyBorder="1" applyAlignment="1">
      <alignment horizontal="left" vertical="center" wrapText="1"/>
    </xf>
    <xf numFmtId="0" fontId="25" fillId="5" borderId="224" xfId="0" applyFont="1" applyFill="1" applyBorder="1" applyAlignment="1" applyProtection="1">
      <alignment horizontal="center" vertical="center"/>
      <protection locked="0"/>
    </xf>
    <xf numFmtId="0" fontId="197" fillId="39" borderId="225" xfId="0" applyFont="1" applyFill="1" applyBorder="1" applyAlignment="1">
      <alignment horizontal="left" vertical="center" wrapText="1"/>
    </xf>
    <xf numFmtId="0" fontId="25" fillId="5" borderId="20" xfId="0" applyFont="1" applyFill="1" applyBorder="1" applyAlignment="1">
      <alignment vertical="center"/>
    </xf>
    <xf numFmtId="0" fontId="147" fillId="6" borderId="222" xfId="0" applyFont="1" applyFill="1" applyBorder="1"/>
    <xf numFmtId="0" fontId="25" fillId="39" borderId="223" xfId="0" applyFont="1" applyFill="1" applyBorder="1" applyAlignment="1">
      <alignment vertical="center"/>
    </xf>
    <xf numFmtId="0" fontId="25" fillId="5" borderId="228" xfId="0" applyFont="1" applyFill="1" applyBorder="1" applyAlignment="1" applyProtection="1">
      <alignment horizontal="center" vertical="center"/>
      <protection locked="0"/>
    </xf>
    <xf numFmtId="0" fontId="25" fillId="39" borderId="230" xfId="0" applyFont="1" applyFill="1" applyBorder="1" applyAlignment="1">
      <alignment horizontal="left" vertical="center"/>
    </xf>
    <xf numFmtId="0" fontId="25" fillId="5" borderId="233" xfId="0" applyFont="1" applyFill="1" applyBorder="1" applyAlignment="1" applyProtection="1">
      <alignment horizontal="center" vertical="center"/>
      <protection locked="0"/>
    </xf>
    <xf numFmtId="0" fontId="25" fillId="39" borderId="2" xfId="0" applyFont="1" applyFill="1" applyBorder="1" applyAlignment="1">
      <alignment horizontal="left" vertical="center"/>
    </xf>
    <xf numFmtId="0" fontId="0" fillId="5" borderId="19" xfId="0" applyFill="1" applyBorder="1" applyAlignment="1">
      <alignment vertical="center"/>
    </xf>
    <xf numFmtId="0" fontId="0" fillId="2" borderId="0" xfId="0" applyFill="1" applyAlignment="1">
      <alignment horizontal="center" vertical="center"/>
    </xf>
    <xf numFmtId="0" fontId="0" fillId="0" borderId="0" xfId="0" applyAlignment="1">
      <alignment horizontal="right" vertical="center"/>
    </xf>
    <xf numFmtId="0" fontId="0" fillId="5" borderId="25" xfId="0" applyFill="1" applyBorder="1"/>
    <xf numFmtId="0" fontId="0" fillId="5" borderId="26" xfId="0" applyFill="1" applyBorder="1"/>
    <xf numFmtId="0" fontId="0" fillId="5" borderId="27" xfId="0" applyFill="1" applyBorder="1"/>
    <xf numFmtId="174" fontId="49" fillId="16" borderId="4" xfId="0" applyNumberFormat="1" applyFont="1" applyFill="1" applyBorder="1" applyAlignment="1">
      <alignment horizontal="center" vertical="center"/>
    </xf>
    <xf numFmtId="3" fontId="44" fillId="2" borderId="1" xfId="0" applyNumberFormat="1" applyFont="1" applyFill="1" applyBorder="1" applyAlignment="1">
      <alignment vertical="center"/>
    </xf>
    <xf numFmtId="3" fontId="200" fillId="2" borderId="1" xfId="0" applyNumberFormat="1" applyFont="1" applyFill="1" applyBorder="1" applyAlignment="1">
      <alignment vertical="center"/>
    </xf>
    <xf numFmtId="168" fontId="32" fillId="2" borderId="3" xfId="0" applyNumberFormat="1" applyFont="1" applyFill="1" applyBorder="1" applyAlignment="1">
      <alignment horizontal="center"/>
    </xf>
    <xf numFmtId="0" fontId="201" fillId="0" borderId="0" xfId="0" applyFont="1" applyAlignment="1">
      <alignment vertical="center"/>
    </xf>
    <xf numFmtId="3" fontId="62" fillId="15" borderId="3" xfId="0" applyNumberFormat="1" applyFont="1" applyFill="1" applyBorder="1" applyAlignment="1" applyProtection="1">
      <alignment horizontal="center" vertical="center"/>
      <protection hidden="1"/>
    </xf>
    <xf numFmtId="0" fontId="62" fillId="4" borderId="0" xfId="0" applyFont="1" applyFill="1" applyAlignment="1" applyProtection="1">
      <alignment horizontal="center"/>
      <protection hidden="1"/>
    </xf>
    <xf numFmtId="3" fontId="62" fillId="4" borderId="0" xfId="0" applyNumberFormat="1" applyFont="1" applyFill="1" applyAlignment="1" applyProtection="1">
      <alignment horizontal="center" vertical="center"/>
      <protection hidden="1"/>
    </xf>
    <xf numFmtId="0" fontId="32" fillId="4" borderId="0" xfId="0" applyFont="1" applyFill="1" applyProtection="1">
      <protection hidden="1"/>
    </xf>
    <xf numFmtId="3" fontId="62" fillId="22" borderId="0" xfId="0" applyNumberFormat="1" applyFont="1" applyFill="1" applyAlignment="1" applyProtection="1">
      <alignment horizontal="center"/>
      <protection hidden="1"/>
    </xf>
    <xf numFmtId="0" fontId="143" fillId="35" borderId="46" xfId="0" applyFont="1" applyFill="1" applyBorder="1" applyAlignment="1" applyProtection="1">
      <alignment horizontal="center" vertical="center"/>
      <protection hidden="1"/>
    </xf>
    <xf numFmtId="0" fontId="143" fillId="35" borderId="169" xfId="0" applyFont="1" applyFill="1" applyBorder="1" applyAlignment="1" applyProtection="1">
      <alignment horizontal="center" vertical="center"/>
      <protection hidden="1"/>
    </xf>
    <xf numFmtId="0" fontId="144" fillId="29" borderId="47" xfId="1" applyNumberFormat="1" applyFont="1" applyFill="1" applyBorder="1" applyAlignment="1" applyProtection="1">
      <alignment horizontal="center" vertical="center" wrapText="1"/>
      <protection hidden="1"/>
    </xf>
    <xf numFmtId="0" fontId="144" fillId="29" borderId="45" xfId="1" applyNumberFormat="1" applyFont="1" applyFill="1" applyBorder="1" applyAlignment="1" applyProtection="1">
      <alignment horizontal="center" vertical="center" wrapText="1"/>
      <protection hidden="1"/>
    </xf>
    <xf numFmtId="0" fontId="144" fillId="29" borderId="4" xfId="1" applyNumberFormat="1" applyFont="1" applyFill="1" applyBorder="1" applyAlignment="1" applyProtection="1">
      <alignment horizontal="center" vertical="center" wrapText="1"/>
      <protection hidden="1"/>
    </xf>
    <xf numFmtId="0" fontId="143" fillId="35" borderId="20" xfId="0" applyFont="1" applyFill="1" applyBorder="1" applyAlignment="1" applyProtection="1">
      <alignment horizontal="center" vertical="center"/>
      <protection hidden="1"/>
    </xf>
    <xf numFmtId="0" fontId="144" fillId="29" borderId="48" xfId="1" applyNumberFormat="1" applyFont="1" applyFill="1" applyBorder="1" applyAlignment="1" applyProtection="1">
      <alignment horizontal="center" vertical="center" wrapText="1"/>
      <protection hidden="1"/>
    </xf>
    <xf numFmtId="0" fontId="144" fillId="29" borderId="40" xfId="1" applyNumberFormat="1" applyFont="1" applyFill="1" applyBorder="1" applyAlignment="1" applyProtection="1">
      <alignment horizontal="center" vertical="center" wrapText="1"/>
      <protection hidden="1"/>
    </xf>
    <xf numFmtId="0" fontId="143" fillId="35" borderId="182" xfId="0" applyFont="1" applyFill="1" applyBorder="1" applyAlignment="1" applyProtection="1">
      <alignment horizontal="center" vertical="center"/>
      <protection hidden="1"/>
    </xf>
    <xf numFmtId="173" fontId="7" fillId="15" borderId="210" xfId="4" applyNumberFormat="1" applyFont="1" applyFill="1" applyBorder="1" applyAlignment="1" applyProtection="1">
      <alignment horizontal="center" vertical="center"/>
      <protection hidden="1"/>
    </xf>
    <xf numFmtId="3" fontId="135" fillId="15" borderId="23" xfId="0" applyNumberFormat="1" applyFont="1" applyFill="1" applyBorder="1" applyAlignment="1" applyProtection="1">
      <alignment horizontal="center" vertical="center"/>
      <protection hidden="1"/>
    </xf>
    <xf numFmtId="173" fontId="7" fillId="15" borderId="212" xfId="4" applyNumberFormat="1" applyFont="1" applyFill="1" applyBorder="1" applyAlignment="1" applyProtection="1">
      <alignment horizontal="center" vertical="center"/>
      <protection hidden="1"/>
    </xf>
    <xf numFmtId="173" fontId="7" fillId="15" borderId="6" xfId="4" applyNumberFormat="1" applyFont="1" applyFill="1" applyBorder="1" applyAlignment="1" applyProtection="1">
      <alignment horizontal="center" vertical="center"/>
      <protection hidden="1"/>
    </xf>
    <xf numFmtId="173" fontId="7" fillId="15" borderId="9" xfId="4" applyNumberFormat="1" applyFont="1" applyFill="1" applyBorder="1" applyAlignment="1" applyProtection="1">
      <alignment horizontal="center" vertical="center"/>
      <protection hidden="1"/>
    </xf>
    <xf numFmtId="173" fontId="135" fillId="15" borderId="211" xfId="0" applyNumberFormat="1" applyFont="1" applyFill="1" applyBorder="1" applyAlignment="1" applyProtection="1">
      <alignment horizontal="center" vertical="center"/>
      <protection hidden="1"/>
    </xf>
    <xf numFmtId="173" fontId="135" fillId="15" borderId="5" xfId="0" applyNumberFormat="1" applyFont="1" applyFill="1" applyBorder="1" applyAlignment="1" applyProtection="1">
      <alignment horizontal="center" vertical="center"/>
      <protection hidden="1"/>
    </xf>
    <xf numFmtId="173" fontId="135" fillId="15" borderId="213" xfId="0" applyNumberFormat="1" applyFont="1" applyFill="1" applyBorder="1" applyAlignment="1" applyProtection="1">
      <alignment horizontal="center" vertical="center"/>
      <protection hidden="1"/>
    </xf>
    <xf numFmtId="173" fontId="135" fillId="15" borderId="214" xfId="0" applyNumberFormat="1" applyFont="1" applyFill="1" applyBorder="1" applyAlignment="1" applyProtection="1">
      <alignment horizontal="center" vertical="center"/>
      <protection hidden="1"/>
    </xf>
    <xf numFmtId="174" fontId="62" fillId="15" borderId="0" xfId="4" applyNumberFormat="1" applyFont="1" applyFill="1" applyAlignment="1" applyProtection="1">
      <alignment horizontal="right"/>
      <protection hidden="1"/>
    </xf>
    <xf numFmtId="174" fontId="62" fillId="15" borderId="0" xfId="4" applyNumberFormat="1" applyFont="1" applyFill="1" applyAlignment="1" applyProtection="1">
      <alignment horizontal="center"/>
      <protection hidden="1"/>
    </xf>
    <xf numFmtId="0" fontId="76" fillId="15" borderId="0" xfId="0" applyFont="1" applyFill="1" applyAlignment="1" applyProtection="1">
      <alignment horizontal="left" vertical="center" indent="1"/>
      <protection hidden="1"/>
    </xf>
    <xf numFmtId="0" fontId="76" fillId="15" borderId="0" xfId="0" applyFont="1" applyFill="1" applyAlignment="1" applyProtection="1">
      <alignment horizontal="left" vertical="center"/>
      <protection hidden="1"/>
    </xf>
    <xf numFmtId="174" fontId="44" fillId="2" borderId="4" xfId="0" applyNumberFormat="1" applyFont="1" applyFill="1" applyBorder="1" applyAlignment="1" applyProtection="1">
      <alignment horizontal="center" vertical="center"/>
      <protection hidden="1"/>
    </xf>
    <xf numFmtId="174" fontId="44" fillId="2" borderId="1" xfId="0" applyNumberFormat="1" applyFont="1" applyFill="1" applyBorder="1" applyAlignment="1" applyProtection="1">
      <alignment horizontal="center" vertical="center"/>
      <protection hidden="1"/>
    </xf>
    <xf numFmtId="0" fontId="48" fillId="35" borderId="1" xfId="0" applyFont="1" applyFill="1" applyBorder="1" applyAlignment="1" applyProtection="1">
      <alignment horizontal="center" vertical="center"/>
      <protection hidden="1"/>
    </xf>
    <xf numFmtId="0" fontId="48" fillId="35" borderId="4" xfId="0" applyFont="1" applyFill="1" applyBorder="1" applyAlignment="1" applyProtection="1">
      <alignment horizontal="center" vertical="center"/>
      <protection hidden="1"/>
    </xf>
    <xf numFmtId="174" fontId="44" fillId="2" borderId="6" xfId="0" applyNumberFormat="1" applyFont="1" applyFill="1" applyBorder="1" applyAlignment="1" applyProtection="1">
      <alignment horizontal="center" vertical="center"/>
      <protection hidden="1"/>
    </xf>
    <xf numFmtId="0" fontId="164" fillId="4" borderId="0" xfId="0" applyFont="1" applyFill="1" applyAlignment="1" applyProtection="1">
      <alignment vertical="center" wrapText="1"/>
      <protection hidden="1"/>
    </xf>
    <xf numFmtId="174" fontId="48" fillId="4" borderId="0" xfId="1" applyNumberFormat="1" applyFont="1" applyFill="1" applyBorder="1" applyAlignment="1" applyProtection="1">
      <alignment horizontal="center" vertical="center" wrapText="1"/>
      <protection hidden="1"/>
    </xf>
    <xf numFmtId="0" fontId="138" fillId="0" borderId="0" xfId="0" applyFont="1" applyAlignment="1">
      <alignment vertical="center"/>
    </xf>
    <xf numFmtId="0" fontId="48" fillId="5" borderId="0" xfId="0" applyFont="1" applyFill="1" applyAlignment="1">
      <alignment horizontal="center" vertical="center" wrapText="1"/>
    </xf>
    <xf numFmtId="9" fontId="44" fillId="5" borderId="0" xfId="1" applyFont="1" applyFill="1" applyBorder="1" applyAlignment="1">
      <alignment vertical="center"/>
    </xf>
    <xf numFmtId="9" fontId="44" fillId="22" borderId="4" xfId="1" applyFont="1" applyFill="1" applyBorder="1" applyAlignment="1">
      <alignment horizontal="center" vertical="center"/>
    </xf>
    <xf numFmtId="0" fontId="44" fillId="4" borderId="110" xfId="0" applyFont="1" applyFill="1" applyBorder="1" applyAlignment="1">
      <alignment horizontal="center" vertical="center"/>
    </xf>
    <xf numFmtId="174" fontId="44" fillId="22" borderId="114" xfId="0" applyNumberFormat="1" applyFont="1" applyFill="1" applyBorder="1" applyAlignment="1">
      <alignment horizontal="center" vertical="center"/>
    </xf>
    <xf numFmtId="174" fontId="44" fillId="22" borderId="115" xfId="0" applyNumberFormat="1" applyFont="1" applyFill="1" applyBorder="1" applyAlignment="1">
      <alignment horizontal="center" vertical="center"/>
    </xf>
    <xf numFmtId="174" fontId="44" fillId="22" borderId="116" xfId="0" applyNumberFormat="1" applyFont="1" applyFill="1" applyBorder="1" applyAlignment="1">
      <alignment horizontal="center" vertical="center"/>
    </xf>
    <xf numFmtId="0" fontId="126" fillId="5" borderId="0" xfId="0" applyFont="1" applyFill="1" applyAlignment="1" applyProtection="1">
      <alignment horizontal="center" vertical="center"/>
      <protection locked="0"/>
    </xf>
    <xf numFmtId="0" fontId="149" fillId="5" borderId="0" xfId="0" applyFont="1" applyFill="1" applyAlignment="1" applyProtection="1">
      <alignment horizontal="right" vertical="center"/>
      <protection locked="0"/>
    </xf>
    <xf numFmtId="0" fontId="149" fillId="5" borderId="183" xfId="0" applyFont="1" applyFill="1" applyBorder="1" applyAlignment="1" applyProtection="1">
      <alignment horizontal="right" vertical="center"/>
      <protection locked="0"/>
    </xf>
    <xf numFmtId="0" fontId="194" fillId="6" borderId="215" xfId="0" applyFont="1" applyFill="1" applyBorder="1" applyAlignment="1">
      <alignment horizontal="left" vertical="center" wrapText="1"/>
    </xf>
    <xf numFmtId="0" fontId="194" fillId="6" borderId="216" xfId="0" applyFont="1" applyFill="1" applyBorder="1" applyAlignment="1">
      <alignment horizontal="left" vertical="center" wrapText="1"/>
    </xf>
    <xf numFmtId="0" fontId="194" fillId="6" borderId="217" xfId="0" applyFont="1" applyFill="1" applyBorder="1" applyAlignment="1">
      <alignment horizontal="left" vertical="center" wrapText="1"/>
    </xf>
    <xf numFmtId="0" fontId="133" fillId="40" borderId="220" xfId="0" applyFont="1" applyFill="1" applyBorder="1" applyAlignment="1">
      <alignment horizontal="center" vertical="center" wrapText="1"/>
    </xf>
    <xf numFmtId="0" fontId="133" fillId="40" borderId="221" xfId="0" applyFont="1" applyFill="1" applyBorder="1" applyAlignment="1">
      <alignment horizontal="center" vertical="center" wrapText="1"/>
    </xf>
    <xf numFmtId="0" fontId="133" fillId="40" borderId="160" xfId="0" applyFont="1" applyFill="1" applyBorder="1" applyAlignment="1">
      <alignment horizontal="center" vertical="center" wrapText="1"/>
    </xf>
    <xf numFmtId="0" fontId="133" fillId="40" borderId="155" xfId="0" applyFont="1" applyFill="1" applyBorder="1" applyAlignment="1">
      <alignment horizontal="center" vertical="center" wrapText="1"/>
    </xf>
    <xf numFmtId="0" fontId="197" fillId="39" borderId="160" xfId="0" applyFont="1" applyFill="1" applyBorder="1" applyAlignment="1">
      <alignment horizontal="left" vertical="center" wrapText="1"/>
    </xf>
    <xf numFmtId="0" fontId="197" fillId="39" borderId="223" xfId="0" applyFont="1" applyFill="1" applyBorder="1" applyAlignment="1">
      <alignment horizontal="left" vertical="center" wrapText="1"/>
    </xf>
    <xf numFmtId="0" fontId="25" fillId="5" borderId="226" xfId="0" applyFont="1" applyFill="1" applyBorder="1" applyAlignment="1" applyProtection="1">
      <alignment horizontal="center" vertical="center"/>
      <protection locked="0"/>
    </xf>
    <xf numFmtId="0" fontId="25" fillId="5" borderId="227" xfId="0" applyFont="1" applyFill="1" applyBorder="1" applyAlignment="1" applyProtection="1">
      <alignment horizontal="center" vertical="center"/>
      <protection locked="0"/>
    </xf>
    <xf numFmtId="0" fontId="49" fillId="5" borderId="0" xfId="0" applyFont="1" applyFill="1" applyAlignment="1">
      <alignment horizontal="center" vertical="center"/>
    </xf>
    <xf numFmtId="0" fontId="48" fillId="34" borderId="4" xfId="0" applyFont="1" applyFill="1" applyBorder="1" applyAlignment="1">
      <alignment horizontal="center" vertical="center"/>
    </xf>
    <xf numFmtId="0" fontId="49" fillId="16" borderId="110"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49" fillId="16" borderId="3" xfId="0" applyFont="1" applyFill="1" applyBorder="1" applyAlignment="1">
      <alignment horizontal="center" vertical="center" wrapText="1"/>
    </xf>
    <xf numFmtId="0" fontId="48" fillId="34" borderId="1" xfId="0" applyFont="1" applyFill="1" applyBorder="1" applyAlignment="1">
      <alignment horizontal="center" vertical="center"/>
    </xf>
    <xf numFmtId="0" fontId="48" fillId="34" borderId="3" xfId="0" applyFont="1" applyFill="1" applyBorder="1" applyAlignment="1">
      <alignment horizontal="center" vertical="center"/>
    </xf>
    <xf numFmtId="0" fontId="44" fillId="34" borderId="1" xfId="0" applyFont="1" applyFill="1" applyBorder="1" applyAlignment="1">
      <alignment horizontal="left" vertical="center" wrapText="1"/>
    </xf>
    <xf numFmtId="0" fontId="44" fillId="34" borderId="3" xfId="0" applyFont="1" applyFill="1" applyBorder="1" applyAlignment="1">
      <alignment horizontal="left" vertical="center" wrapText="1"/>
    </xf>
    <xf numFmtId="0" fontId="48" fillId="34" borderId="1" xfId="0" applyFont="1" applyFill="1" applyBorder="1" applyAlignment="1">
      <alignment horizontal="left"/>
    </xf>
    <xf numFmtId="0" fontId="48" fillId="34" borderId="2" xfId="0" applyFont="1" applyFill="1" applyBorder="1" applyAlignment="1">
      <alignment horizontal="left"/>
    </xf>
    <xf numFmtId="0" fontId="48" fillId="34" borderId="3" xfId="0" applyFont="1" applyFill="1" applyBorder="1" applyAlignment="1">
      <alignment horizontal="left"/>
    </xf>
    <xf numFmtId="0" fontId="49" fillId="16" borderId="1" xfId="0" applyFont="1" applyFill="1" applyBorder="1" applyAlignment="1">
      <alignment horizontal="left" vertical="center"/>
    </xf>
    <xf numFmtId="0" fontId="49" fillId="16" borderId="2" xfId="0" applyFont="1" applyFill="1" applyBorder="1" applyAlignment="1">
      <alignment horizontal="left" vertical="center"/>
    </xf>
    <xf numFmtId="0" fontId="49" fillId="16" borderId="3" xfId="0" applyFont="1" applyFill="1" applyBorder="1" applyAlignment="1">
      <alignment horizontal="left" vertical="center"/>
    </xf>
    <xf numFmtId="0" fontId="48" fillId="34" borderId="1" xfId="0" applyFont="1" applyFill="1" applyBorder="1" applyAlignment="1">
      <alignment horizontal="left" vertical="center"/>
    </xf>
    <xf numFmtId="0" fontId="48" fillId="34" borderId="2" xfId="0" applyFont="1" applyFill="1" applyBorder="1" applyAlignment="1">
      <alignment horizontal="left" vertical="center"/>
    </xf>
    <xf numFmtId="0" fontId="48" fillId="34" borderId="3" xfId="0" applyFont="1" applyFill="1" applyBorder="1" applyAlignment="1">
      <alignment horizontal="left" vertical="center"/>
    </xf>
    <xf numFmtId="0" fontId="49" fillId="5" borderId="0" xfId="0" applyFont="1" applyFill="1" applyAlignment="1">
      <alignment horizontal="center"/>
    </xf>
    <xf numFmtId="0" fontId="49" fillId="5" borderId="0" xfId="0" applyFont="1" applyFill="1" applyAlignment="1">
      <alignment horizontal="center" vertical="center" wrapText="1"/>
    </xf>
    <xf numFmtId="0" fontId="49" fillId="16" borderId="4" xfId="0" applyFont="1" applyFill="1" applyBorder="1" applyAlignment="1">
      <alignment horizontal="center"/>
    </xf>
    <xf numFmtId="9" fontId="44" fillId="5" borderId="0" xfId="1" applyFont="1" applyFill="1" applyBorder="1" applyAlignment="1">
      <alignment horizontal="center" vertical="center"/>
    </xf>
    <xf numFmtId="0" fontId="49" fillId="16" borderId="4" xfId="0" applyFont="1" applyFill="1" applyBorder="1" applyAlignment="1">
      <alignment horizontal="center" vertical="center" wrapText="1"/>
    </xf>
    <xf numFmtId="0" fontId="44" fillId="5" borderId="0" xfId="1" applyNumberFormat="1" applyFont="1" applyFill="1" applyBorder="1" applyAlignment="1">
      <alignment horizontal="center" vertical="center"/>
    </xf>
    <xf numFmtId="10" fontId="44" fillId="5" borderId="0" xfId="1" applyNumberFormat="1" applyFont="1" applyFill="1" applyBorder="1" applyAlignment="1">
      <alignment horizontal="center"/>
    </xf>
    <xf numFmtId="0" fontId="48" fillId="34" borderId="110" xfId="0" applyFont="1" applyFill="1" applyBorder="1" applyAlignment="1">
      <alignment horizontal="center" vertical="center"/>
    </xf>
    <xf numFmtId="0" fontId="48" fillId="34" borderId="111" xfId="0" applyFont="1" applyFill="1" applyBorder="1" applyAlignment="1">
      <alignment horizontal="center" vertical="center"/>
    </xf>
    <xf numFmtId="0" fontId="48" fillId="34" borderId="112" xfId="0" applyFont="1" applyFill="1" applyBorder="1" applyAlignment="1">
      <alignment horizontal="center" vertical="center"/>
    </xf>
    <xf numFmtId="0" fontId="48" fillId="34" borderId="113" xfId="0" applyFont="1" applyFill="1" applyBorder="1" applyAlignment="1">
      <alignment horizontal="center" vertical="center"/>
    </xf>
    <xf numFmtId="0" fontId="48" fillId="34" borderId="111" xfId="0" applyFont="1" applyFill="1" applyBorder="1" applyAlignment="1">
      <alignment horizontal="center" vertical="center" wrapText="1"/>
    </xf>
    <xf numFmtId="0" fontId="48" fillId="34" borderId="112" xfId="0" applyFont="1" applyFill="1" applyBorder="1" applyAlignment="1">
      <alignment horizontal="center" vertical="center" wrapText="1"/>
    </xf>
    <xf numFmtId="0" fontId="48" fillId="34" borderId="113" xfId="0" applyFont="1" applyFill="1" applyBorder="1" applyAlignment="1">
      <alignment horizontal="center" vertical="center" wrapText="1"/>
    </xf>
    <xf numFmtId="0" fontId="44" fillId="22" borderId="4" xfId="1" applyNumberFormat="1" applyFont="1" applyFill="1" applyBorder="1" applyAlignment="1">
      <alignment horizontal="center" vertical="center"/>
    </xf>
    <xf numFmtId="0" fontId="62" fillId="5" borderId="0" xfId="0" applyFont="1" applyFill="1" applyAlignment="1">
      <alignment horizontal="right" vertical="center"/>
    </xf>
    <xf numFmtId="0" fontId="25" fillId="5" borderId="231" xfId="0" applyFont="1" applyFill="1" applyBorder="1" applyAlignment="1" applyProtection="1">
      <alignment horizontal="center" vertical="center"/>
      <protection locked="0"/>
    </xf>
    <xf numFmtId="0" fontId="25" fillId="5" borderId="232" xfId="0" applyFont="1" applyFill="1" applyBorder="1" applyAlignment="1" applyProtection="1">
      <alignment horizontal="center" vertical="center"/>
      <protection locked="0"/>
    </xf>
    <xf numFmtId="0" fontId="25" fillId="39" borderId="234" xfId="0" applyFont="1" applyFill="1" applyBorder="1" applyAlignment="1">
      <alignment horizontal="left" vertical="center"/>
    </xf>
    <xf numFmtId="0" fontId="25" fillId="39" borderId="235" xfId="0" applyFont="1" applyFill="1" applyBorder="1" applyAlignment="1">
      <alignment horizontal="left" vertical="center"/>
    </xf>
    <xf numFmtId="0" fontId="25" fillId="5" borderId="236" xfId="0" applyFont="1" applyFill="1" applyBorder="1" applyAlignment="1" applyProtection="1">
      <alignment horizontal="center" vertical="center"/>
      <protection locked="0"/>
    </xf>
    <xf numFmtId="0" fontId="25" fillId="5" borderId="237" xfId="0" applyFont="1" applyFill="1" applyBorder="1" applyAlignment="1" applyProtection="1">
      <alignment horizontal="center" vertical="center"/>
      <protection locked="0"/>
    </xf>
    <xf numFmtId="0" fontId="0" fillId="2" borderId="0" xfId="0" applyFill="1" applyAlignment="1">
      <alignment horizontal="center" vertical="center"/>
    </xf>
    <xf numFmtId="0" fontId="49" fillId="16" borderId="1" xfId="0" applyFont="1" applyFill="1" applyBorder="1" applyAlignment="1">
      <alignment horizontal="center" vertical="center"/>
    </xf>
    <xf numFmtId="0" fontId="49" fillId="16" borderId="2" xfId="0" applyFont="1" applyFill="1" applyBorder="1" applyAlignment="1">
      <alignment horizontal="center" vertical="center"/>
    </xf>
    <xf numFmtId="0" fontId="49" fillId="16" borderId="3" xfId="0" applyFont="1" applyFill="1" applyBorder="1" applyAlignment="1">
      <alignment horizontal="center" vertical="center"/>
    </xf>
    <xf numFmtId="0" fontId="25" fillId="39" borderId="155" xfId="0" applyFont="1" applyFill="1" applyBorder="1" applyAlignment="1">
      <alignment horizontal="left" vertical="center"/>
    </xf>
    <xf numFmtId="0" fontId="25" fillId="39" borderId="229" xfId="0" applyFont="1" applyFill="1" applyBorder="1" applyAlignment="1">
      <alignment horizontal="left" vertical="center"/>
    </xf>
    <xf numFmtId="0" fontId="199" fillId="34" borderId="1" xfId="0" applyFont="1" applyFill="1" applyBorder="1" applyAlignment="1">
      <alignment horizontal="left" vertical="center"/>
    </xf>
    <xf numFmtId="0" fontId="199" fillId="34" borderId="2" xfId="0" applyFont="1" applyFill="1" applyBorder="1" applyAlignment="1">
      <alignment horizontal="left" vertical="center"/>
    </xf>
    <xf numFmtId="0" fontId="199" fillId="34" borderId="3" xfId="0" applyFont="1" applyFill="1" applyBorder="1" applyAlignment="1">
      <alignment horizontal="left" vertical="center"/>
    </xf>
    <xf numFmtId="0" fontId="43" fillId="0" borderId="36" xfId="0" applyFont="1" applyBorder="1" applyAlignment="1" applyProtection="1">
      <alignment horizontal="left" vertical="center"/>
      <protection locked="0"/>
    </xf>
    <xf numFmtId="0" fontId="43" fillId="0" borderId="37" xfId="0" applyFont="1" applyBorder="1" applyAlignment="1" applyProtection="1">
      <alignment horizontal="left" vertical="center"/>
      <protection locked="0"/>
    </xf>
    <xf numFmtId="0" fontId="43" fillId="0" borderId="38" xfId="0" applyFont="1" applyBorder="1" applyAlignment="1" applyProtection="1">
      <alignment horizontal="left" vertical="center"/>
      <protection locked="0"/>
    </xf>
    <xf numFmtId="0" fontId="157" fillId="5" borderId="36" xfId="0" applyFont="1" applyFill="1" applyBorder="1" applyAlignment="1" applyProtection="1">
      <alignment horizontal="center" vertical="center" wrapText="1"/>
      <protection locked="0"/>
    </xf>
    <xf numFmtId="0" fontId="157" fillId="5" borderId="37" xfId="0" applyFont="1" applyFill="1" applyBorder="1" applyAlignment="1" applyProtection="1">
      <alignment horizontal="center" vertical="center" wrapText="1"/>
      <protection locked="0"/>
    </xf>
    <xf numFmtId="0" fontId="157" fillId="5" borderId="38" xfId="0" applyFont="1" applyFill="1" applyBorder="1" applyAlignment="1" applyProtection="1">
      <alignment horizontal="center" vertical="center" wrapText="1"/>
      <protection locked="0"/>
    </xf>
    <xf numFmtId="0" fontId="157" fillId="4" borderId="0" xfId="0" applyFont="1" applyFill="1" applyAlignment="1">
      <alignment horizontal="left" vertical="center" wrapText="1"/>
    </xf>
    <xf numFmtId="0" fontId="41" fillId="19" borderId="0" xfId="0" applyFont="1" applyFill="1" applyAlignment="1">
      <alignment horizontal="left" vertical="center" wrapText="1"/>
    </xf>
    <xf numFmtId="0" fontId="13" fillId="19" borderId="0" xfId="0" applyFont="1" applyFill="1" applyAlignment="1">
      <alignment horizontal="left" vertical="center" wrapText="1"/>
    </xf>
    <xf numFmtId="0" fontId="157" fillId="5" borderId="36" xfId="0" applyFont="1" applyFill="1" applyBorder="1" applyAlignment="1" applyProtection="1">
      <alignment horizontal="left" vertical="center" wrapText="1"/>
      <protection locked="0"/>
    </xf>
    <xf numFmtId="0" fontId="157" fillId="5" borderId="37" xfId="0" applyFont="1" applyFill="1" applyBorder="1" applyAlignment="1" applyProtection="1">
      <alignment horizontal="left" vertical="center" wrapText="1"/>
      <protection locked="0"/>
    </xf>
    <xf numFmtId="0" fontId="157" fillId="5" borderId="38" xfId="0" applyFont="1" applyFill="1" applyBorder="1" applyAlignment="1" applyProtection="1">
      <alignment horizontal="left" vertical="center" wrapText="1"/>
      <protection locked="0"/>
    </xf>
    <xf numFmtId="0" fontId="44" fillId="0" borderId="177" xfId="0" applyFont="1" applyBorder="1" applyAlignment="1" applyProtection="1">
      <alignment horizontal="center" vertical="center" wrapText="1"/>
      <protection locked="0"/>
    </xf>
    <xf numFmtId="0" fontId="44" fillId="0" borderId="175" xfId="0" applyFont="1" applyBorder="1" applyAlignment="1" applyProtection="1">
      <alignment horizontal="center" vertical="center" wrapText="1"/>
      <protection locked="0"/>
    </xf>
    <xf numFmtId="0" fontId="44" fillId="0" borderId="176" xfId="0" applyFont="1" applyBorder="1" applyAlignment="1" applyProtection="1">
      <alignment horizontal="center" vertical="center" wrapText="1"/>
      <protection locked="0"/>
    </xf>
    <xf numFmtId="0" fontId="44" fillId="0" borderId="151" xfId="0" applyFont="1" applyBorder="1" applyAlignment="1" applyProtection="1">
      <alignment horizontal="center" vertical="center" wrapText="1"/>
      <protection locked="0"/>
    </xf>
    <xf numFmtId="0" fontId="173" fillId="38" borderId="126" xfId="0" applyFont="1" applyFill="1" applyBorder="1" applyAlignment="1">
      <alignment horizontal="center" vertical="center"/>
    </xf>
    <xf numFmtId="0" fontId="173" fillId="38" borderId="127" xfId="0" applyFont="1" applyFill="1" applyBorder="1" applyAlignment="1">
      <alignment horizontal="center" vertical="center"/>
    </xf>
    <xf numFmtId="0" fontId="173" fillId="34" borderId="128" xfId="0" applyFont="1" applyFill="1" applyBorder="1" applyAlignment="1">
      <alignment horizontal="center" vertical="center"/>
    </xf>
    <xf numFmtId="0" fontId="173" fillId="34" borderId="129" xfId="0" applyFont="1" applyFill="1" applyBorder="1" applyAlignment="1">
      <alignment horizontal="center" vertical="center"/>
    </xf>
    <xf numFmtId="0" fontId="173" fillId="34" borderId="125" xfId="0" applyFont="1" applyFill="1" applyBorder="1" applyAlignment="1">
      <alignment horizontal="center" vertical="center"/>
    </xf>
    <xf numFmtId="0" fontId="44" fillId="0" borderId="174" xfId="0" applyFont="1" applyBorder="1" applyAlignment="1">
      <alignment horizontal="center" vertical="center" wrapText="1"/>
    </xf>
    <xf numFmtId="0" fontId="44" fillId="0" borderId="175" xfId="0" applyFont="1" applyBorder="1" applyAlignment="1">
      <alignment horizontal="center" vertical="center" wrapText="1"/>
    </xf>
    <xf numFmtId="0" fontId="44" fillId="0" borderId="176" xfId="0" applyFont="1" applyBorder="1" applyAlignment="1">
      <alignment horizontal="center" vertical="center" wrapText="1"/>
    </xf>
    <xf numFmtId="174" fontId="44" fillId="39" borderId="174" xfId="0" applyNumberFormat="1" applyFont="1" applyFill="1" applyBorder="1" applyAlignment="1">
      <alignment horizontal="center" vertical="center"/>
    </xf>
    <xf numFmtId="174" fontId="44" fillId="39" borderId="175" xfId="0" applyNumberFormat="1" applyFont="1" applyFill="1" applyBorder="1" applyAlignment="1">
      <alignment horizontal="center" vertical="center"/>
    </xf>
    <xf numFmtId="174" fontId="44" fillId="39" borderId="176" xfId="0" applyNumberFormat="1" applyFont="1" applyFill="1" applyBorder="1" applyAlignment="1">
      <alignment horizontal="center" vertical="center"/>
    </xf>
    <xf numFmtId="0" fontId="176" fillId="0" borderId="131" xfId="0" applyFont="1" applyBorder="1" applyAlignment="1">
      <alignment horizontal="center" vertical="center" wrapText="1"/>
    </xf>
    <xf numFmtId="0" fontId="176" fillId="0" borderId="145" xfId="0" applyFont="1" applyBorder="1" applyAlignment="1">
      <alignment horizontal="center" vertical="center" wrapText="1"/>
    </xf>
    <xf numFmtId="0" fontId="176" fillId="0" borderId="132" xfId="0" applyFont="1" applyBorder="1" applyAlignment="1">
      <alignment horizontal="center" vertical="center"/>
    </xf>
    <xf numFmtId="0" fontId="176" fillId="0" borderId="133" xfId="0" applyFont="1" applyBorder="1" applyAlignment="1">
      <alignment horizontal="center" vertical="center"/>
    </xf>
    <xf numFmtId="0" fontId="176" fillId="5" borderId="134" xfId="0" applyFont="1" applyFill="1" applyBorder="1" applyAlignment="1">
      <alignment horizontal="center" vertical="center"/>
    </xf>
    <xf numFmtId="0" fontId="176" fillId="5" borderId="118" xfId="0" applyFont="1" applyFill="1" applyBorder="1" applyAlignment="1">
      <alignment horizontal="center" vertical="center"/>
    </xf>
    <xf numFmtId="0" fontId="177" fillId="0" borderId="82" xfId="0" applyFont="1" applyBorder="1" applyAlignment="1">
      <alignment horizontal="center" vertical="center" wrapText="1"/>
    </xf>
    <xf numFmtId="0" fontId="177" fillId="0" borderId="135" xfId="0" applyFont="1" applyBorder="1" applyAlignment="1">
      <alignment horizontal="center" vertical="center"/>
    </xf>
    <xf numFmtId="0" fontId="177" fillId="0" borderId="144" xfId="0" applyFont="1" applyBorder="1" applyAlignment="1">
      <alignment horizontal="center" vertical="center"/>
    </xf>
    <xf numFmtId="0" fontId="176" fillId="0" borderId="172" xfId="0" applyFont="1" applyBorder="1" applyAlignment="1">
      <alignment horizontal="center" vertical="center" wrapText="1"/>
    </xf>
    <xf numFmtId="0" fontId="176" fillId="0" borderId="173" xfId="0" applyFont="1" applyBorder="1" applyAlignment="1">
      <alignment horizontal="center" vertical="center" wrapText="1"/>
    </xf>
    <xf numFmtId="0" fontId="158" fillId="5" borderId="0" xfId="0" applyFont="1" applyFill="1" applyAlignment="1">
      <alignment horizontal="center" vertical="center"/>
    </xf>
    <xf numFmtId="0" fontId="44" fillId="0" borderId="148" xfId="0" applyFont="1" applyBorder="1" applyAlignment="1">
      <alignment horizontal="center" vertical="center" wrapText="1"/>
    </xf>
    <xf numFmtId="0" fontId="44" fillId="0" borderId="151" xfId="0" applyFont="1" applyBorder="1" applyAlignment="1">
      <alignment horizontal="center" vertical="center" wrapText="1"/>
    </xf>
    <xf numFmtId="174" fontId="44" fillId="39" borderId="177" xfId="0" applyNumberFormat="1" applyFont="1" applyFill="1" applyBorder="1" applyAlignment="1" applyProtection="1">
      <alignment horizontal="center" vertical="center"/>
      <protection locked="0"/>
    </xf>
    <xf numFmtId="174" fontId="44" fillId="39" borderId="175" xfId="0" applyNumberFormat="1" applyFont="1" applyFill="1" applyBorder="1" applyAlignment="1" applyProtection="1">
      <alignment horizontal="center" vertical="center"/>
      <protection locked="0"/>
    </xf>
    <xf numFmtId="174" fontId="44" fillId="39" borderId="176" xfId="0" applyNumberFormat="1" applyFont="1" applyFill="1" applyBorder="1" applyAlignment="1" applyProtection="1">
      <alignment horizontal="center" vertical="center"/>
      <protection locked="0"/>
    </xf>
    <xf numFmtId="174" fontId="44" fillId="39" borderId="178" xfId="0" applyNumberFormat="1" applyFont="1" applyFill="1" applyBorder="1" applyAlignment="1" applyProtection="1">
      <alignment horizontal="center" vertical="center"/>
      <protection locked="0"/>
    </xf>
    <xf numFmtId="0" fontId="47" fillId="34" borderId="1" xfId="0" applyFont="1" applyFill="1" applyBorder="1" applyAlignment="1">
      <alignment horizontal="center" vertical="center"/>
    </xf>
    <xf numFmtId="0" fontId="47" fillId="34" borderId="3" xfId="0" applyFont="1" applyFill="1" applyBorder="1" applyAlignment="1">
      <alignment horizontal="center" vertical="center"/>
    </xf>
    <xf numFmtId="0" fontId="0" fillId="5" borderId="0" xfId="0" applyFill="1" applyAlignment="1">
      <alignment horizontal="left" indent="13"/>
    </xf>
    <xf numFmtId="0" fontId="0" fillId="5" borderId="0" xfId="0" applyFill="1" applyAlignment="1">
      <alignment horizontal="left"/>
    </xf>
    <xf numFmtId="0" fontId="139" fillId="5" borderId="0" xfId="0" applyFont="1" applyFill="1" applyAlignment="1">
      <alignment horizontal="left" wrapText="1"/>
    </xf>
    <xf numFmtId="0" fontId="139" fillId="5" borderId="0" xfId="0" applyFont="1" applyFill="1" applyAlignment="1">
      <alignment horizontal="left" vertical="center" wrapText="1"/>
    </xf>
    <xf numFmtId="0" fontId="145" fillId="5" borderId="0" xfId="0" applyFont="1" applyFill="1" applyAlignment="1">
      <alignment horizontal="left" vertical="center"/>
    </xf>
    <xf numFmtId="0" fontId="0" fillId="5" borderId="0" xfId="0" applyFill="1" applyAlignment="1">
      <alignment horizontal="center" vertical="top"/>
    </xf>
    <xf numFmtId="3" fontId="62" fillId="15" borderId="192" xfId="0" applyNumberFormat="1" applyFont="1" applyFill="1" applyBorder="1" applyAlignment="1" applyProtection="1">
      <alignment horizontal="center" vertical="center"/>
      <protection hidden="1"/>
    </xf>
    <xf numFmtId="3" fontId="62" fillId="15" borderId="193" xfId="0" applyNumberFormat="1" applyFont="1" applyFill="1" applyBorder="1" applyAlignment="1" applyProtection="1">
      <alignment horizontal="center" vertical="center"/>
      <protection hidden="1"/>
    </xf>
    <xf numFmtId="3" fontId="62" fillId="22" borderId="0" xfId="0" applyNumberFormat="1" applyFont="1" applyFill="1" applyAlignment="1" applyProtection="1">
      <alignment horizontal="center" vertical="center"/>
      <protection hidden="1"/>
    </xf>
    <xf numFmtId="0" fontId="49" fillId="16" borderId="6" xfId="0" applyFont="1" applyFill="1" applyBorder="1" applyAlignment="1">
      <alignment horizontal="center" vertical="center" wrapText="1"/>
    </xf>
    <xf numFmtId="0" fontId="49" fillId="16" borderId="8" xfId="0" applyFont="1" applyFill="1" applyBorder="1" applyAlignment="1">
      <alignment horizontal="center" vertical="center" wrapText="1"/>
    </xf>
    <xf numFmtId="0" fontId="49" fillId="16" borderId="11" xfId="0" applyFont="1" applyFill="1" applyBorder="1" applyAlignment="1">
      <alignment horizontal="center" vertical="center" wrapText="1"/>
    </xf>
    <xf numFmtId="0" fontId="49" fillId="16" borderId="12" xfId="0" applyFont="1" applyFill="1" applyBorder="1" applyAlignment="1">
      <alignment horizontal="center" vertical="center" wrapText="1"/>
    </xf>
    <xf numFmtId="3" fontId="62" fillId="15" borderId="188" xfId="0" applyNumberFormat="1" applyFont="1" applyFill="1" applyBorder="1" applyAlignment="1" applyProtection="1">
      <alignment horizontal="center" vertical="center"/>
      <protection hidden="1"/>
    </xf>
    <xf numFmtId="3" fontId="62" fillId="15" borderId="3" xfId="0" applyNumberFormat="1" applyFont="1" applyFill="1" applyBorder="1" applyAlignment="1" applyProtection="1">
      <alignment horizontal="center" vertical="center"/>
      <protection hidden="1"/>
    </xf>
    <xf numFmtId="3" fontId="62" fillId="15" borderId="186" xfId="0" applyNumberFormat="1" applyFont="1" applyFill="1" applyBorder="1" applyAlignment="1" applyProtection="1">
      <alignment horizontal="center" vertical="center"/>
      <protection hidden="1"/>
    </xf>
    <xf numFmtId="3" fontId="62" fillId="15" borderId="187" xfId="0" applyNumberFormat="1" applyFont="1" applyFill="1" applyBorder="1" applyAlignment="1" applyProtection="1">
      <alignment horizontal="center" vertical="center"/>
      <protection hidden="1"/>
    </xf>
    <xf numFmtId="3" fontId="62" fillId="15" borderId="1" xfId="0" applyNumberFormat="1" applyFont="1" applyFill="1" applyBorder="1" applyAlignment="1" applyProtection="1">
      <alignment horizontal="center" vertical="center"/>
      <protection hidden="1"/>
    </xf>
    <xf numFmtId="3" fontId="62" fillId="15" borderId="189" xfId="0" applyNumberFormat="1" applyFont="1" applyFill="1" applyBorder="1" applyAlignment="1" applyProtection="1">
      <alignment horizontal="center" vertical="center"/>
      <protection hidden="1"/>
    </xf>
    <xf numFmtId="3" fontId="7" fillId="5" borderId="1" xfId="0" applyNumberFormat="1" applyFont="1" applyFill="1" applyBorder="1" applyAlignment="1">
      <alignment horizontal="center" vertical="center"/>
    </xf>
    <xf numFmtId="3" fontId="7" fillId="5" borderId="3" xfId="0" applyNumberFormat="1" applyFont="1" applyFill="1" applyBorder="1" applyAlignment="1">
      <alignment horizontal="center" vertical="center"/>
    </xf>
    <xf numFmtId="0" fontId="2" fillId="6" borderId="1" xfId="0" applyFont="1" applyFill="1" applyBorder="1" applyAlignment="1">
      <alignment horizontal="right" vertical="center"/>
    </xf>
    <xf numFmtId="0" fontId="2" fillId="6" borderId="2" xfId="0" applyFont="1" applyFill="1" applyBorder="1" applyAlignment="1">
      <alignment horizontal="right" vertical="center"/>
    </xf>
    <xf numFmtId="0" fontId="2" fillId="6" borderId="3" xfId="0" applyFont="1" applyFill="1" applyBorder="1" applyAlignment="1">
      <alignment horizontal="right" vertical="center"/>
    </xf>
    <xf numFmtId="0" fontId="0" fillId="22" borderId="0" xfId="0" applyFill="1"/>
    <xf numFmtId="3" fontId="7" fillId="0" borderId="1" xfId="0" applyNumberFormat="1" applyFont="1" applyBorder="1" applyAlignment="1">
      <alignment horizontal="center" vertical="center"/>
    </xf>
    <xf numFmtId="3" fontId="7" fillId="0" borderId="3" xfId="0" applyNumberFormat="1" applyFont="1" applyBorder="1" applyAlignment="1">
      <alignment horizontal="center" vertical="center"/>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0" fontId="62" fillId="4" borderId="0" xfId="0" applyFont="1" applyFill="1" applyAlignment="1">
      <alignment horizontal="right" vertical="center"/>
    </xf>
    <xf numFmtId="3" fontId="62" fillId="15" borderId="190" xfId="0" applyNumberFormat="1" applyFont="1" applyFill="1" applyBorder="1" applyAlignment="1" applyProtection="1">
      <alignment horizontal="center" vertical="center"/>
      <protection hidden="1"/>
    </xf>
    <xf numFmtId="3" fontId="62" fillId="15" borderId="191" xfId="0" applyNumberFormat="1" applyFont="1" applyFill="1" applyBorder="1" applyAlignment="1" applyProtection="1">
      <alignment horizontal="center" vertical="center"/>
      <protection hidden="1"/>
    </xf>
    <xf numFmtId="0" fontId="126" fillId="5" borderId="7" xfId="0" applyFont="1" applyFill="1" applyBorder="1" applyAlignment="1">
      <alignment horizontal="left" vertical="center" wrapText="1" indent="5"/>
    </xf>
    <xf numFmtId="0" fontId="126" fillId="5" borderId="8" xfId="0" applyFont="1" applyFill="1" applyBorder="1" applyAlignment="1">
      <alignment horizontal="left" vertical="center" wrapText="1" indent="5"/>
    </xf>
    <xf numFmtId="0" fontId="126" fillId="5" borderId="15" xfId="0" applyFont="1" applyFill="1" applyBorder="1" applyAlignment="1">
      <alignment horizontal="left" vertical="center" wrapText="1" indent="5"/>
    </xf>
    <xf numFmtId="0" fontId="126" fillId="5" borderId="14" xfId="0" applyFont="1" applyFill="1" applyBorder="1" applyAlignment="1">
      <alignment horizontal="left" vertical="center" wrapText="1" indent="5"/>
    </xf>
    <xf numFmtId="0" fontId="49" fillId="16" borderId="4" xfId="0" applyFont="1" applyFill="1" applyBorder="1" applyAlignment="1">
      <alignment horizontal="center" vertical="center"/>
    </xf>
    <xf numFmtId="0" fontId="41" fillId="16" borderId="4" xfId="0" applyFont="1" applyFill="1" applyBorder="1" applyAlignment="1">
      <alignment horizontal="center" vertical="center" wrapText="1"/>
    </xf>
    <xf numFmtId="3" fontId="62" fillId="15" borderId="184" xfId="0" applyNumberFormat="1" applyFont="1" applyFill="1" applyBorder="1" applyAlignment="1" applyProtection="1">
      <alignment horizontal="center" vertical="center"/>
      <protection hidden="1"/>
    </xf>
    <xf numFmtId="3" fontId="62" fillId="15" borderId="185" xfId="0" applyNumberFormat="1" applyFont="1" applyFill="1" applyBorder="1" applyAlignment="1" applyProtection="1">
      <alignment horizontal="center" vertical="center"/>
      <protection hidden="1"/>
    </xf>
    <xf numFmtId="0" fontId="44" fillId="5" borderId="36" xfId="0" applyFont="1" applyFill="1" applyBorder="1" applyAlignment="1" applyProtection="1">
      <alignment vertical="center"/>
      <protection locked="0"/>
    </xf>
    <xf numFmtId="0" fontId="44" fillId="5" borderId="38" xfId="0" applyFont="1" applyFill="1" applyBorder="1" applyAlignment="1" applyProtection="1">
      <alignment vertical="center"/>
      <protection locked="0"/>
    </xf>
    <xf numFmtId="0" fontId="4" fillId="15" borderId="7" xfId="0" applyFont="1" applyFill="1" applyBorder="1" applyAlignment="1">
      <alignment horizontal="right" vertical="center"/>
    </xf>
    <xf numFmtId="0" fontId="49" fillId="16" borderId="6" xfId="0" applyFont="1" applyFill="1" applyBorder="1" applyAlignment="1">
      <alignment horizontal="center" vertical="center"/>
    </xf>
    <xf numFmtId="0" fontId="49" fillId="16" borderId="7" xfId="0" applyFont="1" applyFill="1" applyBorder="1" applyAlignment="1">
      <alignment horizontal="center" vertical="center"/>
    </xf>
    <xf numFmtId="0" fontId="49" fillId="16" borderId="8" xfId="0" applyFont="1" applyFill="1" applyBorder="1" applyAlignment="1">
      <alignment horizontal="center" vertical="center"/>
    </xf>
    <xf numFmtId="0" fontId="49" fillId="16" borderId="11" xfId="0" applyFont="1" applyFill="1" applyBorder="1" applyAlignment="1">
      <alignment horizontal="center" vertical="center"/>
    </xf>
    <xf numFmtId="0" fontId="49" fillId="16" borderId="0" xfId="0" applyFont="1" applyFill="1" applyAlignment="1">
      <alignment horizontal="center" vertical="center"/>
    </xf>
    <xf numFmtId="0" fontId="49" fillId="16" borderId="12" xfId="0" applyFont="1" applyFill="1" applyBorder="1" applyAlignment="1">
      <alignment horizontal="center" vertical="center"/>
    </xf>
    <xf numFmtId="0" fontId="49" fillId="16" borderId="13" xfId="0" applyFont="1" applyFill="1" applyBorder="1" applyAlignment="1">
      <alignment horizontal="center" vertical="center"/>
    </xf>
    <xf numFmtId="0" fontId="49" fillId="16" borderId="15" xfId="0" applyFont="1" applyFill="1" applyBorder="1" applyAlignment="1">
      <alignment horizontal="center" vertical="center"/>
    </xf>
    <xf numFmtId="0" fontId="49" fillId="16" borderId="14" xfId="0" applyFont="1" applyFill="1" applyBorder="1" applyAlignment="1">
      <alignment horizontal="center" vertical="center"/>
    </xf>
    <xf numFmtId="3" fontId="4" fillId="15" borderId="7" xfId="0" applyNumberFormat="1" applyFont="1" applyFill="1" applyBorder="1" applyAlignment="1">
      <alignment horizontal="center" vertical="center"/>
    </xf>
    <xf numFmtId="0" fontId="2" fillId="16" borderId="0" xfId="0" applyFont="1" applyFill="1" applyAlignment="1">
      <alignment horizontal="center" vertical="center"/>
    </xf>
    <xf numFmtId="0" fontId="2" fillId="16" borderId="15" xfId="0" applyFont="1" applyFill="1" applyBorder="1" applyAlignment="1">
      <alignment horizontal="center" vertical="center"/>
    </xf>
    <xf numFmtId="0" fontId="2" fillId="16" borderId="9"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6"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8" xfId="0" applyFont="1" applyFill="1" applyBorder="1" applyAlignment="1">
      <alignment horizontal="center" vertical="center"/>
    </xf>
    <xf numFmtId="0" fontId="2" fillId="16" borderId="11" xfId="0" applyFont="1" applyFill="1" applyBorder="1" applyAlignment="1">
      <alignment horizontal="center" vertical="center"/>
    </xf>
    <xf numFmtId="0" fontId="2" fillId="16" borderId="12" xfId="0" applyFont="1" applyFill="1" applyBorder="1" applyAlignment="1">
      <alignment horizontal="center" vertical="center"/>
    </xf>
    <xf numFmtId="0" fontId="2" fillId="16" borderId="13" xfId="0" applyFont="1" applyFill="1" applyBorder="1" applyAlignment="1">
      <alignment horizontal="center" vertical="center"/>
    </xf>
    <xf numFmtId="0" fontId="2" fillId="16" borderId="14" xfId="0" applyFont="1" applyFill="1" applyBorder="1" applyAlignment="1">
      <alignment horizontal="center" vertical="center"/>
    </xf>
    <xf numFmtId="0" fontId="48" fillId="4" borderId="11" xfId="0" applyFont="1" applyFill="1" applyBorder="1" applyAlignment="1">
      <alignment horizontal="center" vertical="top"/>
    </xf>
    <xf numFmtId="0" fontId="48" fillId="4" borderId="0" xfId="0" applyFont="1" applyFill="1" applyAlignment="1">
      <alignment horizontal="center" vertical="top"/>
    </xf>
    <xf numFmtId="0" fontId="44" fillId="4" borderId="0" xfId="0" applyFont="1" applyFill="1" applyAlignment="1" applyProtection="1">
      <alignment horizontal="left" vertical="top" wrapText="1" indent="5"/>
      <protection locked="0"/>
    </xf>
    <xf numFmtId="0" fontId="2" fillId="6" borderId="6" xfId="0" applyFont="1" applyFill="1" applyBorder="1" applyAlignment="1">
      <alignment horizontal="left" vertical="center"/>
    </xf>
    <xf numFmtId="0" fontId="2" fillId="6" borderId="7" xfId="0" applyFont="1" applyFill="1" applyBorder="1" applyAlignment="1">
      <alignment horizontal="left" vertical="center"/>
    </xf>
    <xf numFmtId="0" fontId="2" fillId="6" borderId="8" xfId="0" applyFont="1" applyFill="1" applyBorder="1" applyAlignment="1">
      <alignment horizontal="left" vertical="center"/>
    </xf>
    <xf numFmtId="0" fontId="2" fillId="6" borderId="13" xfId="0" applyFont="1" applyFill="1" applyBorder="1" applyAlignment="1">
      <alignment horizontal="left" vertical="center"/>
    </xf>
    <xf numFmtId="0" fontId="2" fillId="6" borderId="15" xfId="0" applyFont="1" applyFill="1" applyBorder="1" applyAlignment="1">
      <alignment horizontal="left" vertical="center"/>
    </xf>
    <xf numFmtId="0" fontId="2" fillId="6" borderId="14" xfId="0" applyFont="1" applyFill="1" applyBorder="1" applyAlignment="1">
      <alignment horizontal="left" vertical="center"/>
    </xf>
    <xf numFmtId="173" fontId="119" fillId="5" borderId="5" xfId="4" applyNumberFormat="1" applyFont="1" applyFill="1" applyBorder="1" applyAlignment="1">
      <alignment horizontal="right" vertical="center"/>
    </xf>
    <xf numFmtId="173" fontId="7" fillId="5" borderId="9" xfId="4" applyNumberFormat="1" applyFont="1" applyFill="1" applyBorder="1" applyAlignment="1" applyProtection="1">
      <alignment horizontal="center" vertical="center"/>
    </xf>
    <xf numFmtId="0" fontId="4" fillId="15" borderId="0" xfId="0" applyFont="1" applyFill="1" applyAlignment="1">
      <alignment horizontal="right" vertical="center"/>
    </xf>
    <xf numFmtId="174" fontId="4" fillId="15" borderId="0" xfId="0" applyNumberFormat="1" applyFont="1" applyFill="1" applyAlignment="1">
      <alignment horizontal="center" vertical="center"/>
    </xf>
    <xf numFmtId="0" fontId="89" fillId="15" borderId="8" xfId="0" applyFont="1" applyFill="1" applyBorder="1" applyAlignment="1" applyProtection="1">
      <alignment horizontal="center" vertical="center"/>
      <protection hidden="1"/>
    </xf>
    <xf numFmtId="0" fontId="89" fillId="15" borderId="12" xfId="0" applyFont="1" applyFill="1" applyBorder="1" applyAlignment="1" applyProtection="1">
      <alignment horizontal="center" vertical="center"/>
      <protection hidden="1"/>
    </xf>
    <xf numFmtId="0" fontId="89" fillId="15" borderId="14" xfId="0" applyFont="1" applyFill="1" applyBorder="1" applyAlignment="1" applyProtection="1">
      <alignment horizontal="center" vertical="center"/>
      <protection hidden="1"/>
    </xf>
    <xf numFmtId="0" fontId="44" fillId="4" borderId="0" xfId="0" applyFont="1" applyFill="1" applyAlignment="1" applyProtection="1">
      <alignment horizontal="left" vertical="top" wrapText="1"/>
      <protection locked="0"/>
    </xf>
    <xf numFmtId="0" fontId="2" fillId="16" borderId="1" xfId="0" applyFont="1" applyFill="1" applyBorder="1" applyAlignment="1">
      <alignment horizontal="center" vertical="center"/>
    </xf>
    <xf numFmtId="0" fontId="2" fillId="16" borderId="3" xfId="0" applyFont="1" applyFill="1" applyBorder="1" applyAlignment="1">
      <alignment horizontal="center" vertical="center"/>
    </xf>
    <xf numFmtId="0" fontId="32" fillId="5" borderId="4" xfId="1" applyNumberFormat="1" applyFont="1" applyFill="1" applyBorder="1" applyAlignment="1" applyProtection="1">
      <alignment horizontal="center" vertical="center" wrapText="1"/>
    </xf>
    <xf numFmtId="0" fontId="2" fillId="6" borderId="4" xfId="0" applyFont="1" applyFill="1" applyBorder="1" applyAlignment="1">
      <alignment horizontal="left" vertical="center"/>
    </xf>
    <xf numFmtId="0" fontId="2" fillId="6" borderId="0" xfId="0" applyFont="1" applyFill="1" applyAlignment="1">
      <alignment horizontal="left" vertical="center"/>
    </xf>
    <xf numFmtId="0" fontId="2" fillId="6" borderId="12" xfId="0" applyFont="1" applyFill="1" applyBorder="1" applyAlignment="1">
      <alignment horizontal="left" vertical="center"/>
    </xf>
    <xf numFmtId="0" fontId="2" fillId="16" borderId="9" xfId="0" applyFont="1" applyFill="1" applyBorder="1" applyAlignment="1">
      <alignment horizontal="center" vertical="center"/>
    </xf>
    <xf numFmtId="3" fontId="44" fillId="2" borderId="1" xfId="0" applyNumberFormat="1" applyFont="1" applyFill="1" applyBorder="1" applyAlignment="1">
      <alignment horizontal="center" vertical="center"/>
    </xf>
    <xf numFmtId="3" fontId="44" fillId="2" borderId="2" xfId="0" applyNumberFormat="1" applyFont="1" applyFill="1" applyBorder="1" applyAlignment="1">
      <alignment horizontal="center" vertical="center"/>
    </xf>
    <xf numFmtId="3" fontId="44" fillId="2" borderId="3" xfId="0" applyNumberFormat="1" applyFont="1" applyFill="1" applyBorder="1" applyAlignment="1">
      <alignment horizontal="center" vertical="center"/>
    </xf>
    <xf numFmtId="3" fontId="62" fillId="15" borderId="195" xfId="0" applyNumberFormat="1" applyFont="1" applyFill="1" applyBorder="1" applyAlignment="1" applyProtection="1">
      <alignment horizontal="center" vertical="center"/>
      <protection hidden="1"/>
    </xf>
    <xf numFmtId="3" fontId="62" fillId="15" borderId="4" xfId="0" applyNumberFormat="1" applyFont="1" applyFill="1" applyBorder="1" applyAlignment="1" applyProtection="1">
      <alignment horizontal="center" vertical="center"/>
      <protection hidden="1"/>
    </xf>
    <xf numFmtId="3" fontId="62" fillId="15" borderId="204" xfId="0" applyNumberFormat="1" applyFont="1" applyFill="1" applyBorder="1" applyAlignment="1" applyProtection="1">
      <alignment horizontal="center" vertical="center"/>
      <protection hidden="1"/>
    </xf>
    <xf numFmtId="170" fontId="89" fillId="15" borderId="199" xfId="1" applyNumberFormat="1" applyFont="1" applyFill="1" applyBorder="1" applyAlignment="1" applyProtection="1">
      <alignment horizontal="center" vertical="center"/>
      <protection hidden="1"/>
    </xf>
    <xf numFmtId="170" fontId="89" fillId="15" borderId="73" xfId="1" applyNumberFormat="1" applyFont="1" applyFill="1" applyBorder="1" applyAlignment="1" applyProtection="1">
      <alignment horizontal="center" vertical="center"/>
      <protection hidden="1"/>
    </xf>
    <xf numFmtId="170" fontId="89" fillId="15" borderId="70" xfId="1" applyNumberFormat="1" applyFont="1" applyFill="1" applyBorder="1" applyAlignment="1" applyProtection="1">
      <alignment horizontal="center" vertical="center"/>
      <protection hidden="1"/>
    </xf>
    <xf numFmtId="0" fontId="3" fillId="5" borderId="0" xfId="0" quotePrefix="1" applyFont="1" applyFill="1" applyAlignment="1">
      <alignment horizontal="center" vertical="center" textRotation="180"/>
    </xf>
    <xf numFmtId="0" fontId="3" fillId="5" borderId="0" xfId="0" applyFont="1" applyFill="1" applyAlignment="1">
      <alignment horizontal="center" vertical="center" textRotation="180"/>
    </xf>
    <xf numFmtId="0" fontId="1" fillId="5" borderId="1" xfId="1" applyNumberFormat="1" applyFont="1" applyFill="1" applyBorder="1" applyAlignment="1" applyProtection="1">
      <alignment horizontal="center" wrapText="1"/>
    </xf>
    <xf numFmtId="0" fontId="1" fillId="5" borderId="3" xfId="1" applyNumberFormat="1" applyFont="1" applyFill="1" applyBorder="1" applyAlignment="1" applyProtection="1">
      <alignment horizontal="center" wrapText="1"/>
    </xf>
    <xf numFmtId="9" fontId="97" fillId="5" borderId="1" xfId="1" applyFont="1" applyFill="1" applyBorder="1" applyAlignment="1" applyProtection="1">
      <alignment horizontal="center" wrapText="1"/>
    </xf>
    <xf numFmtId="9" fontId="97" fillId="5" borderId="3" xfId="1" applyFont="1" applyFill="1" applyBorder="1" applyAlignment="1" applyProtection="1">
      <alignment horizontal="center" wrapText="1"/>
    </xf>
    <xf numFmtId="0" fontId="2" fillId="16" borderId="4" xfId="0" applyFont="1" applyFill="1" applyBorder="1" applyAlignment="1">
      <alignment horizontal="center" vertical="center"/>
    </xf>
    <xf numFmtId="0" fontId="90" fillId="6" borderId="80" xfId="0" applyFont="1" applyFill="1" applyBorder="1" applyAlignment="1">
      <alignment horizontal="right" vertical="center"/>
    </xf>
    <xf numFmtId="0" fontId="90" fillId="6" borderId="50" xfId="0" applyFont="1" applyFill="1" applyBorder="1" applyAlignment="1">
      <alignment horizontal="right" vertical="center"/>
    </xf>
    <xf numFmtId="0" fontId="90" fillId="6" borderId="13" xfId="0" applyFont="1" applyFill="1" applyBorder="1" applyAlignment="1">
      <alignment horizontal="right" vertical="center"/>
    </xf>
    <xf numFmtId="0" fontId="90" fillId="6" borderId="15" xfId="0" applyFont="1" applyFill="1" applyBorder="1" applyAlignment="1">
      <alignment horizontal="right" vertical="center"/>
    </xf>
    <xf numFmtId="3" fontId="62" fillId="4" borderId="0" xfId="0" applyNumberFormat="1" applyFont="1" applyFill="1" applyAlignment="1" applyProtection="1">
      <alignment horizontal="center" vertical="center"/>
      <protection hidden="1"/>
    </xf>
    <xf numFmtId="3" fontId="62" fillId="15" borderId="194" xfId="0" applyNumberFormat="1" applyFont="1" applyFill="1" applyBorder="1" applyAlignment="1" applyProtection="1">
      <alignment horizontal="center" vertical="center"/>
      <protection hidden="1"/>
    </xf>
    <xf numFmtId="3" fontId="62" fillId="15" borderId="203" xfId="0" applyNumberFormat="1" applyFont="1" applyFill="1" applyBorder="1" applyAlignment="1" applyProtection="1">
      <alignment horizontal="center" vertical="center"/>
      <protection hidden="1"/>
    </xf>
    <xf numFmtId="170" fontId="89" fillId="15" borderId="201" xfId="1" applyNumberFormat="1" applyFont="1" applyFill="1" applyBorder="1" applyAlignment="1" applyProtection="1">
      <alignment horizontal="center" vertical="center"/>
      <protection hidden="1"/>
    </xf>
    <xf numFmtId="170" fontId="89" fillId="15" borderId="5" xfId="1" applyNumberFormat="1" applyFont="1" applyFill="1" applyBorder="1" applyAlignment="1" applyProtection="1">
      <alignment horizontal="center" vertical="center"/>
      <protection hidden="1"/>
    </xf>
    <xf numFmtId="170" fontId="89" fillId="15" borderId="197" xfId="1" applyNumberFormat="1" applyFont="1" applyFill="1" applyBorder="1" applyAlignment="1" applyProtection="1">
      <alignment horizontal="center" vertical="center"/>
      <protection hidden="1"/>
    </xf>
    <xf numFmtId="170" fontId="89" fillId="15" borderId="205" xfId="1" applyNumberFormat="1" applyFont="1" applyFill="1" applyBorder="1" applyAlignment="1" applyProtection="1">
      <alignment horizontal="center" vertical="center"/>
      <protection hidden="1"/>
    </xf>
    <xf numFmtId="170" fontId="89" fillId="15" borderId="206" xfId="1" applyNumberFormat="1" applyFont="1" applyFill="1" applyBorder="1" applyAlignment="1" applyProtection="1">
      <alignment horizontal="center" vertical="center"/>
      <protection hidden="1"/>
    </xf>
    <xf numFmtId="0" fontId="90" fillId="6" borderId="78" xfId="0" applyFont="1" applyFill="1" applyBorder="1" applyAlignment="1">
      <alignment horizontal="right" vertical="center"/>
    </xf>
    <xf numFmtId="0" fontId="90" fillId="6" borderId="79" xfId="0" applyFont="1" applyFill="1" applyBorder="1" applyAlignment="1">
      <alignment horizontal="right" vertical="center"/>
    </xf>
    <xf numFmtId="0" fontId="62" fillId="4" borderId="7" xfId="0" applyFont="1" applyFill="1" applyBorder="1" applyAlignment="1">
      <alignment horizontal="right" vertical="center"/>
    </xf>
    <xf numFmtId="0" fontId="62" fillId="22" borderId="0" xfId="0" applyFont="1" applyFill="1" applyAlignment="1" applyProtection="1">
      <alignment horizontal="center" vertical="center"/>
      <protection hidden="1"/>
    </xf>
    <xf numFmtId="3" fontId="62" fillId="15" borderId="196" xfId="0" applyNumberFormat="1" applyFont="1" applyFill="1" applyBorder="1" applyAlignment="1" applyProtection="1">
      <alignment horizontal="center" vertical="center"/>
      <protection hidden="1"/>
    </xf>
    <xf numFmtId="170" fontId="89" fillId="15" borderId="198" xfId="1" applyNumberFormat="1" applyFont="1" applyFill="1" applyBorder="1" applyAlignment="1" applyProtection="1">
      <alignment horizontal="center" vertical="center"/>
      <protection hidden="1"/>
    </xf>
    <xf numFmtId="170" fontId="89" fillId="15" borderId="200" xfId="1" applyNumberFormat="1" applyFont="1" applyFill="1" applyBorder="1" applyAlignment="1" applyProtection="1">
      <alignment horizontal="center" vertical="center"/>
      <protection hidden="1"/>
    </xf>
    <xf numFmtId="170" fontId="89" fillId="15" borderId="202" xfId="1" applyNumberFormat="1" applyFont="1" applyFill="1" applyBorder="1" applyAlignment="1" applyProtection="1">
      <alignment horizontal="center" vertical="center"/>
      <protection hidden="1"/>
    </xf>
    <xf numFmtId="170" fontId="89" fillId="15" borderId="207" xfId="1" applyNumberFormat="1" applyFont="1" applyFill="1" applyBorder="1" applyAlignment="1" applyProtection="1">
      <alignment horizontal="center" vertical="center"/>
      <protection hidden="1"/>
    </xf>
    <xf numFmtId="0" fontId="44" fillId="29" borderId="36" xfId="1" applyNumberFormat="1" applyFont="1" applyFill="1" applyBorder="1" applyAlignment="1" applyProtection="1">
      <alignment horizontal="center" vertical="center"/>
    </xf>
    <xf numFmtId="0" fontId="44" fillId="29" borderId="37" xfId="1" applyNumberFormat="1" applyFont="1" applyFill="1" applyBorder="1" applyAlignment="1" applyProtection="1">
      <alignment horizontal="center" vertical="center"/>
    </xf>
    <xf numFmtId="0" fontId="44" fillId="29" borderId="38" xfId="1" applyNumberFormat="1" applyFont="1" applyFill="1" applyBorder="1" applyAlignment="1" applyProtection="1">
      <alignment horizontal="center" vertical="center"/>
    </xf>
    <xf numFmtId="0" fontId="44" fillId="5" borderId="36" xfId="1" applyNumberFormat="1" applyFont="1" applyFill="1" applyBorder="1" applyAlignment="1" applyProtection="1">
      <alignment horizontal="center" vertical="center"/>
      <protection locked="0"/>
    </xf>
    <xf numFmtId="0" fontId="44" fillId="5" borderId="37" xfId="1" applyNumberFormat="1" applyFont="1" applyFill="1" applyBorder="1" applyAlignment="1" applyProtection="1">
      <alignment horizontal="center" vertical="center"/>
      <protection locked="0"/>
    </xf>
    <xf numFmtId="0" fontId="44" fillId="5" borderId="38" xfId="1" applyNumberFormat="1" applyFont="1" applyFill="1" applyBorder="1" applyAlignment="1" applyProtection="1">
      <alignment horizontal="center" vertical="center"/>
      <protection locked="0"/>
    </xf>
    <xf numFmtId="0" fontId="2" fillId="6" borderId="0" xfId="0" applyFont="1" applyFill="1" applyAlignment="1">
      <alignment horizontal="right" vertical="center"/>
    </xf>
    <xf numFmtId="0" fontId="2" fillId="6" borderId="12" xfId="0" applyFont="1" applyFill="1" applyBorder="1" applyAlignment="1">
      <alignment horizontal="right" vertical="center"/>
    </xf>
    <xf numFmtId="0" fontId="44" fillId="15" borderId="0" xfId="0" applyFont="1" applyFill="1" applyAlignment="1">
      <alignment horizontal="right" vertical="center"/>
    </xf>
    <xf numFmtId="0" fontId="46" fillId="4" borderId="0" xfId="0" applyFont="1" applyFill="1" applyAlignment="1">
      <alignment horizontal="left" vertical="center" wrapText="1"/>
    </xf>
    <xf numFmtId="0" fontId="48" fillId="0" borderId="0" xfId="0" applyFont="1" applyAlignment="1">
      <alignment horizontal="left" vertical="center" wrapText="1"/>
    </xf>
    <xf numFmtId="0" fontId="186" fillId="5" borderId="0" xfId="6" applyFont="1" applyFill="1" applyAlignment="1" applyProtection="1">
      <alignment horizontal="left" vertical="center"/>
    </xf>
    <xf numFmtId="0" fontId="166" fillId="5" borderId="0" xfId="0" applyFont="1" applyFill="1" applyAlignment="1">
      <alignment horizontal="left" vertical="top" wrapText="1"/>
    </xf>
    <xf numFmtId="0" fontId="3" fillId="5" borderId="0" xfId="0" applyFont="1" applyFill="1" applyAlignment="1">
      <alignment horizontal="center"/>
    </xf>
    <xf numFmtId="0" fontId="157" fillId="5" borderId="120" xfId="0" applyFont="1" applyFill="1" applyBorder="1" applyAlignment="1" applyProtection="1">
      <alignment horizontal="center" vertical="center" wrapText="1"/>
      <protection locked="0"/>
    </xf>
    <xf numFmtId="0" fontId="157" fillId="5" borderId="122" xfId="0" applyFont="1" applyFill="1" applyBorder="1" applyAlignment="1" applyProtection="1">
      <alignment horizontal="center" vertical="center" wrapText="1"/>
      <protection locked="0"/>
    </xf>
    <xf numFmtId="0" fontId="46" fillId="4" borderId="123" xfId="0" applyFont="1" applyFill="1" applyBorder="1" applyAlignment="1">
      <alignment horizontal="center" vertical="center"/>
    </xf>
    <xf numFmtId="0" fontId="44" fillId="4" borderId="0" xfId="0" applyFont="1" applyFill="1" applyAlignment="1">
      <alignment horizontal="left" vertical="center" wrapText="1"/>
    </xf>
    <xf numFmtId="0" fontId="157" fillId="5" borderId="117" xfId="0" applyFont="1" applyFill="1" applyBorder="1" applyAlignment="1" applyProtection="1">
      <alignment horizontal="left" vertical="center" wrapText="1"/>
      <protection locked="0"/>
    </xf>
    <xf numFmtId="0" fontId="157" fillId="5" borderId="119" xfId="0" applyFont="1" applyFill="1" applyBorder="1" applyAlignment="1" applyProtection="1">
      <alignment horizontal="left" vertical="center" wrapText="1"/>
      <protection locked="0"/>
    </xf>
    <xf numFmtId="0" fontId="44" fillId="4" borderId="0" xfId="0" applyFont="1" applyFill="1" applyAlignment="1">
      <alignment horizontal="left" vertical="center" wrapText="1" indent="2"/>
    </xf>
    <xf numFmtId="0" fontId="48" fillId="4" borderId="0" xfId="0" applyFont="1" applyFill="1" applyAlignment="1">
      <alignment horizontal="left" vertical="center" wrapText="1"/>
    </xf>
    <xf numFmtId="0" fontId="43" fillId="15" borderId="4" xfId="0" applyFont="1" applyFill="1" applyBorder="1" applyAlignment="1">
      <alignment horizontal="center" vertical="center" wrapText="1"/>
    </xf>
    <xf numFmtId="0" fontId="163" fillId="4" borderId="0" xfId="0" applyFont="1" applyFill="1" applyAlignment="1">
      <alignment horizontal="left" vertical="center" wrapText="1"/>
    </xf>
    <xf numFmtId="0" fontId="138" fillId="4" borderId="7" xfId="0" applyFont="1" applyFill="1" applyBorder="1" applyAlignment="1" applyProtection="1">
      <alignment horizontal="right" vertical="center" wrapText="1"/>
      <protection hidden="1"/>
    </xf>
    <xf numFmtId="0" fontId="2" fillId="35" borderId="21" xfId="0" applyFont="1" applyFill="1" applyBorder="1" applyAlignment="1" applyProtection="1">
      <alignment horizontal="center" vertical="center"/>
      <protection hidden="1"/>
    </xf>
    <xf numFmtId="0" fontId="2" fillId="35" borderId="182" xfId="0" applyFont="1" applyFill="1" applyBorder="1" applyAlignment="1" applyProtection="1">
      <alignment horizontal="center" vertical="center"/>
      <protection hidden="1"/>
    </xf>
    <xf numFmtId="174" fontId="62" fillId="15" borderId="8" xfId="14" applyNumberFormat="1" applyFont="1" applyFill="1" applyBorder="1" applyAlignment="1" applyProtection="1">
      <alignment horizontal="center" vertical="center"/>
      <protection hidden="1"/>
    </xf>
    <xf numFmtId="174" fontId="62" fillId="15" borderId="14" xfId="14" applyNumberFormat="1" applyFont="1" applyFill="1" applyBorder="1" applyAlignment="1" applyProtection="1">
      <alignment horizontal="center" vertical="center"/>
      <protection hidden="1"/>
    </xf>
    <xf numFmtId="0" fontId="2" fillId="35" borderId="23" xfId="0" applyFont="1" applyFill="1" applyBorder="1" applyAlignment="1" applyProtection="1">
      <alignment horizontal="center" vertical="center"/>
      <protection hidden="1"/>
    </xf>
    <xf numFmtId="0" fontId="96" fillId="6" borderId="6" xfId="0" applyFont="1" applyFill="1" applyBorder="1" applyAlignment="1">
      <alignment horizontal="left" vertical="center"/>
    </xf>
    <xf numFmtId="0" fontId="96" fillId="6" borderId="13" xfId="0" applyFont="1" applyFill="1" applyBorder="1" applyAlignment="1">
      <alignment horizontal="left" vertical="center"/>
    </xf>
    <xf numFmtId="0" fontId="32" fillId="4" borderId="0" xfId="0" applyFont="1" applyFill="1" applyAlignment="1">
      <alignment horizontal="left"/>
    </xf>
    <xf numFmtId="0" fontId="126" fillId="5" borderId="6" xfId="0" applyFont="1" applyFill="1" applyBorder="1" applyAlignment="1">
      <alignment horizontal="left" vertical="center" wrapText="1" indent="6"/>
    </xf>
    <xf numFmtId="0" fontId="126" fillId="5" borderId="7" xfId="0" applyFont="1" applyFill="1" applyBorder="1" applyAlignment="1">
      <alignment horizontal="left" vertical="center" wrapText="1" indent="6"/>
    </xf>
    <xf numFmtId="0" fontId="126" fillId="5" borderId="8" xfId="0" applyFont="1" applyFill="1" applyBorder="1" applyAlignment="1">
      <alignment horizontal="left" vertical="center" wrapText="1" indent="6"/>
    </xf>
    <xf numFmtId="0" fontId="126" fillId="5" borderId="13" xfId="0" applyFont="1" applyFill="1" applyBorder="1" applyAlignment="1">
      <alignment horizontal="left" vertical="center" wrapText="1" indent="6"/>
    </xf>
    <xf numFmtId="0" fontId="126" fillId="5" borderId="15" xfId="0" applyFont="1" applyFill="1" applyBorder="1" applyAlignment="1">
      <alignment horizontal="left" vertical="center" wrapText="1" indent="6"/>
    </xf>
    <xf numFmtId="0" fontId="126" fillId="5" borderId="14" xfId="0" applyFont="1" applyFill="1" applyBorder="1" applyAlignment="1">
      <alignment horizontal="left" vertical="center" wrapText="1" indent="6"/>
    </xf>
    <xf numFmtId="0" fontId="2" fillId="35" borderId="208" xfId="0" applyFont="1" applyFill="1" applyBorder="1" applyAlignment="1" applyProtection="1">
      <alignment horizontal="center" vertical="center"/>
      <protection hidden="1"/>
    </xf>
    <xf numFmtId="0" fontId="2" fillId="35" borderId="211" xfId="0" applyFont="1" applyFill="1" applyBorder="1" applyAlignment="1" applyProtection="1">
      <alignment horizontal="center" vertical="center"/>
      <protection hidden="1"/>
    </xf>
    <xf numFmtId="0" fontId="2" fillId="35" borderId="209" xfId="0" applyFont="1" applyFill="1" applyBorder="1" applyAlignment="1" applyProtection="1">
      <alignment horizontal="center" vertical="center"/>
      <protection hidden="1"/>
    </xf>
    <xf numFmtId="0" fontId="2" fillId="35" borderId="5" xfId="0" applyFont="1" applyFill="1" applyBorder="1" applyAlignment="1" applyProtection="1">
      <alignment horizontal="center" vertical="center"/>
      <protection hidden="1"/>
    </xf>
    <xf numFmtId="0" fontId="2" fillId="32" borderId="6" xfId="0" applyFont="1" applyFill="1" applyBorder="1" applyAlignment="1">
      <alignment horizontal="center"/>
    </xf>
    <xf numFmtId="0" fontId="2" fillId="32" borderId="7" xfId="0" applyFont="1" applyFill="1" applyBorder="1" applyAlignment="1">
      <alignment horizontal="center"/>
    </xf>
    <xf numFmtId="0" fontId="2" fillId="32" borderId="8" xfId="0" applyFont="1" applyFill="1" applyBorder="1" applyAlignment="1">
      <alignment horizontal="center"/>
    </xf>
    <xf numFmtId="0" fontId="2" fillId="32" borderId="0" xfId="0" applyFont="1" applyFill="1" applyAlignment="1">
      <alignment horizontal="center"/>
    </xf>
    <xf numFmtId="0" fontId="5" fillId="0" borderId="4" xfId="0" applyFont="1" applyBorder="1" applyAlignment="1">
      <alignment horizontal="left" vertical="center"/>
    </xf>
    <xf numFmtId="0" fontId="5" fillId="21" borderId="4"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wrapText="1"/>
    </xf>
    <xf numFmtId="0" fontId="0" fillId="20" borderId="1" xfId="0" applyFill="1" applyBorder="1" applyAlignment="1">
      <alignment horizontal="center" vertical="center"/>
    </xf>
    <xf numFmtId="0" fontId="0" fillId="20" borderId="3" xfId="0" applyFill="1"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174" fontId="4" fillId="21" borderId="1" xfId="4" applyNumberFormat="1" applyFont="1" applyFill="1" applyBorder="1" applyAlignment="1">
      <alignment horizontal="center" vertical="center"/>
    </xf>
    <xf numFmtId="174" fontId="4" fillId="21" borderId="2" xfId="4" applyNumberFormat="1" applyFont="1" applyFill="1" applyBorder="1" applyAlignment="1">
      <alignment horizontal="center" vertical="center"/>
    </xf>
    <xf numFmtId="174" fontId="4" fillId="21" borderId="3" xfId="4" applyNumberFormat="1" applyFont="1" applyFill="1" applyBorder="1" applyAlignment="1">
      <alignment horizontal="center" vertical="center"/>
    </xf>
    <xf numFmtId="174" fontId="0" fillId="13" borderId="1" xfId="4" applyNumberFormat="1" applyFont="1" applyFill="1" applyBorder="1" applyAlignment="1">
      <alignment horizontal="center" vertical="center"/>
    </xf>
    <xf numFmtId="174" fontId="0" fillId="13" borderId="2" xfId="4" applyNumberFormat="1" applyFont="1" applyFill="1" applyBorder="1" applyAlignment="1">
      <alignment horizontal="center" vertical="center"/>
    </xf>
    <xf numFmtId="174" fontId="0" fillId="13" borderId="3" xfId="4" applyNumberFormat="1"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0" fillId="0" borderId="4" xfId="0" applyBorder="1" applyAlignment="1">
      <alignment horizontal="left" vertical="center"/>
    </xf>
    <xf numFmtId="174" fontId="0" fillId="13" borderId="4" xfId="4" applyNumberFormat="1" applyFont="1" applyFill="1" applyBorder="1" applyAlignment="1">
      <alignment horizontal="center" vertical="center"/>
    </xf>
    <xf numFmtId="9" fontId="5" fillId="5" borderId="9" xfId="1" applyFont="1" applyFill="1" applyBorder="1" applyAlignment="1">
      <alignment horizontal="center" vertical="center" wrapText="1"/>
    </xf>
    <xf numFmtId="9" fontId="5" fillId="5" borderId="5" xfId="1" applyFont="1" applyFill="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4" fontId="5" fillId="0" borderId="4" xfId="4" applyNumberFormat="1" applyFont="1" applyBorder="1" applyAlignment="1">
      <alignment horizontal="center" vertical="center"/>
    </xf>
    <xf numFmtId="0" fontId="0" fillId="0" borderId="10" xfId="0" applyBorder="1" applyAlignment="1">
      <alignment horizontal="center" vertical="center"/>
    </xf>
    <xf numFmtId="9" fontId="5" fillId="5" borderId="10" xfId="1" applyFont="1" applyFill="1" applyBorder="1" applyAlignment="1">
      <alignment horizontal="center" vertical="center" wrapText="1"/>
    </xf>
    <xf numFmtId="174" fontId="5" fillId="0" borderId="6" xfId="0" applyNumberFormat="1" applyFont="1" applyBorder="1" applyAlignment="1">
      <alignment horizontal="center" vertical="center"/>
    </xf>
    <xf numFmtId="174" fontId="5" fillId="0" borderId="8" xfId="0" applyNumberFormat="1" applyFont="1" applyBorder="1" applyAlignment="1">
      <alignment horizontal="center" vertical="center"/>
    </xf>
    <xf numFmtId="174" fontId="5" fillId="0" borderId="11" xfId="0" applyNumberFormat="1" applyFont="1" applyBorder="1" applyAlignment="1">
      <alignment horizontal="center" vertical="center"/>
    </xf>
    <xf numFmtId="174" fontId="5" fillId="0" borderId="12" xfId="0" applyNumberFormat="1" applyFont="1" applyBorder="1" applyAlignment="1">
      <alignment horizontal="center" vertical="center"/>
    </xf>
    <xf numFmtId="174" fontId="5" fillId="0" borderId="13" xfId="0" applyNumberFormat="1" applyFont="1" applyBorder="1" applyAlignment="1">
      <alignment horizontal="center" vertical="center"/>
    </xf>
    <xf numFmtId="174" fontId="5" fillId="0" borderId="14" xfId="0" applyNumberFormat="1" applyFont="1" applyBorder="1" applyAlignment="1">
      <alignment horizontal="center" vertical="center"/>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21" borderId="4" xfId="0" applyFill="1" applyBorder="1" applyAlignment="1">
      <alignment horizontal="center" vertical="center"/>
    </xf>
    <xf numFmtId="0" fontId="0" fillId="21" borderId="1" xfId="0" applyFill="1" applyBorder="1" applyAlignment="1">
      <alignment horizontal="center" vertical="center"/>
    </xf>
    <xf numFmtId="0" fontId="0" fillId="21" borderId="3" xfId="0" applyFill="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2" fillId="16" borderId="41" xfId="0" applyFont="1" applyFill="1" applyBorder="1" applyAlignment="1">
      <alignment horizontal="center"/>
    </xf>
    <xf numFmtId="0" fontId="2" fillId="16" borderId="42" xfId="0" applyFont="1" applyFill="1" applyBorder="1" applyAlignment="1">
      <alignment horizontal="center"/>
    </xf>
    <xf numFmtId="0" fontId="2" fillId="16" borderId="6"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6" borderId="13" xfId="0" applyFont="1" applyFill="1" applyBorder="1" applyAlignment="1">
      <alignment horizontal="center" vertical="center" wrapText="1"/>
    </xf>
    <xf numFmtId="0" fontId="2" fillId="16" borderId="14" xfId="0" applyFont="1" applyFill="1" applyBorder="1" applyAlignment="1">
      <alignment horizontal="center" vertical="center" wrapText="1"/>
    </xf>
    <xf numFmtId="0" fontId="2" fillId="16"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4" fillId="0" borderId="10" xfId="0" applyFont="1" applyBorder="1" applyAlignment="1">
      <alignment horizontal="center" vertical="center"/>
    </xf>
    <xf numFmtId="0" fontId="4" fillId="20" borderId="4" xfId="0" applyFont="1" applyFill="1" applyBorder="1" applyAlignment="1">
      <alignment horizontal="center" vertical="center"/>
    </xf>
    <xf numFmtId="0" fontId="7" fillId="20" borderId="4"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3" xfId="0" applyFont="1" applyFill="1" applyBorder="1" applyAlignment="1">
      <alignment horizontal="center" vertical="center" wrapText="1"/>
    </xf>
    <xf numFmtId="0" fontId="7" fillId="20" borderId="9" xfId="0" applyFont="1" applyFill="1" applyBorder="1" applyAlignment="1">
      <alignment horizontal="center" vertical="center"/>
    </xf>
    <xf numFmtId="0" fontId="7" fillId="20" borderId="5" xfId="0" applyFont="1" applyFill="1" applyBorder="1" applyAlignment="1">
      <alignment horizontal="center" vertical="center"/>
    </xf>
    <xf numFmtId="0" fontId="85" fillId="5" borderId="0" xfId="0" applyFont="1" applyFill="1" applyAlignment="1">
      <alignment horizontal="left"/>
    </xf>
    <xf numFmtId="0" fontId="0" fillId="5" borderId="9"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5" fillId="5" borderId="53" xfId="0" applyFont="1" applyFill="1" applyBorder="1" applyAlignment="1">
      <alignment horizontal="left" vertical="center" wrapText="1"/>
    </xf>
    <xf numFmtId="0" fontId="5" fillId="5" borderId="54" xfId="0" applyFont="1" applyFill="1" applyBorder="1" applyAlignment="1">
      <alignment horizontal="left" vertical="center" wrapText="1"/>
    </xf>
    <xf numFmtId="0" fontId="5" fillId="5" borderId="55" xfId="0" applyFont="1" applyFill="1" applyBorder="1" applyAlignment="1">
      <alignment horizontal="left" vertical="center" wrapText="1"/>
    </xf>
    <xf numFmtId="0" fontId="5" fillId="5" borderId="56"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center" wrapText="1"/>
    </xf>
    <xf numFmtId="0" fontId="5" fillId="5" borderId="60" xfId="0" applyFont="1" applyFill="1" applyBorder="1" applyAlignment="1">
      <alignment horizontal="left" vertical="center" wrapText="1"/>
    </xf>
    <xf numFmtId="0" fontId="0" fillId="5" borderId="75" xfId="0" applyFill="1" applyBorder="1" applyAlignment="1">
      <alignment horizontal="center"/>
    </xf>
    <xf numFmtId="0" fontId="0" fillId="5" borderId="77" xfId="0" applyFill="1" applyBorder="1" applyAlignment="1">
      <alignment horizontal="center"/>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0" xfId="0"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106" fillId="5" borderId="0" xfId="0" applyFont="1" applyFill="1" applyAlignment="1">
      <alignment horizontal="left" vertical="center" wrapText="1"/>
    </xf>
    <xf numFmtId="0" fontId="5" fillId="5" borderId="0" xfId="0" applyFont="1" applyFill="1" applyAlignment="1">
      <alignment horizontal="left" vertical="center" wrapText="1" indent="1"/>
    </xf>
    <xf numFmtId="0" fontId="2" fillId="27" borderId="1" xfId="0" applyFont="1" applyFill="1" applyBorder="1" applyAlignment="1">
      <alignment horizontal="center" vertical="center" wrapText="1"/>
    </xf>
    <xf numFmtId="0" fontId="2" fillId="27" borderId="3" xfId="0" applyFont="1" applyFill="1" applyBorder="1" applyAlignment="1">
      <alignment horizontal="center" vertical="center" wrapText="1"/>
    </xf>
    <xf numFmtId="0" fontId="2" fillId="27" borderId="4" xfId="0" applyFont="1" applyFill="1" applyBorder="1" applyAlignment="1">
      <alignment horizontal="center" vertical="center"/>
    </xf>
    <xf numFmtId="0" fontId="0" fillId="5" borderId="9" xfId="0" applyFill="1" applyBorder="1" applyAlignment="1">
      <alignment horizontal="center" vertical="center"/>
    </xf>
    <xf numFmtId="0" fontId="0" fillId="5" borderId="5" xfId="0" applyFill="1" applyBorder="1" applyAlignment="1">
      <alignment horizontal="center" vertical="center"/>
    </xf>
    <xf numFmtId="0" fontId="0" fillId="5" borderId="10" xfId="0" applyFill="1" applyBorder="1" applyAlignment="1">
      <alignment horizontal="left" vertical="center"/>
    </xf>
    <xf numFmtId="0" fontId="2" fillId="27" borderId="9" xfId="0" applyFont="1" applyFill="1" applyBorder="1" applyAlignment="1">
      <alignment horizontal="center" vertical="center" wrapText="1"/>
    </xf>
    <xf numFmtId="0" fontId="2" fillId="27" borderId="5" xfId="0" applyFont="1" applyFill="1" applyBorder="1" applyAlignment="1">
      <alignment horizontal="center" vertical="center" wrapText="1"/>
    </xf>
    <xf numFmtId="0" fontId="2" fillId="27" borderId="6" xfId="0" applyFont="1" applyFill="1" applyBorder="1" applyAlignment="1">
      <alignment horizontal="center" vertical="center" wrapText="1"/>
    </xf>
    <xf numFmtId="0" fontId="2" fillId="27" borderId="8" xfId="0" applyFont="1" applyFill="1" applyBorder="1" applyAlignment="1">
      <alignment horizontal="center" vertical="center" wrapText="1"/>
    </xf>
    <xf numFmtId="0" fontId="2" fillId="27" borderId="13" xfId="0" applyFont="1" applyFill="1" applyBorder="1" applyAlignment="1">
      <alignment horizontal="center" vertical="center" wrapText="1"/>
    </xf>
    <xf numFmtId="0" fontId="2" fillId="27" borderId="14" xfId="0" applyFont="1" applyFill="1" applyBorder="1" applyAlignment="1">
      <alignment horizontal="center" vertical="center" wrapText="1"/>
    </xf>
    <xf numFmtId="0" fontId="0" fillId="5" borderId="76" xfId="0" applyFill="1" applyBorder="1" applyAlignment="1">
      <alignment horizontal="center"/>
    </xf>
    <xf numFmtId="0" fontId="4" fillId="26" borderId="9" xfId="0" applyFont="1" applyFill="1" applyBorder="1" applyAlignment="1">
      <alignment horizontal="center" vertical="center"/>
    </xf>
    <xf numFmtId="0" fontId="4" fillId="26" borderId="10" xfId="0" applyFont="1" applyFill="1" applyBorder="1" applyAlignment="1">
      <alignment horizontal="center" vertical="center"/>
    </xf>
    <xf numFmtId="0" fontId="4" fillId="26" borderId="8" xfId="0" applyFont="1" applyFill="1" applyBorder="1" applyAlignment="1">
      <alignment horizontal="center" vertical="center"/>
    </xf>
    <xf numFmtId="0" fontId="4" fillId="26" borderId="12" xfId="0" applyFont="1" applyFill="1" applyBorder="1" applyAlignment="1">
      <alignment horizontal="center" vertical="center"/>
    </xf>
    <xf numFmtId="0" fontId="47" fillId="26" borderId="7" xfId="0" applyFont="1" applyFill="1" applyBorder="1" applyAlignment="1">
      <alignment horizontal="center" vertical="center" wrapText="1"/>
    </xf>
    <xf numFmtId="0" fontId="47" fillId="26" borderId="28" xfId="0" applyFont="1" applyFill="1" applyBorder="1" applyAlignment="1">
      <alignment horizontal="center" vertical="center" wrapText="1"/>
    </xf>
    <xf numFmtId="0" fontId="47" fillId="26" borderId="91" xfId="0" applyFont="1" applyFill="1" applyBorder="1" applyAlignment="1">
      <alignment horizontal="center" vertical="center" wrapText="1"/>
    </xf>
    <xf numFmtId="0" fontId="47" fillId="26" borderId="9" xfId="0" applyFont="1" applyFill="1" applyBorder="1" applyAlignment="1">
      <alignment horizontal="center" vertical="center" wrapText="1"/>
    </xf>
    <xf numFmtId="0" fontId="47" fillId="26" borderId="14" xfId="0" applyFont="1" applyFill="1" applyBorder="1" applyAlignment="1">
      <alignment horizontal="center" vertical="center" wrapText="1"/>
    </xf>
    <xf numFmtId="0" fontId="47" fillId="26" borderId="5" xfId="0" applyFont="1" applyFill="1" applyBorder="1" applyAlignment="1">
      <alignment horizontal="center" vertical="center" wrapText="1"/>
    </xf>
    <xf numFmtId="0" fontId="47" fillId="26" borderId="23" xfId="0" applyFont="1" applyFill="1" applyBorder="1" applyAlignment="1">
      <alignment horizontal="center" vertical="center" wrapText="1"/>
    </xf>
    <xf numFmtId="0" fontId="47" fillId="26" borderId="8" xfId="0" applyFont="1" applyFill="1" applyBorder="1" applyAlignment="1">
      <alignment horizontal="center" vertical="center" wrapText="1"/>
    </xf>
    <xf numFmtId="0" fontId="47" fillId="26" borderId="4" xfId="0" applyFont="1" applyFill="1" applyBorder="1" applyAlignment="1">
      <alignment horizontal="center" vertical="center" wrapText="1"/>
    </xf>
    <xf numFmtId="0" fontId="113" fillId="26" borderId="4" xfId="0" applyFont="1" applyFill="1" applyBorder="1" applyAlignment="1">
      <alignment horizontal="center" vertical="center" wrapText="1"/>
    </xf>
    <xf numFmtId="0" fontId="0" fillId="15" borderId="0" xfId="0" applyFill="1" applyAlignment="1">
      <alignment horizontal="center"/>
    </xf>
    <xf numFmtId="0" fontId="0" fillId="15" borderId="0" xfId="0" applyFill="1" applyAlignment="1">
      <alignment horizontal="left"/>
    </xf>
    <xf numFmtId="0" fontId="4" fillId="28" borderId="0" xfId="0" applyFont="1" applyFill="1" applyAlignment="1">
      <alignment horizontal="right" vertical="center" textRotation="90" wrapText="1"/>
    </xf>
    <xf numFmtId="0" fontId="4" fillId="28" borderId="0" xfId="0" applyFont="1" applyFill="1" applyAlignment="1">
      <alignment horizontal="center"/>
    </xf>
    <xf numFmtId="0" fontId="2" fillId="16" borderId="0" xfId="0" applyFont="1" applyFill="1" applyAlignment="1">
      <alignment horizontal="center"/>
    </xf>
    <xf numFmtId="0" fontId="4" fillId="17" borderId="0" xfId="0" applyFont="1" applyFill="1" applyAlignment="1">
      <alignment horizontal="left"/>
    </xf>
    <xf numFmtId="0" fontId="0" fillId="0" borderId="0" xfId="0" applyAlignment="1">
      <alignment horizontal="center" vertical="center"/>
    </xf>
    <xf numFmtId="0" fontId="4" fillId="28" borderId="0" xfId="0" applyFont="1" applyFill="1" applyAlignment="1">
      <alignment horizontal="center" vertical="center" textRotation="90" wrapText="1"/>
    </xf>
    <xf numFmtId="0" fontId="4" fillId="15" borderId="9" xfId="0" applyFont="1" applyFill="1" applyBorder="1" applyAlignment="1">
      <alignment horizontal="center" vertical="center"/>
    </xf>
    <xf numFmtId="0" fontId="4" fillId="15" borderId="5" xfId="0" applyFont="1" applyFill="1" applyBorder="1" applyAlignment="1">
      <alignment horizontal="center" vertical="center"/>
    </xf>
    <xf numFmtId="0" fontId="0" fillId="29" borderId="0" xfId="0" applyFill="1" applyAlignment="1">
      <alignment horizontal="center"/>
    </xf>
    <xf numFmtId="0" fontId="4" fillId="29" borderId="4" xfId="0" applyFont="1" applyFill="1" applyBorder="1" applyAlignment="1">
      <alignment horizontal="center" vertical="center"/>
    </xf>
    <xf numFmtId="0" fontId="4" fillId="29" borderId="6" xfId="0" applyFont="1" applyFill="1" applyBorder="1" applyAlignment="1">
      <alignment horizontal="center" vertical="center"/>
    </xf>
    <xf numFmtId="0" fontId="4" fillId="29" borderId="13" xfId="0" applyFont="1" applyFill="1" applyBorder="1" applyAlignment="1">
      <alignment horizontal="center" vertical="center"/>
    </xf>
    <xf numFmtId="0" fontId="4" fillId="17" borderId="4" xfId="0" applyFont="1" applyFill="1" applyBorder="1" applyAlignment="1">
      <alignment horizontal="center"/>
    </xf>
    <xf numFmtId="0" fontId="4" fillId="15" borderId="4" xfId="0" applyFont="1" applyFill="1" applyBorder="1" applyAlignment="1">
      <alignment horizontal="center" vertical="center"/>
    </xf>
    <xf numFmtId="0" fontId="0" fillId="0" borderId="26" xfId="0" applyBorder="1" applyAlignment="1">
      <alignment horizontal="center" vertical="center"/>
    </xf>
    <xf numFmtId="0" fontId="4" fillId="29" borderId="9" xfId="0" applyFont="1" applyFill="1" applyBorder="1" applyAlignment="1">
      <alignment horizontal="center" vertical="center"/>
    </xf>
    <xf numFmtId="0" fontId="4" fillId="29" borderId="5" xfId="0" applyFont="1" applyFill="1" applyBorder="1" applyAlignment="1">
      <alignment horizontal="center" vertical="center"/>
    </xf>
    <xf numFmtId="0" fontId="4" fillId="17" borderId="1" xfId="0" applyFont="1" applyFill="1" applyBorder="1" applyAlignment="1">
      <alignment horizontal="center"/>
    </xf>
    <xf numFmtId="0" fontId="4" fillId="17" borderId="2" xfId="0" applyFont="1" applyFill="1" applyBorder="1" applyAlignment="1">
      <alignment horizontal="center"/>
    </xf>
    <xf numFmtId="0" fontId="4" fillId="17" borderId="3" xfId="0" applyFont="1" applyFill="1" applyBorder="1" applyAlignment="1">
      <alignment horizontal="center"/>
    </xf>
    <xf numFmtId="0" fontId="0" fillId="29" borderId="0" xfId="0" applyFill="1" applyAlignment="1">
      <alignment horizontal="center" wrapText="1"/>
    </xf>
    <xf numFmtId="0" fontId="4" fillId="0" borderId="0" xfId="0" applyFont="1" applyAlignment="1">
      <alignment horizontal="center"/>
    </xf>
    <xf numFmtId="167" fontId="85" fillId="0" borderId="0" xfId="0" applyNumberFormat="1" applyFont="1" applyAlignment="1">
      <alignment horizontal="left" vertical="center"/>
    </xf>
    <xf numFmtId="0" fontId="74" fillId="0" borderId="0" xfId="0" applyFont="1" applyAlignment="1">
      <alignment horizontal="center"/>
    </xf>
    <xf numFmtId="0" fontId="0" fillId="29" borderId="0" xfId="0" applyFill="1" applyAlignment="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13" fillId="9" borderId="6" xfId="2" applyFont="1" applyFill="1" applyBorder="1" applyAlignment="1">
      <alignment horizontal="center"/>
    </xf>
    <xf numFmtId="0" fontId="13" fillId="9" borderId="7" xfId="2" applyFont="1" applyFill="1" applyBorder="1" applyAlignment="1">
      <alignment horizontal="center"/>
    </xf>
    <xf numFmtId="0" fontId="13" fillId="9" borderId="28" xfId="2" applyFont="1" applyFill="1" applyBorder="1" applyAlignment="1">
      <alignment horizontal="center"/>
    </xf>
    <xf numFmtId="0" fontId="13" fillId="9" borderId="11" xfId="2" applyFont="1" applyFill="1" applyBorder="1" applyAlignment="1">
      <alignment horizontal="center"/>
    </xf>
    <xf numFmtId="0" fontId="13" fillId="9" borderId="0" xfId="2" applyFont="1" applyFill="1" applyAlignment="1">
      <alignment horizontal="center"/>
    </xf>
    <xf numFmtId="0" fontId="13" fillId="9" borderId="20" xfId="2" applyFont="1" applyFill="1" applyBorder="1" applyAlignment="1">
      <alignment horizontal="center"/>
    </xf>
    <xf numFmtId="0" fontId="13" fillId="10" borderId="1" xfId="2" applyFont="1" applyFill="1" applyBorder="1" applyAlignment="1">
      <alignment horizontal="center"/>
    </xf>
    <xf numFmtId="0" fontId="13" fillId="10" borderId="2" xfId="2" applyFont="1" applyFill="1" applyBorder="1" applyAlignment="1">
      <alignment horizontal="center"/>
    </xf>
    <xf numFmtId="0" fontId="13" fillId="10" borderId="3" xfId="2" applyFont="1" applyFill="1" applyBorder="1" applyAlignment="1">
      <alignment horizontal="center"/>
    </xf>
    <xf numFmtId="0" fontId="13" fillId="10" borderId="16" xfId="2" applyFont="1" applyFill="1" applyBorder="1" applyAlignment="1">
      <alignment horizontal="center"/>
    </xf>
    <xf numFmtId="0" fontId="13" fillId="10" borderId="17" xfId="2" applyFont="1" applyFill="1" applyBorder="1" applyAlignment="1">
      <alignment horizontal="center"/>
    </xf>
    <xf numFmtId="0" fontId="13" fillId="10" borderId="18" xfId="2" applyFont="1" applyFill="1" applyBorder="1" applyAlignment="1">
      <alignment horizontal="center"/>
    </xf>
    <xf numFmtId="0" fontId="12" fillId="9" borderId="11" xfId="2" applyFill="1" applyBorder="1" applyAlignment="1">
      <alignment horizontal="center"/>
    </xf>
    <xf numFmtId="0" fontId="12" fillId="9" borderId="0" xfId="2" applyFill="1" applyAlignment="1">
      <alignment horizontal="center"/>
    </xf>
    <xf numFmtId="0" fontId="12" fillId="9" borderId="12" xfId="2" applyFill="1" applyBorder="1" applyAlignment="1">
      <alignment horizontal="center"/>
    </xf>
    <xf numFmtId="0" fontId="13" fillId="9" borderId="9" xfId="2" applyFont="1" applyFill="1" applyBorder="1" applyAlignment="1">
      <alignment horizontal="center" vertical="center" wrapText="1"/>
    </xf>
    <xf numFmtId="0" fontId="13" fillId="9" borderId="10" xfId="2" applyFont="1" applyFill="1" applyBorder="1" applyAlignment="1">
      <alignment horizontal="center" vertical="center" wrapText="1"/>
    </xf>
    <xf numFmtId="0" fontId="13" fillId="9" borderId="8" xfId="2" applyFont="1" applyFill="1" applyBorder="1" applyAlignment="1">
      <alignment horizontal="center"/>
    </xf>
    <xf numFmtId="0" fontId="14" fillId="12" borderId="1" xfId="2" applyFont="1" applyFill="1" applyBorder="1" applyAlignment="1">
      <alignment horizontal="center"/>
    </xf>
    <xf numFmtId="0" fontId="14" fillId="12" borderId="2" xfId="2" applyFont="1" applyFill="1" applyBorder="1" applyAlignment="1">
      <alignment horizontal="center"/>
    </xf>
    <xf numFmtId="0" fontId="14" fillId="12" borderId="3" xfId="2" applyFont="1" applyFill="1" applyBorder="1" applyAlignment="1">
      <alignment horizontal="center"/>
    </xf>
    <xf numFmtId="0" fontId="14" fillId="11" borderId="11" xfId="2" applyFont="1" applyFill="1" applyBorder="1" applyAlignment="1">
      <alignment horizontal="center"/>
    </xf>
    <xf numFmtId="0" fontId="14" fillId="11" borderId="0" xfId="2" applyFont="1" applyFill="1" applyAlignment="1">
      <alignment horizontal="center"/>
    </xf>
    <xf numFmtId="0" fontId="14" fillId="11" borderId="12" xfId="2" applyFont="1" applyFill="1" applyBorder="1" applyAlignment="1">
      <alignment horizontal="center"/>
    </xf>
    <xf numFmtId="0" fontId="13" fillId="10" borderId="11" xfId="2" applyFont="1" applyFill="1" applyBorder="1" applyAlignment="1">
      <alignment horizontal="center"/>
    </xf>
    <xf numFmtId="0" fontId="13" fillId="10" borderId="0" xfId="2" applyFont="1" applyFill="1" applyAlignment="1">
      <alignment horizontal="center"/>
    </xf>
    <xf numFmtId="0" fontId="13" fillId="10" borderId="12" xfId="2" applyFont="1" applyFill="1" applyBorder="1" applyAlignment="1">
      <alignment horizontal="center"/>
    </xf>
    <xf numFmtId="0" fontId="69" fillId="9" borderId="8" xfId="2" applyFont="1" applyFill="1" applyBorder="1" applyAlignment="1">
      <alignment horizontal="center" vertical="center" wrapText="1"/>
    </xf>
    <xf numFmtId="0" fontId="69" fillId="9" borderId="12" xfId="2" applyFont="1" applyFill="1" applyBorder="1" applyAlignment="1">
      <alignment horizontal="center" vertical="center" wrapText="1"/>
    </xf>
    <xf numFmtId="0" fontId="13" fillId="9" borderId="1" xfId="2" applyFont="1" applyFill="1" applyBorder="1" applyAlignment="1">
      <alignment horizontal="center"/>
    </xf>
    <xf numFmtId="0" fontId="13" fillId="9" borderId="2" xfId="2" applyFont="1" applyFill="1" applyBorder="1" applyAlignment="1">
      <alignment horizontal="center"/>
    </xf>
    <xf numFmtId="0" fontId="13" fillId="9" borderId="3" xfId="2" applyFont="1" applyFill="1" applyBorder="1" applyAlignment="1">
      <alignment horizontal="center"/>
    </xf>
    <xf numFmtId="0" fontId="12" fillId="5" borderId="11" xfId="2" applyFill="1" applyBorder="1" applyAlignment="1">
      <alignment horizontal="center"/>
    </xf>
    <xf numFmtId="0" fontId="12" fillId="5" borderId="12" xfId="2" applyFill="1" applyBorder="1" applyAlignment="1">
      <alignment horizontal="center"/>
    </xf>
    <xf numFmtId="0" fontId="12" fillId="0" borderId="11" xfId="2" applyBorder="1" applyAlignment="1">
      <alignment horizontal="center"/>
    </xf>
    <xf numFmtId="0" fontId="12" fillId="0" borderId="12" xfId="2" applyBorder="1" applyAlignment="1">
      <alignment horizontal="center"/>
    </xf>
    <xf numFmtId="2" fontId="2" fillId="6" borderId="4" xfId="0" applyNumberFormat="1" applyFont="1" applyFill="1" applyBorder="1" applyAlignment="1">
      <alignment horizontal="center" vertical="center"/>
    </xf>
    <xf numFmtId="2" fontId="2" fillId="6" borderId="43" xfId="0" applyNumberFormat="1" applyFont="1" applyFill="1" applyBorder="1" applyAlignment="1">
      <alignment horizontal="center" vertical="center"/>
    </xf>
    <xf numFmtId="0" fontId="2" fillId="6" borderId="4" xfId="0" applyFont="1" applyFill="1" applyBorder="1" applyAlignment="1">
      <alignment horizontal="center" vertical="center"/>
    </xf>
    <xf numFmtId="2" fontId="2" fillId="6" borderId="3" xfId="0" applyNumberFormat="1" applyFont="1" applyFill="1" applyBorder="1" applyAlignment="1">
      <alignment horizontal="center" vertical="center"/>
    </xf>
    <xf numFmtId="2" fontId="2" fillId="6" borderId="5" xfId="0" applyNumberFormat="1" applyFont="1" applyFill="1" applyBorder="1" applyAlignment="1">
      <alignment horizontal="center" vertical="center"/>
    </xf>
    <xf numFmtId="2" fontId="2" fillId="6" borderId="23" xfId="0" applyNumberFormat="1" applyFont="1" applyFill="1" applyBorder="1" applyAlignment="1">
      <alignment horizontal="center" vertical="center"/>
    </xf>
    <xf numFmtId="2" fontId="2" fillId="6" borderId="14" xfId="0" applyNumberFormat="1" applyFont="1" applyFill="1" applyBorder="1" applyAlignment="1">
      <alignment horizontal="center" vertical="center"/>
    </xf>
    <xf numFmtId="0" fontId="2" fillId="6" borderId="5" xfId="0" applyFont="1" applyFill="1" applyBorder="1" applyAlignment="1">
      <alignment horizontal="center" vertical="center"/>
    </xf>
    <xf numFmtId="0" fontId="84" fillId="25" borderId="0" xfId="2" applyFont="1" applyFill="1" applyAlignment="1">
      <alignment horizontal="left" wrapText="1"/>
    </xf>
    <xf numFmtId="0" fontId="14" fillId="25" borderId="1" xfId="2" applyFont="1" applyFill="1" applyBorder="1" applyAlignment="1">
      <alignment horizontal="center"/>
    </xf>
    <xf numFmtId="0" fontId="14" fillId="25" borderId="2" xfId="2" applyFont="1" applyFill="1" applyBorder="1" applyAlignment="1">
      <alignment horizontal="center"/>
    </xf>
    <xf numFmtId="0" fontId="14" fillId="25" borderId="3" xfId="2" applyFont="1" applyFill="1" applyBorder="1" applyAlignment="1">
      <alignment horizont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0" fillId="0" borderId="5" xfId="0" applyBorder="1" applyAlignment="1">
      <alignment horizontal="center"/>
    </xf>
    <xf numFmtId="0" fontId="59" fillId="0" borderId="6" xfId="0" applyFont="1" applyBorder="1" applyAlignment="1">
      <alignment horizontal="left" vertical="center" wrapText="1"/>
    </xf>
    <xf numFmtId="0" fontId="59" fillId="0" borderId="7" xfId="0" applyFont="1" applyBorder="1" applyAlignment="1">
      <alignment horizontal="left" vertical="center" wrapText="1"/>
    </xf>
    <xf numFmtId="0" fontId="59" fillId="0" borderId="8" xfId="0" applyFont="1" applyBorder="1" applyAlignment="1">
      <alignment horizontal="left" vertical="center" wrapText="1"/>
    </xf>
    <xf numFmtId="0" fontId="59" fillId="0" borderId="13" xfId="0" applyFont="1" applyBorder="1" applyAlignment="1">
      <alignment horizontal="left" vertical="center" wrapText="1"/>
    </xf>
    <xf numFmtId="0" fontId="59" fillId="0" borderId="15" xfId="0" applyFont="1" applyBorder="1" applyAlignment="1">
      <alignment horizontal="left" vertical="center" wrapText="1"/>
    </xf>
    <xf numFmtId="0" fontId="59" fillId="0" borderId="14" xfId="0" applyFont="1" applyBorder="1" applyAlignment="1">
      <alignment horizontal="left" vertical="center" wrapText="1"/>
    </xf>
    <xf numFmtId="0" fontId="0" fillId="0" borderId="15" xfId="0" applyBorder="1" applyAlignment="1">
      <alignment horizontal="center"/>
    </xf>
    <xf numFmtId="0" fontId="0" fillId="0" borderId="14" xfId="0" applyBorder="1" applyAlignment="1">
      <alignment horizontal="center"/>
    </xf>
  </cellXfs>
  <cellStyles count="19">
    <cellStyle name="Lien hypertexte" xfId="6" builtinId="8"/>
    <cellStyle name="Milliers" xfId="7" builtinId="3"/>
    <cellStyle name="Milliers 2" xfId="5" xr:uid="{BB5F90F8-7ECA-48BE-BE75-30BDFB0A12AB}"/>
    <cellStyle name="Milliers 2 2" xfId="16" xr:uid="{95DBD93D-1B71-4DA4-B62C-8E71A371A290}"/>
    <cellStyle name="Milliers 2 3" xfId="11" xr:uid="{943F6F4A-F694-4A6C-9BF4-9E0452BB609C}"/>
    <cellStyle name="Milliers 3" xfId="13" xr:uid="{813A1442-C1CF-44A3-B586-E2BD669D903C}"/>
    <cellStyle name="Milliers 4" xfId="17" xr:uid="{51E7C7B9-62F3-40C1-BA91-3A63B68944A1}"/>
    <cellStyle name="Monétaire" xfId="4" builtinId="4"/>
    <cellStyle name="Monétaire 2" xfId="9" xr:uid="{820B55B3-D8D6-483D-AB81-C50296AE042D}"/>
    <cellStyle name="Monétaire 2 2" xfId="18" xr:uid="{E3672B56-DE21-439F-82A7-A4BA8D47F0BD}"/>
    <cellStyle name="Monétaire 2 3" xfId="10" xr:uid="{44989C35-A017-46E0-9803-E28875ECB8D2}"/>
    <cellStyle name="Monétaire 3" xfId="15" xr:uid="{67F15D4A-A7A9-40CF-96E8-0463B4E5F254}"/>
    <cellStyle name="Monétaire 4" xfId="14" xr:uid="{7332B10B-D233-4074-974B-64128F6770D9}"/>
    <cellStyle name="Normal" xfId="0" builtinId="0"/>
    <cellStyle name="Normal 2" xfId="2" xr:uid="{9DAAD7D4-A5BE-49B6-8652-052DE1A26A38}"/>
    <cellStyle name="Normal 2 2" xfId="8" xr:uid="{9CC80A6E-F2E8-4D9C-9873-B3B12A524590}"/>
    <cellStyle name="Normal 3" xfId="12" xr:uid="{B383C4B6-73D6-4EA8-91D0-CD02DAD513B2}"/>
    <cellStyle name="Pourcentage" xfId="1" builtinId="5"/>
    <cellStyle name="Pourcentage 2" xfId="3" xr:uid="{BC8C733F-CCF2-40A0-9E3F-75FAAE7F621D}"/>
  </cellStyles>
  <dxfs count="62">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B050"/>
      </font>
      <fill>
        <patternFill>
          <bgColor theme="9" tint="0.79998168889431442"/>
        </patternFill>
      </fill>
    </dxf>
    <dxf>
      <font>
        <color rgb="FFC00000"/>
      </font>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0"/>
        </patternFill>
      </fill>
    </dxf>
    <dxf>
      <font>
        <color rgb="FF002060"/>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patternFill>
      </fill>
    </dxf>
    <dxf>
      <fill>
        <patternFill>
          <bgColor theme="0"/>
        </patternFill>
      </fill>
    </dxf>
    <dxf>
      <font>
        <color rgb="FF002060"/>
      </font>
      <fill>
        <patternFill>
          <bgColor theme="0"/>
        </patternFill>
      </fill>
    </dxf>
    <dxf>
      <font>
        <color rgb="FF006100"/>
      </font>
      <fill>
        <patternFill>
          <bgColor rgb="FFC6EFCE"/>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ont>
        <color rgb="FF9C0006"/>
      </font>
      <fill>
        <patternFill>
          <bgColor rgb="FFFFC7CE"/>
        </patternFill>
      </fill>
    </dxf>
    <dxf>
      <fill>
        <patternFill>
          <bgColor theme="8" tint="0.79998168889431442"/>
        </patternFill>
      </fill>
    </dxf>
    <dxf>
      <font>
        <color rgb="FF9C0006"/>
      </font>
      <fill>
        <patternFill>
          <bgColor rgb="FFFFC7CE"/>
        </patternFill>
      </fill>
    </dxf>
    <dxf>
      <fill>
        <patternFill>
          <bgColor theme="8" tint="0.79998168889431442"/>
        </patternFill>
      </fill>
    </dxf>
    <dxf>
      <font>
        <color theme="0"/>
      </font>
    </dxf>
    <dxf>
      <font>
        <color rgb="FF002060"/>
      </font>
      <fill>
        <patternFill>
          <bgColor theme="8" tint="0.79998168889431442"/>
        </patternFill>
      </fill>
    </dxf>
    <dxf>
      <font>
        <color rgb="FF006100"/>
      </font>
      <fill>
        <patternFill>
          <fgColor rgb="FFC6EFCE"/>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59996337778862885"/>
        </patternFill>
      </fill>
    </dxf>
    <dxf>
      <fill>
        <patternFill>
          <bgColor rgb="FFBFBFBF"/>
        </patternFill>
      </fill>
    </dxf>
    <dxf>
      <fill>
        <patternFill>
          <bgColor rgb="FFF788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78879"/>
      <color rgb="FFBFBFBF"/>
      <color rgb="FFC3E1F5"/>
      <color rgb="FF002060"/>
      <color rgb="FFFFC7CE"/>
      <color rgb="FFFF9797"/>
      <color rgb="FFFFD9D9"/>
      <color rgb="FFFFB7B7"/>
      <color rgb="FFFFC5C5"/>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06/relationships/rdRichValue" Target="richData/rdrichvalue.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microsoft.com/office/2017/06/relationships/rdRichValueStructure" Target="richData/rdrichvaluestructure.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46" Type="http://schemas.openxmlformats.org/officeDocument/2006/relationships/customXml" Target="../customXml/item3.xml"/><Relationship Id="rId20" Type="http://schemas.openxmlformats.org/officeDocument/2006/relationships/worksheet" Target="worksheets/sheet20.xml"/><Relationship Id="rId41"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Économie d'énergie selon la modulation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1"/>
            <c:dispEq val="1"/>
            <c:trendlineLbl>
              <c:layout>
                <c:manualLayout>
                  <c:x val="3.9618182055601261E-2"/>
                  <c:y val="0.1662500000000000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Hypothèses!$C$81:$C$87</c:f>
              <c:numCache>
                <c:formatCode>_-* #\ ##0\ _$_-;_-* #\ ##0\ _$\-;_-* "-"??\ _$_-;_-@_-</c:formatCode>
                <c:ptCount val="7"/>
                <c:pt idx="0">
                  <c:v>1</c:v>
                </c:pt>
                <c:pt idx="1">
                  <c:v>2</c:v>
                </c:pt>
                <c:pt idx="2">
                  <c:v>3</c:v>
                </c:pt>
                <c:pt idx="3">
                  <c:v>4</c:v>
                </c:pt>
                <c:pt idx="4">
                  <c:v>5</c:v>
                </c:pt>
                <c:pt idx="5" formatCode="_-* #\ ##0.0\ _$_-;_-* #\ ##0.0\ _$\-;_-* &quot;-&quot;??\ _$_-;_-@_-">
                  <c:v>7.5</c:v>
                </c:pt>
                <c:pt idx="6">
                  <c:v>10</c:v>
                </c:pt>
              </c:numCache>
            </c:numRef>
          </c:xVal>
          <c:yVal>
            <c:numRef>
              <c:f>Hypothèses!$E$81:$E$87</c:f>
              <c:numCache>
                <c:formatCode>0.000</c:formatCode>
                <c:ptCount val="7"/>
                <c:pt idx="0">
                  <c:v>0</c:v>
                </c:pt>
                <c:pt idx="1">
                  <c:v>4.878048780487805E-2</c:v>
                </c:pt>
                <c:pt idx="2">
                  <c:v>7.6923076923076927E-2</c:v>
                </c:pt>
                <c:pt idx="3">
                  <c:v>8.9473684210526316E-2</c:v>
                </c:pt>
                <c:pt idx="4">
                  <c:v>0.10372340425531915</c:v>
                </c:pt>
                <c:pt idx="5">
                  <c:v>0.11590296495956873</c:v>
                </c:pt>
                <c:pt idx="6">
                  <c:v>0.12534059945504086</c:v>
                </c:pt>
              </c:numCache>
            </c:numRef>
          </c:yVal>
          <c:smooth val="0"/>
          <c:extLst>
            <c:ext xmlns:c16="http://schemas.microsoft.com/office/drawing/2014/chart" uri="{C3380CC4-5D6E-409C-BE32-E72D297353CC}">
              <c16:uniqueId val="{00000000-9256-46D7-8164-DDD66569EF76}"/>
            </c:ext>
          </c:extLst>
        </c:ser>
        <c:dLbls>
          <c:showLegendKey val="0"/>
          <c:showVal val="0"/>
          <c:showCatName val="0"/>
          <c:showSerName val="0"/>
          <c:showPercent val="0"/>
          <c:showBubbleSize val="0"/>
        </c:dLbls>
        <c:axId val="763725456"/>
        <c:axId val="763725816"/>
      </c:scatterChart>
      <c:valAx>
        <c:axId val="7637254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Turndown ratio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_-* #\ ##0\ _$_-;_-* #\ ##0\ _$\-;_-* &quot;-&quot;??\ _$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3725816"/>
        <c:crosses val="autoZero"/>
        <c:crossBetween val="midCat"/>
      </c:valAx>
      <c:valAx>
        <c:axId val="763725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Économies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3725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Hypothèses!$I$117</c:f>
              <c:strCache>
                <c:ptCount val="1"/>
                <c:pt idx="0">
                  <c:v>% O2 fumées</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6.385826771653543E-3"/>
                  <c:y val="0.2682801108194808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Hypothèses!$H$118:$H$141</c:f>
              <c:numCache>
                <c:formatCode>0.0</c:formatCode>
                <c:ptCount val="24"/>
                <c:pt idx="0">
                  <c:v>0</c:v>
                </c:pt>
                <c:pt idx="1">
                  <c:v>2.1902439024390246</c:v>
                </c:pt>
                <c:pt idx="2">
                  <c:v>4.49</c:v>
                </c:pt>
                <c:pt idx="3">
                  <c:v>6.9076923076923071</c:v>
                </c:pt>
                <c:pt idx="4">
                  <c:v>9.4526315789473685</c:v>
                </c:pt>
                <c:pt idx="5">
                  <c:v>12.135135135135135</c:v>
                </c:pt>
                <c:pt idx="6">
                  <c:v>14.966666666666667</c:v>
                </c:pt>
                <c:pt idx="7">
                  <c:v>17.96</c:v>
                </c:pt>
                <c:pt idx="8">
                  <c:v>21.129411764705885</c:v>
                </c:pt>
                <c:pt idx="9">
                  <c:v>24.490909090909096</c:v>
                </c:pt>
                <c:pt idx="10">
                  <c:v>28.062500000000007</c:v>
                </c:pt>
                <c:pt idx="11">
                  <c:v>31.864516129032257</c:v>
                </c:pt>
                <c:pt idx="12">
                  <c:v>35.92</c:v>
                </c:pt>
                <c:pt idx="13">
                  <c:v>40.255172413793105</c:v>
                </c:pt>
                <c:pt idx="14">
                  <c:v>44.900000000000006</c:v>
                </c:pt>
                <c:pt idx="15">
                  <c:v>49.888888888888886</c:v>
                </c:pt>
                <c:pt idx="16">
                  <c:v>55.261538461538464</c:v>
                </c:pt>
                <c:pt idx="17">
                  <c:v>61.064000000000007</c:v>
                </c:pt>
                <c:pt idx="18">
                  <c:v>67.350000000000009</c:v>
                </c:pt>
                <c:pt idx="19">
                  <c:v>74.182608695652178</c:v>
                </c:pt>
                <c:pt idx="20">
                  <c:v>81.636363636363654</c:v>
                </c:pt>
                <c:pt idx="21">
                  <c:v>89.800000000000011</c:v>
                </c:pt>
                <c:pt idx="22">
                  <c:v>98.780000000000015</c:v>
                </c:pt>
                <c:pt idx="23">
                  <c:v>108.70526315789475</c:v>
                </c:pt>
              </c:numCache>
            </c:numRef>
          </c:xVal>
          <c:yVal>
            <c:numRef>
              <c:f>Hypothèses!$I$118:$I$141</c:f>
              <c:numCache>
                <c:formatCode>General</c:formatCode>
                <c:ptCount val="24"/>
                <c:pt idx="0" formatCode="0.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numCache>
            </c:numRef>
          </c:yVal>
          <c:smooth val="0"/>
          <c:extLst>
            <c:ext xmlns:c16="http://schemas.microsoft.com/office/drawing/2014/chart" uri="{C3380CC4-5D6E-409C-BE32-E72D297353CC}">
              <c16:uniqueId val="{00000000-0B8A-43F2-B911-FDB5A92D66BA}"/>
            </c:ext>
          </c:extLst>
        </c:ser>
        <c:dLbls>
          <c:showLegendKey val="0"/>
          <c:showVal val="0"/>
          <c:showCatName val="0"/>
          <c:showSerName val="0"/>
          <c:showPercent val="0"/>
          <c:showBubbleSize val="0"/>
        </c:dLbls>
        <c:axId val="1040188216"/>
        <c:axId val="773636488"/>
      </c:scatterChart>
      <c:valAx>
        <c:axId val="10401882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Excès d'air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3636488"/>
        <c:crosses val="autoZero"/>
        <c:crossBetween val="midCat"/>
      </c:valAx>
      <c:valAx>
        <c:axId val="773636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O2 dans les fumées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01882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Aire de surface - ANSI Class 150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4"/>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Hypothèses!$D$197:$D$211</c:f>
              <c:numCache>
                <c:formatCode>0.00</c:formatCode>
                <c:ptCount val="15"/>
                <c:pt idx="0">
                  <c:v>2</c:v>
                </c:pt>
                <c:pt idx="1">
                  <c:v>2.5</c:v>
                </c:pt>
                <c:pt idx="2">
                  <c:v>3</c:v>
                </c:pt>
                <c:pt idx="3">
                  <c:v>4</c:v>
                </c:pt>
                <c:pt idx="4">
                  <c:v>6</c:v>
                </c:pt>
                <c:pt idx="5">
                  <c:v>8</c:v>
                </c:pt>
                <c:pt idx="6">
                  <c:v>10</c:v>
                </c:pt>
                <c:pt idx="7">
                  <c:v>12</c:v>
                </c:pt>
                <c:pt idx="8">
                  <c:v>14</c:v>
                </c:pt>
                <c:pt idx="9">
                  <c:v>16</c:v>
                </c:pt>
                <c:pt idx="10">
                  <c:v>18</c:v>
                </c:pt>
                <c:pt idx="11">
                  <c:v>20</c:v>
                </c:pt>
                <c:pt idx="12">
                  <c:v>24</c:v>
                </c:pt>
                <c:pt idx="13">
                  <c:v>30</c:v>
                </c:pt>
                <c:pt idx="14">
                  <c:v>36</c:v>
                </c:pt>
              </c:numCache>
            </c:numRef>
          </c:xVal>
          <c:yVal>
            <c:numRef>
              <c:f>Hypothèses!$E$197:$E$211</c:f>
              <c:numCache>
                <c:formatCode>General</c:formatCode>
                <c:ptCount val="15"/>
                <c:pt idx="0">
                  <c:v>2.21</c:v>
                </c:pt>
                <c:pt idx="1">
                  <c:v>2.97</c:v>
                </c:pt>
                <c:pt idx="2">
                  <c:v>3.37</c:v>
                </c:pt>
                <c:pt idx="3">
                  <c:v>4.68</c:v>
                </c:pt>
                <c:pt idx="4">
                  <c:v>7.03</c:v>
                </c:pt>
                <c:pt idx="5">
                  <c:v>10.3</c:v>
                </c:pt>
                <c:pt idx="6">
                  <c:v>13.8</c:v>
                </c:pt>
                <c:pt idx="7">
                  <c:v>16.100000000000001</c:v>
                </c:pt>
                <c:pt idx="8">
                  <c:v>22.8</c:v>
                </c:pt>
                <c:pt idx="9">
                  <c:v>27.6</c:v>
                </c:pt>
                <c:pt idx="10">
                  <c:v>31.7</c:v>
                </c:pt>
                <c:pt idx="11">
                  <c:v>37.700000000000003</c:v>
                </c:pt>
                <c:pt idx="12">
                  <c:v>49.1</c:v>
                </c:pt>
                <c:pt idx="13">
                  <c:v>72.2</c:v>
                </c:pt>
                <c:pt idx="14">
                  <c:v>107.3</c:v>
                </c:pt>
              </c:numCache>
            </c:numRef>
          </c:yVal>
          <c:smooth val="0"/>
          <c:extLst>
            <c:ext xmlns:c16="http://schemas.microsoft.com/office/drawing/2014/chart" uri="{C3380CC4-5D6E-409C-BE32-E72D297353CC}">
              <c16:uniqueId val="{00000000-D863-4CA1-8269-D9BBB11F97EF}"/>
            </c:ext>
          </c:extLst>
        </c:ser>
        <c:dLbls>
          <c:showLegendKey val="0"/>
          <c:showVal val="0"/>
          <c:showCatName val="0"/>
          <c:showSerName val="0"/>
          <c:showPercent val="0"/>
          <c:showBubbleSize val="0"/>
        </c:dLbls>
        <c:axId val="1076854840"/>
        <c:axId val="1076849800"/>
      </c:scatterChart>
      <c:valAx>
        <c:axId val="1076854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NPS (po)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6849800"/>
        <c:crosses val="autoZero"/>
        <c:crossBetween val="midCat"/>
      </c:valAx>
      <c:valAx>
        <c:axId val="1076849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 (pi2)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6854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circle"/>
            <c:size val="3"/>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2155027936085995"/>
                  <c:y val="-0.1602189601038909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'Combustion_Chaud1 (Micro)'!$AA$10:$AA$100</c:f>
              <c:numCache>
                <c:formatCode>General</c:formatCode>
                <c:ptCount val="91"/>
                <c:pt idx="0">
                  <c:v>200</c:v>
                </c:pt>
                <c:pt idx="1">
                  <c:v>199</c:v>
                </c:pt>
                <c:pt idx="2">
                  <c:v>198</c:v>
                </c:pt>
                <c:pt idx="3">
                  <c:v>197</c:v>
                </c:pt>
                <c:pt idx="4">
                  <c:v>196</c:v>
                </c:pt>
                <c:pt idx="5">
                  <c:v>195</c:v>
                </c:pt>
                <c:pt idx="6">
                  <c:v>194</c:v>
                </c:pt>
                <c:pt idx="7">
                  <c:v>193</c:v>
                </c:pt>
                <c:pt idx="8">
                  <c:v>192</c:v>
                </c:pt>
                <c:pt idx="9">
                  <c:v>191</c:v>
                </c:pt>
                <c:pt idx="10">
                  <c:v>190</c:v>
                </c:pt>
                <c:pt idx="11">
                  <c:v>189</c:v>
                </c:pt>
                <c:pt idx="12">
                  <c:v>188</c:v>
                </c:pt>
                <c:pt idx="13">
                  <c:v>187</c:v>
                </c:pt>
                <c:pt idx="14">
                  <c:v>186</c:v>
                </c:pt>
                <c:pt idx="15">
                  <c:v>185</c:v>
                </c:pt>
                <c:pt idx="16">
                  <c:v>184</c:v>
                </c:pt>
                <c:pt idx="17">
                  <c:v>183</c:v>
                </c:pt>
                <c:pt idx="18">
                  <c:v>182</c:v>
                </c:pt>
                <c:pt idx="19">
                  <c:v>181</c:v>
                </c:pt>
                <c:pt idx="20">
                  <c:v>180</c:v>
                </c:pt>
                <c:pt idx="21">
                  <c:v>179</c:v>
                </c:pt>
                <c:pt idx="22">
                  <c:v>178</c:v>
                </c:pt>
                <c:pt idx="23">
                  <c:v>177</c:v>
                </c:pt>
                <c:pt idx="24">
                  <c:v>176</c:v>
                </c:pt>
                <c:pt idx="25">
                  <c:v>175</c:v>
                </c:pt>
                <c:pt idx="26">
                  <c:v>174</c:v>
                </c:pt>
                <c:pt idx="27">
                  <c:v>173</c:v>
                </c:pt>
                <c:pt idx="28">
                  <c:v>172</c:v>
                </c:pt>
                <c:pt idx="29">
                  <c:v>171</c:v>
                </c:pt>
                <c:pt idx="30">
                  <c:v>170</c:v>
                </c:pt>
                <c:pt idx="31">
                  <c:v>169</c:v>
                </c:pt>
                <c:pt idx="32">
                  <c:v>168</c:v>
                </c:pt>
                <c:pt idx="33">
                  <c:v>167</c:v>
                </c:pt>
                <c:pt idx="34">
                  <c:v>166</c:v>
                </c:pt>
                <c:pt idx="35">
                  <c:v>165</c:v>
                </c:pt>
                <c:pt idx="36">
                  <c:v>164</c:v>
                </c:pt>
                <c:pt idx="37">
                  <c:v>163</c:v>
                </c:pt>
                <c:pt idx="38">
                  <c:v>162</c:v>
                </c:pt>
                <c:pt idx="39">
                  <c:v>161</c:v>
                </c:pt>
                <c:pt idx="40">
                  <c:v>160</c:v>
                </c:pt>
                <c:pt idx="41">
                  <c:v>159</c:v>
                </c:pt>
                <c:pt idx="42">
                  <c:v>158</c:v>
                </c:pt>
                <c:pt idx="43">
                  <c:v>157</c:v>
                </c:pt>
                <c:pt idx="44">
                  <c:v>156</c:v>
                </c:pt>
                <c:pt idx="45">
                  <c:v>155</c:v>
                </c:pt>
                <c:pt idx="46">
                  <c:v>154</c:v>
                </c:pt>
                <c:pt idx="47">
                  <c:v>153</c:v>
                </c:pt>
                <c:pt idx="48">
                  <c:v>152</c:v>
                </c:pt>
                <c:pt idx="49">
                  <c:v>151</c:v>
                </c:pt>
                <c:pt idx="50">
                  <c:v>150</c:v>
                </c:pt>
                <c:pt idx="51">
                  <c:v>149</c:v>
                </c:pt>
                <c:pt idx="52">
                  <c:v>148</c:v>
                </c:pt>
                <c:pt idx="53">
                  <c:v>147</c:v>
                </c:pt>
                <c:pt idx="54">
                  <c:v>146</c:v>
                </c:pt>
                <c:pt idx="55">
                  <c:v>145</c:v>
                </c:pt>
                <c:pt idx="56">
                  <c:v>144</c:v>
                </c:pt>
                <c:pt idx="57">
                  <c:v>143</c:v>
                </c:pt>
                <c:pt idx="58">
                  <c:v>142</c:v>
                </c:pt>
                <c:pt idx="59">
                  <c:v>141</c:v>
                </c:pt>
                <c:pt idx="60">
                  <c:v>140</c:v>
                </c:pt>
                <c:pt idx="61">
                  <c:v>139</c:v>
                </c:pt>
                <c:pt idx="62">
                  <c:v>138</c:v>
                </c:pt>
                <c:pt idx="63">
                  <c:v>137</c:v>
                </c:pt>
                <c:pt idx="64">
                  <c:v>136</c:v>
                </c:pt>
                <c:pt idx="65">
                  <c:v>135</c:v>
                </c:pt>
                <c:pt idx="66">
                  <c:v>134</c:v>
                </c:pt>
                <c:pt idx="67">
                  <c:v>133</c:v>
                </c:pt>
                <c:pt idx="68">
                  <c:v>132</c:v>
                </c:pt>
                <c:pt idx="69">
                  <c:v>131</c:v>
                </c:pt>
                <c:pt idx="70">
                  <c:v>130</c:v>
                </c:pt>
                <c:pt idx="71">
                  <c:v>129</c:v>
                </c:pt>
                <c:pt idx="72">
                  <c:v>128</c:v>
                </c:pt>
                <c:pt idx="73">
                  <c:v>127</c:v>
                </c:pt>
                <c:pt idx="74">
                  <c:v>126</c:v>
                </c:pt>
                <c:pt idx="75">
                  <c:v>125</c:v>
                </c:pt>
                <c:pt idx="76">
                  <c:v>124</c:v>
                </c:pt>
                <c:pt idx="77">
                  <c:v>123</c:v>
                </c:pt>
                <c:pt idx="78">
                  <c:v>122</c:v>
                </c:pt>
                <c:pt idx="79">
                  <c:v>121</c:v>
                </c:pt>
                <c:pt idx="80">
                  <c:v>120</c:v>
                </c:pt>
                <c:pt idx="81">
                  <c:v>119</c:v>
                </c:pt>
                <c:pt idx="82">
                  <c:v>118</c:v>
                </c:pt>
                <c:pt idx="83">
                  <c:v>117</c:v>
                </c:pt>
                <c:pt idx="84">
                  <c:v>116</c:v>
                </c:pt>
                <c:pt idx="85">
                  <c:v>115</c:v>
                </c:pt>
                <c:pt idx="86">
                  <c:v>114</c:v>
                </c:pt>
                <c:pt idx="87">
                  <c:v>113</c:v>
                </c:pt>
                <c:pt idx="88">
                  <c:v>112</c:v>
                </c:pt>
                <c:pt idx="89">
                  <c:v>111</c:v>
                </c:pt>
                <c:pt idx="90">
                  <c:v>110</c:v>
                </c:pt>
              </c:numCache>
            </c:numRef>
          </c:xVal>
          <c:yVal>
            <c:numRef>
              <c:f>'Combustion_Chaud1 (Micro)'!$AB$10:$AB$100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yVal>
          <c:smooth val="1"/>
          <c:extLst>
            <c:ext xmlns:c16="http://schemas.microsoft.com/office/drawing/2014/chart" uri="{C3380CC4-5D6E-409C-BE32-E72D297353CC}">
              <c16:uniqueId val="{00000000-E89D-4AB1-84CF-DB713CD21713}"/>
            </c:ext>
          </c:extLst>
        </c:ser>
        <c:dLbls>
          <c:showLegendKey val="0"/>
          <c:showVal val="0"/>
          <c:showCatName val="0"/>
          <c:showSerName val="0"/>
          <c:showPercent val="0"/>
          <c:showBubbleSize val="0"/>
        </c:dLbls>
        <c:axId val="608037368"/>
        <c:axId val="599188536"/>
      </c:scatterChart>
      <c:valAx>
        <c:axId val="608037368"/>
        <c:scaling>
          <c:orientation val="minMax"/>
          <c:max val="210"/>
          <c:min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9188536"/>
        <c:crosses val="autoZero"/>
        <c:crossBetween val="midCat"/>
        <c:majorUnit val="10"/>
      </c:valAx>
      <c:valAx>
        <c:axId val="599188536"/>
        <c:scaling>
          <c:orientation val="minMax"/>
          <c:max val="0.8700000000000001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80373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tx>
            <c:strRef>
              <c:f>'T° eau'!$E$8</c:f>
              <c:strCache>
                <c:ptCount val="1"/>
                <c:pt idx="0">
                  <c:v>Water Temp (°C)</c:v>
                </c:pt>
              </c:strCache>
            </c:strRef>
          </c:tx>
          <c:spPr>
            <a:ln w="19050" cap="rnd">
              <a:noFill/>
              <a:round/>
            </a:ln>
            <a:effectLst/>
          </c:spPr>
          <c:marker>
            <c:symbol val="circle"/>
            <c:size val="5"/>
            <c:spPr>
              <a:solidFill>
                <a:schemeClr val="accent1"/>
              </a:solidFill>
              <a:ln w="9525">
                <a:solidFill>
                  <a:schemeClr val="accent1"/>
                </a:solidFill>
              </a:ln>
              <a:effectLst/>
            </c:spPr>
          </c:marker>
          <c:xVal>
            <c:numRef>
              <c:f>'T° eau'!$B$9:$B$9056</c:f>
              <c:numCache>
                <c:formatCode>m/d/yyyy</c:formatCode>
                <c:ptCount val="9048"/>
                <c:pt idx="0">
                  <c:v>44927</c:v>
                </c:pt>
                <c:pt idx="1">
                  <c:v>44927</c:v>
                </c:pt>
                <c:pt idx="2">
                  <c:v>44927</c:v>
                </c:pt>
                <c:pt idx="3">
                  <c:v>44927</c:v>
                </c:pt>
                <c:pt idx="4">
                  <c:v>44927</c:v>
                </c:pt>
                <c:pt idx="5">
                  <c:v>44927</c:v>
                </c:pt>
                <c:pt idx="6">
                  <c:v>44927</c:v>
                </c:pt>
                <c:pt idx="7">
                  <c:v>44927</c:v>
                </c:pt>
                <c:pt idx="8">
                  <c:v>44927</c:v>
                </c:pt>
                <c:pt idx="9">
                  <c:v>44927</c:v>
                </c:pt>
                <c:pt idx="10">
                  <c:v>44927</c:v>
                </c:pt>
                <c:pt idx="11">
                  <c:v>44927</c:v>
                </c:pt>
                <c:pt idx="12">
                  <c:v>44927</c:v>
                </c:pt>
                <c:pt idx="13">
                  <c:v>44927</c:v>
                </c:pt>
                <c:pt idx="14">
                  <c:v>44927</c:v>
                </c:pt>
                <c:pt idx="15">
                  <c:v>44927</c:v>
                </c:pt>
                <c:pt idx="16">
                  <c:v>44927</c:v>
                </c:pt>
                <c:pt idx="17">
                  <c:v>44927</c:v>
                </c:pt>
                <c:pt idx="18">
                  <c:v>44927</c:v>
                </c:pt>
                <c:pt idx="19">
                  <c:v>44927</c:v>
                </c:pt>
                <c:pt idx="20">
                  <c:v>44927</c:v>
                </c:pt>
                <c:pt idx="21">
                  <c:v>44927</c:v>
                </c:pt>
                <c:pt idx="22">
                  <c:v>44927</c:v>
                </c:pt>
                <c:pt idx="23">
                  <c:v>44927</c:v>
                </c:pt>
                <c:pt idx="24">
                  <c:v>44928</c:v>
                </c:pt>
                <c:pt idx="25">
                  <c:v>44928</c:v>
                </c:pt>
                <c:pt idx="26">
                  <c:v>44928</c:v>
                </c:pt>
                <c:pt idx="27">
                  <c:v>44928</c:v>
                </c:pt>
                <c:pt idx="28">
                  <c:v>44928</c:v>
                </c:pt>
                <c:pt idx="29">
                  <c:v>44928</c:v>
                </c:pt>
                <c:pt idx="30">
                  <c:v>44928</c:v>
                </c:pt>
                <c:pt idx="31">
                  <c:v>44928</c:v>
                </c:pt>
                <c:pt idx="32">
                  <c:v>44928</c:v>
                </c:pt>
                <c:pt idx="33">
                  <c:v>44928</c:v>
                </c:pt>
                <c:pt idx="34">
                  <c:v>44928</c:v>
                </c:pt>
                <c:pt idx="35">
                  <c:v>44928</c:v>
                </c:pt>
                <c:pt idx="36">
                  <c:v>44928</c:v>
                </c:pt>
                <c:pt idx="37">
                  <c:v>44928</c:v>
                </c:pt>
                <c:pt idx="38">
                  <c:v>44928</c:v>
                </c:pt>
                <c:pt idx="39">
                  <c:v>44928</c:v>
                </c:pt>
                <c:pt idx="40">
                  <c:v>44928</c:v>
                </c:pt>
                <c:pt idx="41">
                  <c:v>44928</c:v>
                </c:pt>
                <c:pt idx="42">
                  <c:v>44928</c:v>
                </c:pt>
                <c:pt idx="43">
                  <c:v>44928</c:v>
                </c:pt>
                <c:pt idx="44">
                  <c:v>44928</c:v>
                </c:pt>
                <c:pt idx="45">
                  <c:v>44928</c:v>
                </c:pt>
                <c:pt idx="46">
                  <c:v>44928</c:v>
                </c:pt>
                <c:pt idx="47">
                  <c:v>44928</c:v>
                </c:pt>
                <c:pt idx="48">
                  <c:v>44929</c:v>
                </c:pt>
                <c:pt idx="49">
                  <c:v>44929</c:v>
                </c:pt>
                <c:pt idx="50">
                  <c:v>44929</c:v>
                </c:pt>
                <c:pt idx="51">
                  <c:v>44929</c:v>
                </c:pt>
                <c:pt idx="52">
                  <c:v>44929</c:v>
                </c:pt>
                <c:pt idx="53">
                  <c:v>44929</c:v>
                </c:pt>
                <c:pt idx="54">
                  <c:v>44929</c:v>
                </c:pt>
                <c:pt idx="55">
                  <c:v>44929</c:v>
                </c:pt>
                <c:pt idx="56">
                  <c:v>44929</c:v>
                </c:pt>
                <c:pt idx="57">
                  <c:v>44929</c:v>
                </c:pt>
                <c:pt idx="58">
                  <c:v>44929</c:v>
                </c:pt>
                <c:pt idx="59">
                  <c:v>44929</c:v>
                </c:pt>
                <c:pt idx="60">
                  <c:v>44929</c:v>
                </c:pt>
                <c:pt idx="61">
                  <c:v>44929</c:v>
                </c:pt>
                <c:pt idx="62">
                  <c:v>44929</c:v>
                </c:pt>
                <c:pt idx="63">
                  <c:v>44929</c:v>
                </c:pt>
                <c:pt idx="64">
                  <c:v>44929</c:v>
                </c:pt>
                <c:pt idx="65">
                  <c:v>44929</c:v>
                </c:pt>
                <c:pt idx="66">
                  <c:v>44929</c:v>
                </c:pt>
                <c:pt idx="67">
                  <c:v>44929</c:v>
                </c:pt>
                <c:pt idx="68">
                  <c:v>44929</c:v>
                </c:pt>
                <c:pt idx="69">
                  <c:v>44929</c:v>
                </c:pt>
                <c:pt idx="70">
                  <c:v>44929</c:v>
                </c:pt>
                <c:pt idx="71">
                  <c:v>44929</c:v>
                </c:pt>
                <c:pt idx="72">
                  <c:v>44930</c:v>
                </c:pt>
                <c:pt idx="73">
                  <c:v>44930</c:v>
                </c:pt>
                <c:pt idx="74">
                  <c:v>44930</c:v>
                </c:pt>
                <c:pt idx="75">
                  <c:v>44930</c:v>
                </c:pt>
                <c:pt idx="76">
                  <c:v>44930</c:v>
                </c:pt>
                <c:pt idx="77">
                  <c:v>44930</c:v>
                </c:pt>
                <c:pt idx="78">
                  <c:v>44930</c:v>
                </c:pt>
                <c:pt idx="79">
                  <c:v>44930</c:v>
                </c:pt>
                <c:pt idx="80">
                  <c:v>44930</c:v>
                </c:pt>
                <c:pt idx="81">
                  <c:v>44930</c:v>
                </c:pt>
                <c:pt idx="82">
                  <c:v>44930</c:v>
                </c:pt>
                <c:pt idx="83">
                  <c:v>44930</c:v>
                </c:pt>
                <c:pt idx="84">
                  <c:v>44930</c:v>
                </c:pt>
                <c:pt idx="85">
                  <c:v>44930</c:v>
                </c:pt>
                <c:pt idx="86">
                  <c:v>44930</c:v>
                </c:pt>
                <c:pt idx="87">
                  <c:v>44930</c:v>
                </c:pt>
                <c:pt idx="88">
                  <c:v>44930</c:v>
                </c:pt>
                <c:pt idx="89">
                  <c:v>44930</c:v>
                </c:pt>
                <c:pt idx="90">
                  <c:v>44930</c:v>
                </c:pt>
                <c:pt idx="91">
                  <c:v>44930</c:v>
                </c:pt>
                <c:pt idx="92">
                  <c:v>44930</c:v>
                </c:pt>
                <c:pt idx="93">
                  <c:v>44930</c:v>
                </c:pt>
                <c:pt idx="94">
                  <c:v>44930</c:v>
                </c:pt>
                <c:pt idx="95">
                  <c:v>44930</c:v>
                </c:pt>
                <c:pt idx="96">
                  <c:v>44931</c:v>
                </c:pt>
                <c:pt idx="97">
                  <c:v>44931</c:v>
                </c:pt>
                <c:pt idx="98">
                  <c:v>44931</c:v>
                </c:pt>
                <c:pt idx="99">
                  <c:v>44931</c:v>
                </c:pt>
                <c:pt idx="100">
                  <c:v>44931</c:v>
                </c:pt>
                <c:pt idx="101">
                  <c:v>44931</c:v>
                </c:pt>
                <c:pt idx="102">
                  <c:v>44931</c:v>
                </c:pt>
                <c:pt idx="103">
                  <c:v>44931</c:v>
                </c:pt>
                <c:pt idx="104">
                  <c:v>44931</c:v>
                </c:pt>
                <c:pt idx="105">
                  <c:v>44931</c:v>
                </c:pt>
                <c:pt idx="106">
                  <c:v>44931</c:v>
                </c:pt>
                <c:pt idx="107">
                  <c:v>44931</c:v>
                </c:pt>
                <c:pt idx="108">
                  <c:v>44931</c:v>
                </c:pt>
                <c:pt idx="109">
                  <c:v>44931</c:v>
                </c:pt>
                <c:pt idx="110">
                  <c:v>44931</c:v>
                </c:pt>
                <c:pt idx="111">
                  <c:v>44931</c:v>
                </c:pt>
                <c:pt idx="112">
                  <c:v>44931</c:v>
                </c:pt>
                <c:pt idx="113">
                  <c:v>44931</c:v>
                </c:pt>
                <c:pt idx="114">
                  <c:v>44931</c:v>
                </c:pt>
                <c:pt idx="115">
                  <c:v>44931</c:v>
                </c:pt>
                <c:pt idx="116">
                  <c:v>44931</c:v>
                </c:pt>
                <c:pt idx="117">
                  <c:v>44931</c:v>
                </c:pt>
                <c:pt idx="118">
                  <c:v>44931</c:v>
                </c:pt>
                <c:pt idx="119">
                  <c:v>44931</c:v>
                </c:pt>
                <c:pt idx="120">
                  <c:v>44932</c:v>
                </c:pt>
                <c:pt idx="121">
                  <c:v>44932</c:v>
                </c:pt>
                <c:pt idx="122">
                  <c:v>44932</c:v>
                </c:pt>
                <c:pt idx="123">
                  <c:v>44932</c:v>
                </c:pt>
                <c:pt idx="124">
                  <c:v>44932</c:v>
                </c:pt>
                <c:pt idx="125">
                  <c:v>44932</c:v>
                </c:pt>
                <c:pt idx="126">
                  <c:v>44932</c:v>
                </c:pt>
                <c:pt idx="127">
                  <c:v>44932</c:v>
                </c:pt>
                <c:pt idx="128">
                  <c:v>44932</c:v>
                </c:pt>
                <c:pt idx="129">
                  <c:v>44932</c:v>
                </c:pt>
                <c:pt idx="130">
                  <c:v>44932</c:v>
                </c:pt>
                <c:pt idx="131">
                  <c:v>44932</c:v>
                </c:pt>
                <c:pt idx="132">
                  <c:v>44932</c:v>
                </c:pt>
                <c:pt idx="133">
                  <c:v>44932</c:v>
                </c:pt>
                <c:pt idx="134">
                  <c:v>44932</c:v>
                </c:pt>
                <c:pt idx="135">
                  <c:v>44932</c:v>
                </c:pt>
                <c:pt idx="136">
                  <c:v>44932</c:v>
                </c:pt>
                <c:pt idx="137">
                  <c:v>44932</c:v>
                </c:pt>
                <c:pt idx="138">
                  <c:v>44932</c:v>
                </c:pt>
                <c:pt idx="139">
                  <c:v>44932</c:v>
                </c:pt>
                <c:pt idx="140">
                  <c:v>44932</c:v>
                </c:pt>
                <c:pt idx="141">
                  <c:v>44932</c:v>
                </c:pt>
                <c:pt idx="142">
                  <c:v>44932</c:v>
                </c:pt>
                <c:pt idx="143">
                  <c:v>44932</c:v>
                </c:pt>
                <c:pt idx="144">
                  <c:v>44933</c:v>
                </c:pt>
                <c:pt idx="145">
                  <c:v>44933</c:v>
                </c:pt>
                <c:pt idx="146">
                  <c:v>44933</c:v>
                </c:pt>
                <c:pt idx="147">
                  <c:v>44933</c:v>
                </c:pt>
                <c:pt idx="148">
                  <c:v>44933</c:v>
                </c:pt>
                <c:pt idx="149">
                  <c:v>44933</c:v>
                </c:pt>
                <c:pt idx="150">
                  <c:v>44933</c:v>
                </c:pt>
                <c:pt idx="151">
                  <c:v>44933</c:v>
                </c:pt>
                <c:pt idx="152">
                  <c:v>44933</c:v>
                </c:pt>
                <c:pt idx="153">
                  <c:v>44933</c:v>
                </c:pt>
                <c:pt idx="154">
                  <c:v>44933</c:v>
                </c:pt>
                <c:pt idx="155">
                  <c:v>44933</c:v>
                </c:pt>
                <c:pt idx="156">
                  <c:v>44933</c:v>
                </c:pt>
                <c:pt idx="157">
                  <c:v>44933</c:v>
                </c:pt>
                <c:pt idx="158">
                  <c:v>44933</c:v>
                </c:pt>
                <c:pt idx="159">
                  <c:v>44933</c:v>
                </c:pt>
                <c:pt idx="160">
                  <c:v>44933</c:v>
                </c:pt>
                <c:pt idx="161">
                  <c:v>44933</c:v>
                </c:pt>
                <c:pt idx="162">
                  <c:v>44933</c:v>
                </c:pt>
                <c:pt idx="163">
                  <c:v>44933</c:v>
                </c:pt>
                <c:pt idx="164">
                  <c:v>44933</c:v>
                </c:pt>
                <c:pt idx="165">
                  <c:v>44933</c:v>
                </c:pt>
                <c:pt idx="166">
                  <c:v>44933</c:v>
                </c:pt>
                <c:pt idx="167">
                  <c:v>44933</c:v>
                </c:pt>
                <c:pt idx="168">
                  <c:v>44934</c:v>
                </c:pt>
                <c:pt idx="169">
                  <c:v>44934</c:v>
                </c:pt>
                <c:pt idx="170">
                  <c:v>44934</c:v>
                </c:pt>
                <c:pt idx="171">
                  <c:v>44934</c:v>
                </c:pt>
                <c:pt idx="172">
                  <c:v>44934</c:v>
                </c:pt>
                <c:pt idx="173">
                  <c:v>44934</c:v>
                </c:pt>
                <c:pt idx="174">
                  <c:v>44934</c:v>
                </c:pt>
                <c:pt idx="175">
                  <c:v>44934</c:v>
                </c:pt>
                <c:pt idx="176">
                  <c:v>44934</c:v>
                </c:pt>
                <c:pt idx="177">
                  <c:v>44934</c:v>
                </c:pt>
                <c:pt idx="178">
                  <c:v>44934</c:v>
                </c:pt>
                <c:pt idx="179">
                  <c:v>44934</c:v>
                </c:pt>
                <c:pt idx="180">
                  <c:v>44934</c:v>
                </c:pt>
                <c:pt idx="181">
                  <c:v>44934</c:v>
                </c:pt>
                <c:pt idx="182">
                  <c:v>44934</c:v>
                </c:pt>
                <c:pt idx="183">
                  <c:v>44934</c:v>
                </c:pt>
                <c:pt idx="184">
                  <c:v>44934</c:v>
                </c:pt>
                <c:pt idx="185">
                  <c:v>44934</c:v>
                </c:pt>
                <c:pt idx="186">
                  <c:v>44934</c:v>
                </c:pt>
                <c:pt idx="187">
                  <c:v>44934</c:v>
                </c:pt>
                <c:pt idx="188">
                  <c:v>44934</c:v>
                </c:pt>
                <c:pt idx="189">
                  <c:v>44934</c:v>
                </c:pt>
                <c:pt idx="190">
                  <c:v>44934</c:v>
                </c:pt>
                <c:pt idx="191">
                  <c:v>44934</c:v>
                </c:pt>
                <c:pt idx="192">
                  <c:v>44935</c:v>
                </c:pt>
                <c:pt idx="193">
                  <c:v>44935</c:v>
                </c:pt>
                <c:pt idx="194">
                  <c:v>44935</c:v>
                </c:pt>
                <c:pt idx="195">
                  <c:v>44935</c:v>
                </c:pt>
                <c:pt idx="196">
                  <c:v>44935</c:v>
                </c:pt>
                <c:pt idx="197">
                  <c:v>44935</c:v>
                </c:pt>
                <c:pt idx="198">
                  <c:v>44935</c:v>
                </c:pt>
                <c:pt idx="199">
                  <c:v>44935</c:v>
                </c:pt>
                <c:pt idx="200">
                  <c:v>44935</c:v>
                </c:pt>
                <c:pt idx="201">
                  <c:v>44935</c:v>
                </c:pt>
                <c:pt idx="202">
                  <c:v>44935</c:v>
                </c:pt>
                <c:pt idx="203">
                  <c:v>44935</c:v>
                </c:pt>
                <c:pt idx="204">
                  <c:v>44935</c:v>
                </c:pt>
                <c:pt idx="205">
                  <c:v>44935</c:v>
                </c:pt>
                <c:pt idx="206">
                  <c:v>44935</c:v>
                </c:pt>
                <c:pt idx="207">
                  <c:v>44935</c:v>
                </c:pt>
                <c:pt idx="208">
                  <c:v>44935</c:v>
                </c:pt>
                <c:pt idx="209">
                  <c:v>44935</c:v>
                </c:pt>
                <c:pt idx="210">
                  <c:v>44935</c:v>
                </c:pt>
                <c:pt idx="211">
                  <c:v>44935</c:v>
                </c:pt>
                <c:pt idx="212">
                  <c:v>44935</c:v>
                </c:pt>
                <c:pt idx="213">
                  <c:v>44935</c:v>
                </c:pt>
                <c:pt idx="214">
                  <c:v>44935</c:v>
                </c:pt>
                <c:pt idx="215">
                  <c:v>44935</c:v>
                </c:pt>
                <c:pt idx="216">
                  <c:v>44936</c:v>
                </c:pt>
                <c:pt idx="217">
                  <c:v>44936</c:v>
                </c:pt>
                <c:pt idx="218">
                  <c:v>44936</c:v>
                </c:pt>
                <c:pt idx="219">
                  <c:v>44936</c:v>
                </c:pt>
                <c:pt idx="220">
                  <c:v>44936</c:v>
                </c:pt>
                <c:pt idx="221">
                  <c:v>44936</c:v>
                </c:pt>
                <c:pt idx="222">
                  <c:v>44936</c:v>
                </c:pt>
                <c:pt idx="223">
                  <c:v>44936</c:v>
                </c:pt>
                <c:pt idx="224">
                  <c:v>44936</c:v>
                </c:pt>
                <c:pt idx="225">
                  <c:v>44936</c:v>
                </c:pt>
                <c:pt idx="226">
                  <c:v>44936</c:v>
                </c:pt>
                <c:pt idx="227">
                  <c:v>44936</c:v>
                </c:pt>
                <c:pt idx="228">
                  <c:v>44936</c:v>
                </c:pt>
                <c:pt idx="229">
                  <c:v>44936</c:v>
                </c:pt>
                <c:pt idx="230">
                  <c:v>44936</c:v>
                </c:pt>
                <c:pt idx="231">
                  <c:v>44936</c:v>
                </c:pt>
                <c:pt idx="232">
                  <c:v>44936</c:v>
                </c:pt>
                <c:pt idx="233">
                  <c:v>44936</c:v>
                </c:pt>
                <c:pt idx="234">
                  <c:v>44936</c:v>
                </c:pt>
                <c:pt idx="235">
                  <c:v>44936</c:v>
                </c:pt>
                <c:pt idx="236">
                  <c:v>44936</c:v>
                </c:pt>
                <c:pt idx="237">
                  <c:v>44936</c:v>
                </c:pt>
                <c:pt idx="238">
                  <c:v>44936</c:v>
                </c:pt>
                <c:pt idx="239">
                  <c:v>44936</c:v>
                </c:pt>
                <c:pt idx="240">
                  <c:v>44937</c:v>
                </c:pt>
                <c:pt idx="241">
                  <c:v>44937</c:v>
                </c:pt>
                <c:pt idx="242">
                  <c:v>44937</c:v>
                </c:pt>
                <c:pt idx="243">
                  <c:v>44937</c:v>
                </c:pt>
                <c:pt idx="244">
                  <c:v>44937</c:v>
                </c:pt>
                <c:pt idx="245">
                  <c:v>44937</c:v>
                </c:pt>
                <c:pt idx="246">
                  <c:v>44937</c:v>
                </c:pt>
                <c:pt idx="247">
                  <c:v>44937</c:v>
                </c:pt>
                <c:pt idx="248">
                  <c:v>44937</c:v>
                </c:pt>
                <c:pt idx="249">
                  <c:v>44937</c:v>
                </c:pt>
                <c:pt idx="250">
                  <c:v>44937</c:v>
                </c:pt>
                <c:pt idx="251">
                  <c:v>44937</c:v>
                </c:pt>
                <c:pt idx="252">
                  <c:v>44937</c:v>
                </c:pt>
                <c:pt idx="253">
                  <c:v>44937</c:v>
                </c:pt>
                <c:pt idx="254">
                  <c:v>44937</c:v>
                </c:pt>
                <c:pt idx="255">
                  <c:v>44937</c:v>
                </c:pt>
                <c:pt idx="256">
                  <c:v>44937</c:v>
                </c:pt>
                <c:pt idx="257">
                  <c:v>44937</c:v>
                </c:pt>
                <c:pt idx="258">
                  <c:v>44937</c:v>
                </c:pt>
                <c:pt idx="259">
                  <c:v>44937</c:v>
                </c:pt>
                <c:pt idx="260">
                  <c:v>44937</c:v>
                </c:pt>
                <c:pt idx="261">
                  <c:v>44937</c:v>
                </c:pt>
                <c:pt idx="262">
                  <c:v>44937</c:v>
                </c:pt>
                <c:pt idx="263">
                  <c:v>44937</c:v>
                </c:pt>
                <c:pt idx="264">
                  <c:v>44938</c:v>
                </c:pt>
                <c:pt idx="265">
                  <c:v>44938</c:v>
                </c:pt>
                <c:pt idx="266">
                  <c:v>44938</c:v>
                </c:pt>
                <c:pt idx="267">
                  <c:v>44938</c:v>
                </c:pt>
                <c:pt idx="268">
                  <c:v>44938</c:v>
                </c:pt>
                <c:pt idx="269">
                  <c:v>44938</c:v>
                </c:pt>
                <c:pt idx="270">
                  <c:v>44938</c:v>
                </c:pt>
                <c:pt idx="271">
                  <c:v>44938</c:v>
                </c:pt>
                <c:pt idx="272">
                  <c:v>44938</c:v>
                </c:pt>
                <c:pt idx="273">
                  <c:v>44938</c:v>
                </c:pt>
                <c:pt idx="274">
                  <c:v>44938</c:v>
                </c:pt>
                <c:pt idx="275">
                  <c:v>44938</c:v>
                </c:pt>
                <c:pt idx="276">
                  <c:v>44938</c:v>
                </c:pt>
                <c:pt idx="277">
                  <c:v>44938</c:v>
                </c:pt>
                <c:pt idx="278">
                  <c:v>44938</c:v>
                </c:pt>
                <c:pt idx="279">
                  <c:v>44938</c:v>
                </c:pt>
                <c:pt idx="280">
                  <c:v>44938</c:v>
                </c:pt>
                <c:pt idx="281">
                  <c:v>44938</c:v>
                </c:pt>
                <c:pt idx="282">
                  <c:v>44938</c:v>
                </c:pt>
                <c:pt idx="283">
                  <c:v>44938</c:v>
                </c:pt>
                <c:pt idx="284">
                  <c:v>44938</c:v>
                </c:pt>
                <c:pt idx="285">
                  <c:v>44938</c:v>
                </c:pt>
                <c:pt idx="286">
                  <c:v>44938</c:v>
                </c:pt>
                <c:pt idx="287">
                  <c:v>44938</c:v>
                </c:pt>
                <c:pt idx="288">
                  <c:v>44939</c:v>
                </c:pt>
                <c:pt idx="289">
                  <c:v>44939</c:v>
                </c:pt>
                <c:pt idx="290">
                  <c:v>44939</c:v>
                </c:pt>
                <c:pt idx="291">
                  <c:v>44939</c:v>
                </c:pt>
                <c:pt idx="292">
                  <c:v>44939</c:v>
                </c:pt>
                <c:pt idx="293">
                  <c:v>44939</c:v>
                </c:pt>
                <c:pt idx="294">
                  <c:v>44939</c:v>
                </c:pt>
                <c:pt idx="295">
                  <c:v>44939</c:v>
                </c:pt>
                <c:pt idx="296">
                  <c:v>44939</c:v>
                </c:pt>
                <c:pt idx="297">
                  <c:v>44939</c:v>
                </c:pt>
                <c:pt idx="298">
                  <c:v>44939</c:v>
                </c:pt>
                <c:pt idx="299">
                  <c:v>44939</c:v>
                </c:pt>
                <c:pt idx="300">
                  <c:v>44939</c:v>
                </c:pt>
                <c:pt idx="301">
                  <c:v>44939</c:v>
                </c:pt>
                <c:pt idx="302">
                  <c:v>44939</c:v>
                </c:pt>
                <c:pt idx="303">
                  <c:v>44939</c:v>
                </c:pt>
                <c:pt idx="304">
                  <c:v>44939</c:v>
                </c:pt>
                <c:pt idx="305">
                  <c:v>44939</c:v>
                </c:pt>
                <c:pt idx="306">
                  <c:v>44939</c:v>
                </c:pt>
                <c:pt idx="307">
                  <c:v>44939</c:v>
                </c:pt>
                <c:pt idx="308">
                  <c:v>44939</c:v>
                </c:pt>
                <c:pt idx="309">
                  <c:v>44939</c:v>
                </c:pt>
                <c:pt idx="310">
                  <c:v>44939</c:v>
                </c:pt>
                <c:pt idx="311">
                  <c:v>44939</c:v>
                </c:pt>
                <c:pt idx="312">
                  <c:v>44940</c:v>
                </c:pt>
                <c:pt idx="313">
                  <c:v>44940</c:v>
                </c:pt>
                <c:pt idx="314">
                  <c:v>44940</c:v>
                </c:pt>
                <c:pt idx="315">
                  <c:v>44940</c:v>
                </c:pt>
                <c:pt idx="316">
                  <c:v>44940</c:v>
                </c:pt>
                <c:pt idx="317">
                  <c:v>44940</c:v>
                </c:pt>
                <c:pt idx="318">
                  <c:v>44940</c:v>
                </c:pt>
                <c:pt idx="319">
                  <c:v>44940</c:v>
                </c:pt>
                <c:pt idx="320">
                  <c:v>44940</c:v>
                </c:pt>
                <c:pt idx="321">
                  <c:v>44940</c:v>
                </c:pt>
                <c:pt idx="322">
                  <c:v>44940</c:v>
                </c:pt>
                <c:pt idx="323">
                  <c:v>44940</c:v>
                </c:pt>
                <c:pt idx="324">
                  <c:v>44940</c:v>
                </c:pt>
                <c:pt idx="325">
                  <c:v>44940</c:v>
                </c:pt>
                <c:pt idx="326">
                  <c:v>44940</c:v>
                </c:pt>
                <c:pt idx="327">
                  <c:v>44940</c:v>
                </c:pt>
                <c:pt idx="328">
                  <c:v>44940</c:v>
                </c:pt>
                <c:pt idx="329">
                  <c:v>44940</c:v>
                </c:pt>
                <c:pt idx="330">
                  <c:v>44940</c:v>
                </c:pt>
                <c:pt idx="331">
                  <c:v>44940</c:v>
                </c:pt>
                <c:pt idx="332">
                  <c:v>44940</c:v>
                </c:pt>
                <c:pt idx="333">
                  <c:v>44940</c:v>
                </c:pt>
                <c:pt idx="334">
                  <c:v>44940</c:v>
                </c:pt>
                <c:pt idx="335">
                  <c:v>44940</c:v>
                </c:pt>
                <c:pt idx="336">
                  <c:v>44941</c:v>
                </c:pt>
                <c:pt idx="337">
                  <c:v>44941</c:v>
                </c:pt>
                <c:pt idx="338">
                  <c:v>44941</c:v>
                </c:pt>
                <c:pt idx="339">
                  <c:v>44941</c:v>
                </c:pt>
                <c:pt idx="340">
                  <c:v>44941</c:v>
                </c:pt>
                <c:pt idx="341">
                  <c:v>44941</c:v>
                </c:pt>
                <c:pt idx="342">
                  <c:v>44941</c:v>
                </c:pt>
                <c:pt idx="343">
                  <c:v>44941</c:v>
                </c:pt>
                <c:pt idx="344">
                  <c:v>44941</c:v>
                </c:pt>
                <c:pt idx="345">
                  <c:v>44941</c:v>
                </c:pt>
                <c:pt idx="346">
                  <c:v>44941</c:v>
                </c:pt>
                <c:pt idx="347">
                  <c:v>44941</c:v>
                </c:pt>
                <c:pt idx="348">
                  <c:v>44941</c:v>
                </c:pt>
                <c:pt idx="349">
                  <c:v>44941</c:v>
                </c:pt>
                <c:pt idx="350">
                  <c:v>44941</c:v>
                </c:pt>
                <c:pt idx="351">
                  <c:v>44941</c:v>
                </c:pt>
                <c:pt idx="352">
                  <c:v>44941</c:v>
                </c:pt>
                <c:pt idx="353">
                  <c:v>44941</c:v>
                </c:pt>
                <c:pt idx="354">
                  <c:v>44941</c:v>
                </c:pt>
                <c:pt idx="355">
                  <c:v>44941</c:v>
                </c:pt>
                <c:pt idx="356">
                  <c:v>44941</c:v>
                </c:pt>
                <c:pt idx="357">
                  <c:v>44941</c:v>
                </c:pt>
                <c:pt idx="358">
                  <c:v>44941</c:v>
                </c:pt>
                <c:pt idx="359">
                  <c:v>44941</c:v>
                </c:pt>
                <c:pt idx="360">
                  <c:v>44942</c:v>
                </c:pt>
                <c:pt idx="361">
                  <c:v>44942</c:v>
                </c:pt>
                <c:pt idx="362">
                  <c:v>44942</c:v>
                </c:pt>
                <c:pt idx="363">
                  <c:v>44942</c:v>
                </c:pt>
                <c:pt idx="364">
                  <c:v>44942</c:v>
                </c:pt>
                <c:pt idx="365">
                  <c:v>44942</c:v>
                </c:pt>
                <c:pt idx="366">
                  <c:v>44942</c:v>
                </c:pt>
                <c:pt idx="367">
                  <c:v>44942</c:v>
                </c:pt>
                <c:pt idx="368">
                  <c:v>44942</c:v>
                </c:pt>
                <c:pt idx="369">
                  <c:v>44942</c:v>
                </c:pt>
                <c:pt idx="370">
                  <c:v>44942</c:v>
                </c:pt>
                <c:pt idx="371">
                  <c:v>44942</c:v>
                </c:pt>
                <c:pt idx="372">
                  <c:v>44942</c:v>
                </c:pt>
                <c:pt idx="373">
                  <c:v>44942</c:v>
                </c:pt>
                <c:pt idx="374">
                  <c:v>44942</c:v>
                </c:pt>
                <c:pt idx="375">
                  <c:v>44942</c:v>
                </c:pt>
                <c:pt idx="376">
                  <c:v>44942</c:v>
                </c:pt>
                <c:pt idx="377">
                  <c:v>44942</c:v>
                </c:pt>
                <c:pt idx="378">
                  <c:v>44942</c:v>
                </c:pt>
                <c:pt idx="379">
                  <c:v>44942</c:v>
                </c:pt>
                <c:pt idx="380">
                  <c:v>44942</c:v>
                </c:pt>
                <c:pt idx="381">
                  <c:v>44942</c:v>
                </c:pt>
                <c:pt idx="382">
                  <c:v>44942</c:v>
                </c:pt>
                <c:pt idx="383">
                  <c:v>44942</c:v>
                </c:pt>
                <c:pt idx="384">
                  <c:v>44943</c:v>
                </c:pt>
                <c:pt idx="385">
                  <c:v>44943</c:v>
                </c:pt>
                <c:pt idx="386">
                  <c:v>44943</c:v>
                </c:pt>
                <c:pt idx="387">
                  <c:v>44943</c:v>
                </c:pt>
                <c:pt idx="388">
                  <c:v>44943</c:v>
                </c:pt>
                <c:pt idx="389">
                  <c:v>44943</c:v>
                </c:pt>
                <c:pt idx="390">
                  <c:v>44943</c:v>
                </c:pt>
                <c:pt idx="391">
                  <c:v>44943</c:v>
                </c:pt>
                <c:pt idx="392">
                  <c:v>44943</c:v>
                </c:pt>
                <c:pt idx="393">
                  <c:v>44943</c:v>
                </c:pt>
                <c:pt idx="394">
                  <c:v>44943</c:v>
                </c:pt>
                <c:pt idx="395">
                  <c:v>44943</c:v>
                </c:pt>
                <c:pt idx="396">
                  <c:v>44943</c:v>
                </c:pt>
                <c:pt idx="397">
                  <c:v>44943</c:v>
                </c:pt>
                <c:pt idx="398">
                  <c:v>44943</c:v>
                </c:pt>
                <c:pt idx="399">
                  <c:v>44943</c:v>
                </c:pt>
                <c:pt idx="400">
                  <c:v>44943</c:v>
                </c:pt>
                <c:pt idx="401">
                  <c:v>44943</c:v>
                </c:pt>
                <c:pt idx="402">
                  <c:v>44943</c:v>
                </c:pt>
                <c:pt idx="403">
                  <c:v>44943</c:v>
                </c:pt>
                <c:pt idx="404">
                  <c:v>44943</c:v>
                </c:pt>
                <c:pt idx="405">
                  <c:v>44943</c:v>
                </c:pt>
                <c:pt idx="406">
                  <c:v>44943</c:v>
                </c:pt>
                <c:pt idx="407">
                  <c:v>44943</c:v>
                </c:pt>
                <c:pt idx="408">
                  <c:v>44944</c:v>
                </c:pt>
                <c:pt idx="409">
                  <c:v>44944</c:v>
                </c:pt>
                <c:pt idx="410">
                  <c:v>44944</c:v>
                </c:pt>
                <c:pt idx="411">
                  <c:v>44944</c:v>
                </c:pt>
                <c:pt idx="412">
                  <c:v>44944</c:v>
                </c:pt>
                <c:pt idx="413">
                  <c:v>44944</c:v>
                </c:pt>
                <c:pt idx="414">
                  <c:v>44944</c:v>
                </c:pt>
                <c:pt idx="415">
                  <c:v>44944</c:v>
                </c:pt>
                <c:pt idx="416">
                  <c:v>44944</c:v>
                </c:pt>
                <c:pt idx="417">
                  <c:v>44944</c:v>
                </c:pt>
                <c:pt idx="418">
                  <c:v>44944</c:v>
                </c:pt>
                <c:pt idx="419">
                  <c:v>44944</c:v>
                </c:pt>
                <c:pt idx="420">
                  <c:v>44944</c:v>
                </c:pt>
                <c:pt idx="421">
                  <c:v>44944</c:v>
                </c:pt>
                <c:pt idx="422">
                  <c:v>44944</c:v>
                </c:pt>
                <c:pt idx="423">
                  <c:v>44944</c:v>
                </c:pt>
                <c:pt idx="424">
                  <c:v>44944</c:v>
                </c:pt>
                <c:pt idx="425">
                  <c:v>44944</c:v>
                </c:pt>
                <c:pt idx="426">
                  <c:v>44944</c:v>
                </c:pt>
                <c:pt idx="427">
                  <c:v>44944</c:v>
                </c:pt>
                <c:pt idx="428">
                  <c:v>44944</c:v>
                </c:pt>
                <c:pt idx="429">
                  <c:v>44944</c:v>
                </c:pt>
                <c:pt idx="430">
                  <c:v>44944</c:v>
                </c:pt>
                <c:pt idx="431">
                  <c:v>44944</c:v>
                </c:pt>
                <c:pt idx="432">
                  <c:v>44945</c:v>
                </c:pt>
                <c:pt idx="433">
                  <c:v>44945</c:v>
                </c:pt>
                <c:pt idx="434">
                  <c:v>44945</c:v>
                </c:pt>
                <c:pt idx="435">
                  <c:v>44945</c:v>
                </c:pt>
                <c:pt idx="436">
                  <c:v>44945</c:v>
                </c:pt>
                <c:pt idx="437">
                  <c:v>44945</c:v>
                </c:pt>
                <c:pt idx="438">
                  <c:v>44945</c:v>
                </c:pt>
                <c:pt idx="439">
                  <c:v>44945</c:v>
                </c:pt>
                <c:pt idx="440">
                  <c:v>44945</c:v>
                </c:pt>
                <c:pt idx="441">
                  <c:v>44945</c:v>
                </c:pt>
                <c:pt idx="442">
                  <c:v>44945</c:v>
                </c:pt>
                <c:pt idx="443">
                  <c:v>44945</c:v>
                </c:pt>
                <c:pt idx="444">
                  <c:v>44945</c:v>
                </c:pt>
                <c:pt idx="445">
                  <c:v>44945</c:v>
                </c:pt>
                <c:pt idx="446">
                  <c:v>44945</c:v>
                </c:pt>
                <c:pt idx="447">
                  <c:v>44945</c:v>
                </c:pt>
                <c:pt idx="448">
                  <c:v>44945</c:v>
                </c:pt>
                <c:pt idx="449">
                  <c:v>44945</c:v>
                </c:pt>
                <c:pt idx="450">
                  <c:v>44945</c:v>
                </c:pt>
                <c:pt idx="451">
                  <c:v>44945</c:v>
                </c:pt>
                <c:pt idx="452">
                  <c:v>44945</c:v>
                </c:pt>
                <c:pt idx="453">
                  <c:v>44945</c:v>
                </c:pt>
                <c:pt idx="454">
                  <c:v>44945</c:v>
                </c:pt>
                <c:pt idx="455">
                  <c:v>44945</c:v>
                </c:pt>
                <c:pt idx="456">
                  <c:v>44946</c:v>
                </c:pt>
                <c:pt idx="457">
                  <c:v>44946</c:v>
                </c:pt>
                <c:pt idx="458">
                  <c:v>44946</c:v>
                </c:pt>
                <c:pt idx="459">
                  <c:v>44946</c:v>
                </c:pt>
                <c:pt idx="460">
                  <c:v>44946</c:v>
                </c:pt>
                <c:pt idx="461">
                  <c:v>44946</c:v>
                </c:pt>
                <c:pt idx="462">
                  <c:v>44946</c:v>
                </c:pt>
                <c:pt idx="463">
                  <c:v>44946</c:v>
                </c:pt>
                <c:pt idx="464">
                  <c:v>44946</c:v>
                </c:pt>
                <c:pt idx="465">
                  <c:v>44946</c:v>
                </c:pt>
                <c:pt idx="466">
                  <c:v>44946</c:v>
                </c:pt>
                <c:pt idx="467">
                  <c:v>44946</c:v>
                </c:pt>
                <c:pt idx="468">
                  <c:v>44946</c:v>
                </c:pt>
                <c:pt idx="469">
                  <c:v>44946</c:v>
                </c:pt>
                <c:pt idx="470">
                  <c:v>44946</c:v>
                </c:pt>
                <c:pt idx="471">
                  <c:v>44946</c:v>
                </c:pt>
                <c:pt idx="472">
                  <c:v>44946</c:v>
                </c:pt>
                <c:pt idx="473">
                  <c:v>44946</c:v>
                </c:pt>
                <c:pt idx="474">
                  <c:v>44946</c:v>
                </c:pt>
                <c:pt idx="475">
                  <c:v>44946</c:v>
                </c:pt>
                <c:pt idx="476">
                  <c:v>44946</c:v>
                </c:pt>
                <c:pt idx="477">
                  <c:v>44946</c:v>
                </c:pt>
                <c:pt idx="478">
                  <c:v>44946</c:v>
                </c:pt>
                <c:pt idx="479">
                  <c:v>44946</c:v>
                </c:pt>
                <c:pt idx="480">
                  <c:v>44947</c:v>
                </c:pt>
                <c:pt idx="481">
                  <c:v>44947</c:v>
                </c:pt>
                <c:pt idx="482">
                  <c:v>44947</c:v>
                </c:pt>
                <c:pt idx="483">
                  <c:v>44947</c:v>
                </c:pt>
                <c:pt idx="484">
                  <c:v>44947</c:v>
                </c:pt>
                <c:pt idx="485">
                  <c:v>44947</c:v>
                </c:pt>
                <c:pt idx="486">
                  <c:v>44947</c:v>
                </c:pt>
                <c:pt idx="487">
                  <c:v>44947</c:v>
                </c:pt>
                <c:pt idx="488">
                  <c:v>44947</c:v>
                </c:pt>
                <c:pt idx="489">
                  <c:v>44947</c:v>
                </c:pt>
                <c:pt idx="490">
                  <c:v>44947</c:v>
                </c:pt>
                <c:pt idx="491">
                  <c:v>44947</c:v>
                </c:pt>
                <c:pt idx="492">
                  <c:v>44947</c:v>
                </c:pt>
                <c:pt idx="493">
                  <c:v>44947</c:v>
                </c:pt>
                <c:pt idx="494">
                  <c:v>44947</c:v>
                </c:pt>
                <c:pt idx="495">
                  <c:v>44947</c:v>
                </c:pt>
                <c:pt idx="496">
                  <c:v>44947</c:v>
                </c:pt>
                <c:pt idx="497">
                  <c:v>44947</c:v>
                </c:pt>
                <c:pt idx="498">
                  <c:v>44947</c:v>
                </c:pt>
                <c:pt idx="499">
                  <c:v>44947</c:v>
                </c:pt>
                <c:pt idx="500">
                  <c:v>44947</c:v>
                </c:pt>
                <c:pt idx="501">
                  <c:v>44947</c:v>
                </c:pt>
                <c:pt idx="502">
                  <c:v>44947</c:v>
                </c:pt>
                <c:pt idx="503">
                  <c:v>44947</c:v>
                </c:pt>
                <c:pt idx="504">
                  <c:v>44948</c:v>
                </c:pt>
                <c:pt idx="505">
                  <c:v>44948</c:v>
                </c:pt>
                <c:pt idx="506">
                  <c:v>44948</c:v>
                </c:pt>
                <c:pt idx="507">
                  <c:v>44948</c:v>
                </c:pt>
                <c:pt idx="508">
                  <c:v>44948</c:v>
                </c:pt>
                <c:pt idx="509">
                  <c:v>44948</c:v>
                </c:pt>
                <c:pt idx="510">
                  <c:v>44948</c:v>
                </c:pt>
                <c:pt idx="511">
                  <c:v>44948</c:v>
                </c:pt>
                <c:pt idx="512">
                  <c:v>44948</c:v>
                </c:pt>
                <c:pt idx="513">
                  <c:v>44948</c:v>
                </c:pt>
                <c:pt idx="514">
                  <c:v>44948</c:v>
                </c:pt>
                <c:pt idx="515">
                  <c:v>44948</c:v>
                </c:pt>
                <c:pt idx="516">
                  <c:v>44948</c:v>
                </c:pt>
                <c:pt idx="517">
                  <c:v>44948</c:v>
                </c:pt>
                <c:pt idx="518">
                  <c:v>44948</c:v>
                </c:pt>
                <c:pt idx="519">
                  <c:v>44948</c:v>
                </c:pt>
                <c:pt idx="520">
                  <c:v>44948</c:v>
                </c:pt>
                <c:pt idx="521">
                  <c:v>44948</c:v>
                </c:pt>
                <c:pt idx="522">
                  <c:v>44948</c:v>
                </c:pt>
                <c:pt idx="523">
                  <c:v>44948</c:v>
                </c:pt>
                <c:pt idx="524">
                  <c:v>44948</c:v>
                </c:pt>
                <c:pt idx="525">
                  <c:v>44948</c:v>
                </c:pt>
                <c:pt idx="526">
                  <c:v>44948</c:v>
                </c:pt>
                <c:pt idx="527">
                  <c:v>44948</c:v>
                </c:pt>
                <c:pt idx="528">
                  <c:v>44949</c:v>
                </c:pt>
                <c:pt idx="529">
                  <c:v>44949</c:v>
                </c:pt>
                <c:pt idx="530">
                  <c:v>44949</c:v>
                </c:pt>
                <c:pt idx="531">
                  <c:v>44949</c:v>
                </c:pt>
                <c:pt idx="532">
                  <c:v>44949</c:v>
                </c:pt>
                <c:pt idx="533">
                  <c:v>44949</c:v>
                </c:pt>
                <c:pt idx="534">
                  <c:v>44949</c:v>
                </c:pt>
                <c:pt idx="535">
                  <c:v>44949</c:v>
                </c:pt>
                <c:pt idx="536">
                  <c:v>44949</c:v>
                </c:pt>
                <c:pt idx="537">
                  <c:v>44949</c:v>
                </c:pt>
                <c:pt idx="538">
                  <c:v>44949</c:v>
                </c:pt>
                <c:pt idx="539">
                  <c:v>44949</c:v>
                </c:pt>
                <c:pt idx="540">
                  <c:v>44949</c:v>
                </c:pt>
                <c:pt idx="541">
                  <c:v>44949</c:v>
                </c:pt>
                <c:pt idx="542">
                  <c:v>44949</c:v>
                </c:pt>
                <c:pt idx="543">
                  <c:v>44949</c:v>
                </c:pt>
                <c:pt idx="544">
                  <c:v>44949</c:v>
                </c:pt>
                <c:pt idx="545">
                  <c:v>44949</c:v>
                </c:pt>
                <c:pt idx="546">
                  <c:v>44949</c:v>
                </c:pt>
                <c:pt idx="547">
                  <c:v>44949</c:v>
                </c:pt>
                <c:pt idx="548">
                  <c:v>44949</c:v>
                </c:pt>
                <c:pt idx="549">
                  <c:v>44949</c:v>
                </c:pt>
                <c:pt idx="550">
                  <c:v>44949</c:v>
                </c:pt>
                <c:pt idx="551">
                  <c:v>44949</c:v>
                </c:pt>
                <c:pt idx="552">
                  <c:v>44950</c:v>
                </c:pt>
                <c:pt idx="553">
                  <c:v>44950</c:v>
                </c:pt>
                <c:pt idx="554">
                  <c:v>44950</c:v>
                </c:pt>
                <c:pt idx="555">
                  <c:v>44950</c:v>
                </c:pt>
                <c:pt idx="556">
                  <c:v>44950</c:v>
                </c:pt>
                <c:pt idx="557">
                  <c:v>44950</c:v>
                </c:pt>
                <c:pt idx="558">
                  <c:v>44950</c:v>
                </c:pt>
                <c:pt idx="559">
                  <c:v>44950</c:v>
                </c:pt>
                <c:pt idx="560">
                  <c:v>44950</c:v>
                </c:pt>
                <c:pt idx="561">
                  <c:v>44950</c:v>
                </c:pt>
                <c:pt idx="562">
                  <c:v>44950</c:v>
                </c:pt>
                <c:pt idx="563">
                  <c:v>44950</c:v>
                </c:pt>
                <c:pt idx="564">
                  <c:v>44950</c:v>
                </c:pt>
                <c:pt idx="565">
                  <c:v>44950</c:v>
                </c:pt>
                <c:pt idx="566">
                  <c:v>44950</c:v>
                </c:pt>
                <c:pt idx="567">
                  <c:v>44950</c:v>
                </c:pt>
                <c:pt idx="568">
                  <c:v>44950</c:v>
                </c:pt>
                <c:pt idx="569">
                  <c:v>44950</c:v>
                </c:pt>
                <c:pt idx="570">
                  <c:v>44950</c:v>
                </c:pt>
                <c:pt idx="571">
                  <c:v>44950</c:v>
                </c:pt>
                <c:pt idx="572">
                  <c:v>44950</c:v>
                </c:pt>
                <c:pt idx="573">
                  <c:v>44950</c:v>
                </c:pt>
                <c:pt idx="574">
                  <c:v>44950</c:v>
                </c:pt>
                <c:pt idx="575">
                  <c:v>44950</c:v>
                </c:pt>
                <c:pt idx="576">
                  <c:v>44951</c:v>
                </c:pt>
                <c:pt idx="577">
                  <c:v>44951</c:v>
                </c:pt>
                <c:pt idx="578">
                  <c:v>44951</c:v>
                </c:pt>
                <c:pt idx="579">
                  <c:v>44951</c:v>
                </c:pt>
                <c:pt idx="580">
                  <c:v>44951</c:v>
                </c:pt>
                <c:pt idx="581">
                  <c:v>44951</c:v>
                </c:pt>
                <c:pt idx="582">
                  <c:v>44951</c:v>
                </c:pt>
                <c:pt idx="583">
                  <c:v>44951</c:v>
                </c:pt>
                <c:pt idx="584">
                  <c:v>44951</c:v>
                </c:pt>
                <c:pt idx="585">
                  <c:v>44951</c:v>
                </c:pt>
                <c:pt idx="586">
                  <c:v>44951</c:v>
                </c:pt>
                <c:pt idx="587">
                  <c:v>44951</c:v>
                </c:pt>
                <c:pt idx="588">
                  <c:v>44951</c:v>
                </c:pt>
                <c:pt idx="589">
                  <c:v>44951</c:v>
                </c:pt>
                <c:pt idx="590">
                  <c:v>44951</c:v>
                </c:pt>
                <c:pt idx="591">
                  <c:v>44951</c:v>
                </c:pt>
                <c:pt idx="592">
                  <c:v>44951</c:v>
                </c:pt>
                <c:pt idx="593">
                  <c:v>44951</c:v>
                </c:pt>
                <c:pt idx="594">
                  <c:v>44951</c:v>
                </c:pt>
                <c:pt idx="595">
                  <c:v>44951</c:v>
                </c:pt>
                <c:pt idx="596">
                  <c:v>44951</c:v>
                </c:pt>
                <c:pt idx="597">
                  <c:v>44951</c:v>
                </c:pt>
                <c:pt idx="598">
                  <c:v>44951</c:v>
                </c:pt>
                <c:pt idx="599">
                  <c:v>44951</c:v>
                </c:pt>
                <c:pt idx="600">
                  <c:v>44952</c:v>
                </c:pt>
                <c:pt idx="601">
                  <c:v>44952</c:v>
                </c:pt>
                <c:pt idx="602">
                  <c:v>44952</c:v>
                </c:pt>
                <c:pt idx="603">
                  <c:v>44952</c:v>
                </c:pt>
                <c:pt idx="604">
                  <c:v>44952</c:v>
                </c:pt>
                <c:pt idx="605">
                  <c:v>44952</c:v>
                </c:pt>
                <c:pt idx="606">
                  <c:v>44952</c:v>
                </c:pt>
                <c:pt idx="607">
                  <c:v>44952</c:v>
                </c:pt>
                <c:pt idx="608">
                  <c:v>44952</c:v>
                </c:pt>
                <c:pt idx="609">
                  <c:v>44952</c:v>
                </c:pt>
                <c:pt idx="610">
                  <c:v>44952</c:v>
                </c:pt>
                <c:pt idx="611">
                  <c:v>44952</c:v>
                </c:pt>
                <c:pt idx="612">
                  <c:v>44952</c:v>
                </c:pt>
                <c:pt idx="613">
                  <c:v>44952</c:v>
                </c:pt>
                <c:pt idx="614">
                  <c:v>44952</c:v>
                </c:pt>
                <c:pt idx="615">
                  <c:v>44952</c:v>
                </c:pt>
                <c:pt idx="616">
                  <c:v>44952</c:v>
                </c:pt>
                <c:pt idx="617">
                  <c:v>44952</c:v>
                </c:pt>
                <c:pt idx="618">
                  <c:v>44952</c:v>
                </c:pt>
                <c:pt idx="619">
                  <c:v>44952</c:v>
                </c:pt>
                <c:pt idx="620">
                  <c:v>44952</c:v>
                </c:pt>
                <c:pt idx="621">
                  <c:v>44952</c:v>
                </c:pt>
                <c:pt idx="622">
                  <c:v>44952</c:v>
                </c:pt>
                <c:pt idx="623">
                  <c:v>44952</c:v>
                </c:pt>
                <c:pt idx="624">
                  <c:v>44953</c:v>
                </c:pt>
                <c:pt idx="625">
                  <c:v>44953</c:v>
                </c:pt>
                <c:pt idx="626">
                  <c:v>44953</c:v>
                </c:pt>
                <c:pt idx="627">
                  <c:v>44953</c:v>
                </c:pt>
                <c:pt idx="628">
                  <c:v>44953</c:v>
                </c:pt>
                <c:pt idx="629">
                  <c:v>44953</c:v>
                </c:pt>
                <c:pt idx="630">
                  <c:v>44953</c:v>
                </c:pt>
                <c:pt idx="631">
                  <c:v>44953</c:v>
                </c:pt>
                <c:pt idx="632">
                  <c:v>44953</c:v>
                </c:pt>
                <c:pt idx="633">
                  <c:v>44953</c:v>
                </c:pt>
                <c:pt idx="634">
                  <c:v>44953</c:v>
                </c:pt>
                <c:pt idx="635">
                  <c:v>44953</c:v>
                </c:pt>
                <c:pt idx="636">
                  <c:v>44953</c:v>
                </c:pt>
                <c:pt idx="637">
                  <c:v>44953</c:v>
                </c:pt>
                <c:pt idx="638">
                  <c:v>44953</c:v>
                </c:pt>
                <c:pt idx="639">
                  <c:v>44953</c:v>
                </c:pt>
                <c:pt idx="640">
                  <c:v>44953</c:v>
                </c:pt>
                <c:pt idx="641">
                  <c:v>44953</c:v>
                </c:pt>
                <c:pt idx="642">
                  <c:v>44953</c:v>
                </c:pt>
                <c:pt idx="643">
                  <c:v>44953</c:v>
                </c:pt>
                <c:pt idx="644">
                  <c:v>44953</c:v>
                </c:pt>
                <c:pt idx="645">
                  <c:v>44953</c:v>
                </c:pt>
                <c:pt idx="646">
                  <c:v>44953</c:v>
                </c:pt>
                <c:pt idx="647">
                  <c:v>44953</c:v>
                </c:pt>
                <c:pt idx="648">
                  <c:v>44954</c:v>
                </c:pt>
                <c:pt idx="649">
                  <c:v>44954</c:v>
                </c:pt>
                <c:pt idx="650">
                  <c:v>44954</c:v>
                </c:pt>
                <c:pt idx="651">
                  <c:v>44954</c:v>
                </c:pt>
                <c:pt idx="652">
                  <c:v>44954</c:v>
                </c:pt>
                <c:pt idx="653">
                  <c:v>44954</c:v>
                </c:pt>
                <c:pt idx="654">
                  <c:v>44954</c:v>
                </c:pt>
                <c:pt idx="655">
                  <c:v>44954</c:v>
                </c:pt>
                <c:pt idx="656">
                  <c:v>44954</c:v>
                </c:pt>
                <c:pt idx="657">
                  <c:v>44954</c:v>
                </c:pt>
                <c:pt idx="658">
                  <c:v>44954</c:v>
                </c:pt>
                <c:pt idx="659">
                  <c:v>44954</c:v>
                </c:pt>
                <c:pt idx="660">
                  <c:v>44954</c:v>
                </c:pt>
                <c:pt idx="661">
                  <c:v>44954</c:v>
                </c:pt>
                <c:pt idx="662">
                  <c:v>44954</c:v>
                </c:pt>
                <c:pt idx="663">
                  <c:v>44954</c:v>
                </c:pt>
                <c:pt idx="664">
                  <c:v>44954</c:v>
                </c:pt>
                <c:pt idx="665">
                  <c:v>44954</c:v>
                </c:pt>
                <c:pt idx="666">
                  <c:v>44954</c:v>
                </c:pt>
                <c:pt idx="667">
                  <c:v>44954</c:v>
                </c:pt>
                <c:pt idx="668">
                  <c:v>44954</c:v>
                </c:pt>
                <c:pt idx="669">
                  <c:v>44954</c:v>
                </c:pt>
                <c:pt idx="670">
                  <c:v>44954</c:v>
                </c:pt>
                <c:pt idx="671">
                  <c:v>44954</c:v>
                </c:pt>
                <c:pt idx="672">
                  <c:v>44955</c:v>
                </c:pt>
                <c:pt idx="673">
                  <c:v>44955</c:v>
                </c:pt>
                <c:pt idx="674">
                  <c:v>44955</c:v>
                </c:pt>
                <c:pt idx="675">
                  <c:v>44955</c:v>
                </c:pt>
                <c:pt idx="676">
                  <c:v>44955</c:v>
                </c:pt>
                <c:pt idx="677">
                  <c:v>44955</c:v>
                </c:pt>
                <c:pt idx="678">
                  <c:v>44955</c:v>
                </c:pt>
                <c:pt idx="679">
                  <c:v>44955</c:v>
                </c:pt>
                <c:pt idx="680">
                  <c:v>44955</c:v>
                </c:pt>
                <c:pt idx="681">
                  <c:v>44955</c:v>
                </c:pt>
                <c:pt idx="682">
                  <c:v>44955</c:v>
                </c:pt>
                <c:pt idx="683">
                  <c:v>44955</c:v>
                </c:pt>
                <c:pt idx="684">
                  <c:v>44955</c:v>
                </c:pt>
                <c:pt idx="685">
                  <c:v>44955</c:v>
                </c:pt>
                <c:pt idx="686">
                  <c:v>44955</c:v>
                </c:pt>
                <c:pt idx="687">
                  <c:v>44955</c:v>
                </c:pt>
                <c:pt idx="688">
                  <c:v>44955</c:v>
                </c:pt>
                <c:pt idx="689">
                  <c:v>44955</c:v>
                </c:pt>
                <c:pt idx="690">
                  <c:v>44955</c:v>
                </c:pt>
                <c:pt idx="691">
                  <c:v>44955</c:v>
                </c:pt>
                <c:pt idx="692">
                  <c:v>44955</c:v>
                </c:pt>
                <c:pt idx="693">
                  <c:v>44955</c:v>
                </c:pt>
                <c:pt idx="694">
                  <c:v>44955</c:v>
                </c:pt>
                <c:pt idx="695">
                  <c:v>44955</c:v>
                </c:pt>
                <c:pt idx="696">
                  <c:v>44956</c:v>
                </c:pt>
                <c:pt idx="697">
                  <c:v>44956</c:v>
                </c:pt>
                <c:pt idx="698">
                  <c:v>44956</c:v>
                </c:pt>
                <c:pt idx="699">
                  <c:v>44956</c:v>
                </c:pt>
                <c:pt idx="700">
                  <c:v>44956</c:v>
                </c:pt>
                <c:pt idx="701">
                  <c:v>44956</c:v>
                </c:pt>
                <c:pt idx="702">
                  <c:v>44956</c:v>
                </c:pt>
                <c:pt idx="703">
                  <c:v>44956</c:v>
                </c:pt>
                <c:pt idx="704">
                  <c:v>44956</c:v>
                </c:pt>
                <c:pt idx="705">
                  <c:v>44956</c:v>
                </c:pt>
                <c:pt idx="706">
                  <c:v>44956</c:v>
                </c:pt>
                <c:pt idx="707">
                  <c:v>44956</c:v>
                </c:pt>
                <c:pt idx="708">
                  <c:v>44956</c:v>
                </c:pt>
                <c:pt idx="709">
                  <c:v>44956</c:v>
                </c:pt>
                <c:pt idx="710">
                  <c:v>44956</c:v>
                </c:pt>
                <c:pt idx="711">
                  <c:v>44956</c:v>
                </c:pt>
                <c:pt idx="712">
                  <c:v>44956</c:v>
                </c:pt>
                <c:pt idx="713">
                  <c:v>44956</c:v>
                </c:pt>
                <c:pt idx="714">
                  <c:v>44956</c:v>
                </c:pt>
                <c:pt idx="715">
                  <c:v>44956</c:v>
                </c:pt>
                <c:pt idx="716">
                  <c:v>44956</c:v>
                </c:pt>
                <c:pt idx="717">
                  <c:v>44956</c:v>
                </c:pt>
                <c:pt idx="718">
                  <c:v>44956</c:v>
                </c:pt>
                <c:pt idx="719">
                  <c:v>44956</c:v>
                </c:pt>
                <c:pt idx="720">
                  <c:v>44957</c:v>
                </c:pt>
                <c:pt idx="721">
                  <c:v>44957</c:v>
                </c:pt>
                <c:pt idx="722">
                  <c:v>44957</c:v>
                </c:pt>
                <c:pt idx="723">
                  <c:v>44957</c:v>
                </c:pt>
                <c:pt idx="724">
                  <c:v>44957</c:v>
                </c:pt>
                <c:pt idx="725">
                  <c:v>44957</c:v>
                </c:pt>
                <c:pt idx="726">
                  <c:v>44957</c:v>
                </c:pt>
                <c:pt idx="727">
                  <c:v>44957</c:v>
                </c:pt>
                <c:pt idx="728">
                  <c:v>44957</c:v>
                </c:pt>
                <c:pt idx="729">
                  <c:v>44957</c:v>
                </c:pt>
                <c:pt idx="730">
                  <c:v>44957</c:v>
                </c:pt>
                <c:pt idx="731">
                  <c:v>44957</c:v>
                </c:pt>
                <c:pt idx="732">
                  <c:v>44957</c:v>
                </c:pt>
                <c:pt idx="733">
                  <c:v>44957</c:v>
                </c:pt>
                <c:pt idx="734">
                  <c:v>44957</c:v>
                </c:pt>
                <c:pt idx="735">
                  <c:v>44957</c:v>
                </c:pt>
                <c:pt idx="736">
                  <c:v>44957</c:v>
                </c:pt>
                <c:pt idx="737">
                  <c:v>44957</c:v>
                </c:pt>
                <c:pt idx="738">
                  <c:v>44957</c:v>
                </c:pt>
                <c:pt idx="739">
                  <c:v>44957</c:v>
                </c:pt>
                <c:pt idx="740">
                  <c:v>44957</c:v>
                </c:pt>
                <c:pt idx="741">
                  <c:v>44957</c:v>
                </c:pt>
                <c:pt idx="742">
                  <c:v>44957</c:v>
                </c:pt>
                <c:pt idx="743">
                  <c:v>44957</c:v>
                </c:pt>
                <c:pt idx="744">
                  <c:v>44958</c:v>
                </c:pt>
                <c:pt idx="745">
                  <c:v>44958</c:v>
                </c:pt>
                <c:pt idx="746">
                  <c:v>44958</c:v>
                </c:pt>
                <c:pt idx="747">
                  <c:v>44958</c:v>
                </c:pt>
                <c:pt idx="748">
                  <c:v>44958</c:v>
                </c:pt>
                <c:pt idx="749">
                  <c:v>44958</c:v>
                </c:pt>
                <c:pt idx="750">
                  <c:v>44958</c:v>
                </c:pt>
                <c:pt idx="751">
                  <c:v>44958</c:v>
                </c:pt>
                <c:pt idx="752">
                  <c:v>44958</c:v>
                </c:pt>
                <c:pt idx="753">
                  <c:v>44958</c:v>
                </c:pt>
                <c:pt idx="754">
                  <c:v>44958</c:v>
                </c:pt>
                <c:pt idx="755">
                  <c:v>44958</c:v>
                </c:pt>
                <c:pt idx="756">
                  <c:v>44958</c:v>
                </c:pt>
                <c:pt idx="757">
                  <c:v>44958</c:v>
                </c:pt>
                <c:pt idx="758">
                  <c:v>44958</c:v>
                </c:pt>
                <c:pt idx="759">
                  <c:v>44958</c:v>
                </c:pt>
                <c:pt idx="760">
                  <c:v>44958</c:v>
                </c:pt>
                <c:pt idx="761">
                  <c:v>44958</c:v>
                </c:pt>
                <c:pt idx="762">
                  <c:v>44958</c:v>
                </c:pt>
                <c:pt idx="763">
                  <c:v>44958</c:v>
                </c:pt>
                <c:pt idx="764">
                  <c:v>44958</c:v>
                </c:pt>
                <c:pt idx="765">
                  <c:v>44958</c:v>
                </c:pt>
                <c:pt idx="766">
                  <c:v>44958</c:v>
                </c:pt>
                <c:pt idx="767">
                  <c:v>44958</c:v>
                </c:pt>
                <c:pt idx="768">
                  <c:v>44959</c:v>
                </c:pt>
                <c:pt idx="769">
                  <c:v>44959</c:v>
                </c:pt>
                <c:pt idx="770">
                  <c:v>44959</c:v>
                </c:pt>
                <c:pt idx="771">
                  <c:v>44959</c:v>
                </c:pt>
                <c:pt idx="772">
                  <c:v>44959</c:v>
                </c:pt>
                <c:pt idx="773">
                  <c:v>44959</c:v>
                </c:pt>
                <c:pt idx="774">
                  <c:v>44959</c:v>
                </c:pt>
                <c:pt idx="775">
                  <c:v>44959</c:v>
                </c:pt>
                <c:pt idx="776">
                  <c:v>44959</c:v>
                </c:pt>
                <c:pt idx="777">
                  <c:v>44959</c:v>
                </c:pt>
                <c:pt idx="778">
                  <c:v>44959</c:v>
                </c:pt>
                <c:pt idx="779">
                  <c:v>44959</c:v>
                </c:pt>
                <c:pt idx="780">
                  <c:v>44959</c:v>
                </c:pt>
                <c:pt idx="781">
                  <c:v>44959</c:v>
                </c:pt>
                <c:pt idx="782">
                  <c:v>44959</c:v>
                </c:pt>
                <c:pt idx="783">
                  <c:v>44959</c:v>
                </c:pt>
                <c:pt idx="784">
                  <c:v>44959</c:v>
                </c:pt>
                <c:pt idx="785">
                  <c:v>44959</c:v>
                </c:pt>
                <c:pt idx="786">
                  <c:v>44959</c:v>
                </c:pt>
                <c:pt idx="787">
                  <c:v>44959</c:v>
                </c:pt>
                <c:pt idx="788">
                  <c:v>44959</c:v>
                </c:pt>
                <c:pt idx="789">
                  <c:v>44959</c:v>
                </c:pt>
                <c:pt idx="790">
                  <c:v>44959</c:v>
                </c:pt>
                <c:pt idx="791">
                  <c:v>44959</c:v>
                </c:pt>
                <c:pt idx="792">
                  <c:v>44960</c:v>
                </c:pt>
                <c:pt idx="793">
                  <c:v>44960</c:v>
                </c:pt>
                <c:pt idx="794">
                  <c:v>44960</c:v>
                </c:pt>
                <c:pt idx="795">
                  <c:v>44960</c:v>
                </c:pt>
                <c:pt idx="796">
                  <c:v>44960</c:v>
                </c:pt>
                <c:pt idx="797">
                  <c:v>44960</c:v>
                </c:pt>
                <c:pt idx="798">
                  <c:v>44960</c:v>
                </c:pt>
                <c:pt idx="799">
                  <c:v>44960</c:v>
                </c:pt>
                <c:pt idx="800">
                  <c:v>44960</c:v>
                </c:pt>
                <c:pt idx="801">
                  <c:v>44960</c:v>
                </c:pt>
                <c:pt idx="802">
                  <c:v>44960</c:v>
                </c:pt>
                <c:pt idx="803">
                  <c:v>44960</c:v>
                </c:pt>
                <c:pt idx="804">
                  <c:v>44960</c:v>
                </c:pt>
                <c:pt idx="805">
                  <c:v>44960</c:v>
                </c:pt>
                <c:pt idx="806">
                  <c:v>44960</c:v>
                </c:pt>
                <c:pt idx="807">
                  <c:v>44960</c:v>
                </c:pt>
                <c:pt idx="808">
                  <c:v>44960</c:v>
                </c:pt>
                <c:pt idx="809">
                  <c:v>44960</c:v>
                </c:pt>
                <c:pt idx="810">
                  <c:v>44960</c:v>
                </c:pt>
                <c:pt idx="811">
                  <c:v>44960</c:v>
                </c:pt>
                <c:pt idx="812">
                  <c:v>44960</c:v>
                </c:pt>
                <c:pt idx="813">
                  <c:v>44960</c:v>
                </c:pt>
                <c:pt idx="814">
                  <c:v>44960</c:v>
                </c:pt>
                <c:pt idx="815">
                  <c:v>44960</c:v>
                </c:pt>
                <c:pt idx="816">
                  <c:v>44961</c:v>
                </c:pt>
                <c:pt idx="817">
                  <c:v>44961</c:v>
                </c:pt>
                <c:pt idx="818">
                  <c:v>44961</c:v>
                </c:pt>
                <c:pt idx="819">
                  <c:v>44961</c:v>
                </c:pt>
                <c:pt idx="820">
                  <c:v>44961</c:v>
                </c:pt>
                <c:pt idx="821">
                  <c:v>44961</c:v>
                </c:pt>
                <c:pt idx="822">
                  <c:v>44961</c:v>
                </c:pt>
                <c:pt idx="823">
                  <c:v>44961</c:v>
                </c:pt>
                <c:pt idx="824">
                  <c:v>44961</c:v>
                </c:pt>
                <c:pt idx="825">
                  <c:v>44961</c:v>
                </c:pt>
                <c:pt idx="826">
                  <c:v>44961</c:v>
                </c:pt>
                <c:pt idx="827">
                  <c:v>44961</c:v>
                </c:pt>
                <c:pt idx="828">
                  <c:v>44961</c:v>
                </c:pt>
                <c:pt idx="829">
                  <c:v>44961</c:v>
                </c:pt>
                <c:pt idx="830">
                  <c:v>44961</c:v>
                </c:pt>
                <c:pt idx="831">
                  <c:v>44961</c:v>
                </c:pt>
                <c:pt idx="832">
                  <c:v>44961</c:v>
                </c:pt>
                <c:pt idx="833">
                  <c:v>44961</c:v>
                </c:pt>
                <c:pt idx="834">
                  <c:v>44961</c:v>
                </c:pt>
                <c:pt idx="835">
                  <c:v>44961</c:v>
                </c:pt>
                <c:pt idx="836">
                  <c:v>44961</c:v>
                </c:pt>
                <c:pt idx="837">
                  <c:v>44961</c:v>
                </c:pt>
                <c:pt idx="838">
                  <c:v>44961</c:v>
                </c:pt>
                <c:pt idx="839">
                  <c:v>44961</c:v>
                </c:pt>
                <c:pt idx="840">
                  <c:v>44962</c:v>
                </c:pt>
                <c:pt idx="841">
                  <c:v>44962</c:v>
                </c:pt>
                <c:pt idx="842">
                  <c:v>44962</c:v>
                </c:pt>
                <c:pt idx="843">
                  <c:v>44962</c:v>
                </c:pt>
                <c:pt idx="844">
                  <c:v>44962</c:v>
                </c:pt>
                <c:pt idx="845">
                  <c:v>44962</c:v>
                </c:pt>
                <c:pt idx="846">
                  <c:v>44962</c:v>
                </c:pt>
                <c:pt idx="847">
                  <c:v>44962</c:v>
                </c:pt>
                <c:pt idx="848">
                  <c:v>44962</c:v>
                </c:pt>
                <c:pt idx="849">
                  <c:v>44962</c:v>
                </c:pt>
                <c:pt idx="850">
                  <c:v>44962</c:v>
                </c:pt>
                <c:pt idx="851">
                  <c:v>44962</c:v>
                </c:pt>
                <c:pt idx="852">
                  <c:v>44962</c:v>
                </c:pt>
                <c:pt idx="853">
                  <c:v>44962</c:v>
                </c:pt>
                <c:pt idx="854">
                  <c:v>44962</c:v>
                </c:pt>
                <c:pt idx="855">
                  <c:v>44962</c:v>
                </c:pt>
                <c:pt idx="856">
                  <c:v>44962</c:v>
                </c:pt>
                <c:pt idx="857">
                  <c:v>44962</c:v>
                </c:pt>
                <c:pt idx="858">
                  <c:v>44962</c:v>
                </c:pt>
                <c:pt idx="859">
                  <c:v>44962</c:v>
                </c:pt>
                <c:pt idx="860">
                  <c:v>44962</c:v>
                </c:pt>
                <c:pt idx="861">
                  <c:v>44962</c:v>
                </c:pt>
                <c:pt idx="862">
                  <c:v>44962</c:v>
                </c:pt>
                <c:pt idx="863">
                  <c:v>44962</c:v>
                </c:pt>
                <c:pt idx="864">
                  <c:v>44963</c:v>
                </c:pt>
                <c:pt idx="865">
                  <c:v>44963</c:v>
                </c:pt>
                <c:pt idx="866">
                  <c:v>44963</c:v>
                </c:pt>
                <c:pt idx="867">
                  <c:v>44963</c:v>
                </c:pt>
                <c:pt idx="868">
                  <c:v>44963</c:v>
                </c:pt>
                <c:pt idx="869">
                  <c:v>44963</c:v>
                </c:pt>
                <c:pt idx="870">
                  <c:v>44963</c:v>
                </c:pt>
                <c:pt idx="871">
                  <c:v>44963</c:v>
                </c:pt>
                <c:pt idx="872">
                  <c:v>44963</c:v>
                </c:pt>
                <c:pt idx="873">
                  <c:v>44963</c:v>
                </c:pt>
                <c:pt idx="874">
                  <c:v>44963</c:v>
                </c:pt>
                <c:pt idx="875">
                  <c:v>44963</c:v>
                </c:pt>
                <c:pt idx="876">
                  <c:v>44963</c:v>
                </c:pt>
                <c:pt idx="877">
                  <c:v>44963</c:v>
                </c:pt>
                <c:pt idx="878">
                  <c:v>44963</c:v>
                </c:pt>
                <c:pt idx="879">
                  <c:v>44963</c:v>
                </c:pt>
                <c:pt idx="880">
                  <c:v>44963</c:v>
                </c:pt>
                <c:pt idx="881">
                  <c:v>44963</c:v>
                </c:pt>
                <c:pt idx="882">
                  <c:v>44963</c:v>
                </c:pt>
                <c:pt idx="883">
                  <c:v>44963</c:v>
                </c:pt>
                <c:pt idx="884">
                  <c:v>44963</c:v>
                </c:pt>
                <c:pt idx="885">
                  <c:v>44963</c:v>
                </c:pt>
                <c:pt idx="886">
                  <c:v>44963</c:v>
                </c:pt>
                <c:pt idx="887">
                  <c:v>44963</c:v>
                </c:pt>
                <c:pt idx="888">
                  <c:v>44964</c:v>
                </c:pt>
                <c:pt idx="889">
                  <c:v>44964</c:v>
                </c:pt>
                <c:pt idx="890">
                  <c:v>44964</c:v>
                </c:pt>
                <c:pt idx="891">
                  <c:v>44964</c:v>
                </c:pt>
                <c:pt idx="892">
                  <c:v>44964</c:v>
                </c:pt>
                <c:pt idx="893">
                  <c:v>44964</c:v>
                </c:pt>
                <c:pt idx="894">
                  <c:v>44964</c:v>
                </c:pt>
                <c:pt idx="895">
                  <c:v>44964</c:v>
                </c:pt>
                <c:pt idx="896">
                  <c:v>44964</c:v>
                </c:pt>
                <c:pt idx="897">
                  <c:v>44964</c:v>
                </c:pt>
                <c:pt idx="898">
                  <c:v>44964</c:v>
                </c:pt>
                <c:pt idx="899">
                  <c:v>44964</c:v>
                </c:pt>
                <c:pt idx="900">
                  <c:v>44964</c:v>
                </c:pt>
                <c:pt idx="901">
                  <c:v>44964</c:v>
                </c:pt>
                <c:pt idx="902">
                  <c:v>44964</c:v>
                </c:pt>
                <c:pt idx="903">
                  <c:v>44964</c:v>
                </c:pt>
                <c:pt idx="904">
                  <c:v>44964</c:v>
                </c:pt>
                <c:pt idx="905">
                  <c:v>44964</c:v>
                </c:pt>
                <c:pt idx="906">
                  <c:v>44964</c:v>
                </c:pt>
                <c:pt idx="907">
                  <c:v>44964</c:v>
                </c:pt>
                <c:pt idx="908">
                  <c:v>44964</c:v>
                </c:pt>
                <c:pt idx="909">
                  <c:v>44964</c:v>
                </c:pt>
                <c:pt idx="910">
                  <c:v>44964</c:v>
                </c:pt>
                <c:pt idx="911">
                  <c:v>44964</c:v>
                </c:pt>
                <c:pt idx="912">
                  <c:v>44965</c:v>
                </c:pt>
                <c:pt idx="913">
                  <c:v>44965</c:v>
                </c:pt>
                <c:pt idx="914">
                  <c:v>44965</c:v>
                </c:pt>
                <c:pt idx="915">
                  <c:v>44965</c:v>
                </c:pt>
                <c:pt idx="916">
                  <c:v>44965</c:v>
                </c:pt>
                <c:pt idx="917">
                  <c:v>44965</c:v>
                </c:pt>
                <c:pt idx="918">
                  <c:v>44965</c:v>
                </c:pt>
                <c:pt idx="919">
                  <c:v>44965</c:v>
                </c:pt>
                <c:pt idx="920">
                  <c:v>44965</c:v>
                </c:pt>
                <c:pt idx="921">
                  <c:v>44965</c:v>
                </c:pt>
                <c:pt idx="922">
                  <c:v>44965</c:v>
                </c:pt>
                <c:pt idx="923">
                  <c:v>44965</c:v>
                </c:pt>
                <c:pt idx="924">
                  <c:v>44965</c:v>
                </c:pt>
                <c:pt idx="925">
                  <c:v>44965</c:v>
                </c:pt>
                <c:pt idx="926">
                  <c:v>44965</c:v>
                </c:pt>
                <c:pt idx="927">
                  <c:v>44965</c:v>
                </c:pt>
                <c:pt idx="928">
                  <c:v>44965</c:v>
                </c:pt>
                <c:pt idx="929">
                  <c:v>44965</c:v>
                </c:pt>
                <c:pt idx="930">
                  <c:v>44965</c:v>
                </c:pt>
                <c:pt idx="931">
                  <c:v>44965</c:v>
                </c:pt>
                <c:pt idx="932">
                  <c:v>44965</c:v>
                </c:pt>
                <c:pt idx="933">
                  <c:v>44965</c:v>
                </c:pt>
                <c:pt idx="934">
                  <c:v>44965</c:v>
                </c:pt>
                <c:pt idx="935">
                  <c:v>44965</c:v>
                </c:pt>
                <c:pt idx="936">
                  <c:v>44966</c:v>
                </c:pt>
                <c:pt idx="937">
                  <c:v>44966</c:v>
                </c:pt>
                <c:pt idx="938">
                  <c:v>44966</c:v>
                </c:pt>
                <c:pt idx="939">
                  <c:v>44966</c:v>
                </c:pt>
                <c:pt idx="940">
                  <c:v>44966</c:v>
                </c:pt>
                <c:pt idx="941">
                  <c:v>44966</c:v>
                </c:pt>
                <c:pt idx="942">
                  <c:v>44966</c:v>
                </c:pt>
                <c:pt idx="943">
                  <c:v>44966</c:v>
                </c:pt>
                <c:pt idx="944">
                  <c:v>44966</c:v>
                </c:pt>
                <c:pt idx="945">
                  <c:v>44966</c:v>
                </c:pt>
                <c:pt idx="946">
                  <c:v>44966</c:v>
                </c:pt>
                <c:pt idx="947">
                  <c:v>44966</c:v>
                </c:pt>
                <c:pt idx="948">
                  <c:v>44966</c:v>
                </c:pt>
                <c:pt idx="949">
                  <c:v>44966</c:v>
                </c:pt>
                <c:pt idx="950">
                  <c:v>44966</c:v>
                </c:pt>
                <c:pt idx="951">
                  <c:v>44966</c:v>
                </c:pt>
                <c:pt idx="952">
                  <c:v>44966</c:v>
                </c:pt>
                <c:pt idx="953">
                  <c:v>44966</c:v>
                </c:pt>
                <c:pt idx="954">
                  <c:v>44966</c:v>
                </c:pt>
                <c:pt idx="955">
                  <c:v>44966</c:v>
                </c:pt>
                <c:pt idx="956">
                  <c:v>44966</c:v>
                </c:pt>
                <c:pt idx="957">
                  <c:v>44966</c:v>
                </c:pt>
                <c:pt idx="958">
                  <c:v>44966</c:v>
                </c:pt>
                <c:pt idx="959">
                  <c:v>44966</c:v>
                </c:pt>
                <c:pt idx="960">
                  <c:v>44967</c:v>
                </c:pt>
                <c:pt idx="961">
                  <c:v>44967</c:v>
                </c:pt>
                <c:pt idx="962">
                  <c:v>44967</c:v>
                </c:pt>
                <c:pt idx="963">
                  <c:v>44967</c:v>
                </c:pt>
                <c:pt idx="964">
                  <c:v>44967</c:v>
                </c:pt>
                <c:pt idx="965">
                  <c:v>44967</c:v>
                </c:pt>
                <c:pt idx="966">
                  <c:v>44967</c:v>
                </c:pt>
                <c:pt idx="967">
                  <c:v>44967</c:v>
                </c:pt>
                <c:pt idx="968">
                  <c:v>44967</c:v>
                </c:pt>
                <c:pt idx="969">
                  <c:v>44967</c:v>
                </c:pt>
                <c:pt idx="970">
                  <c:v>44967</c:v>
                </c:pt>
                <c:pt idx="971">
                  <c:v>44967</c:v>
                </c:pt>
                <c:pt idx="972">
                  <c:v>44967</c:v>
                </c:pt>
                <c:pt idx="973">
                  <c:v>44967</c:v>
                </c:pt>
                <c:pt idx="974">
                  <c:v>44967</c:v>
                </c:pt>
                <c:pt idx="975">
                  <c:v>44967</c:v>
                </c:pt>
                <c:pt idx="976">
                  <c:v>44967</c:v>
                </c:pt>
                <c:pt idx="977">
                  <c:v>44967</c:v>
                </c:pt>
                <c:pt idx="978">
                  <c:v>44967</c:v>
                </c:pt>
                <c:pt idx="979">
                  <c:v>44967</c:v>
                </c:pt>
                <c:pt idx="980">
                  <c:v>44967</c:v>
                </c:pt>
                <c:pt idx="981">
                  <c:v>44967</c:v>
                </c:pt>
                <c:pt idx="982">
                  <c:v>44967</c:v>
                </c:pt>
                <c:pt idx="983">
                  <c:v>44967</c:v>
                </c:pt>
                <c:pt idx="984">
                  <c:v>44968</c:v>
                </c:pt>
                <c:pt idx="985">
                  <c:v>44968</c:v>
                </c:pt>
                <c:pt idx="986">
                  <c:v>44968</c:v>
                </c:pt>
                <c:pt idx="987">
                  <c:v>44968</c:v>
                </c:pt>
                <c:pt idx="988">
                  <c:v>44968</c:v>
                </c:pt>
                <c:pt idx="989">
                  <c:v>44968</c:v>
                </c:pt>
                <c:pt idx="990">
                  <c:v>44968</c:v>
                </c:pt>
                <c:pt idx="991">
                  <c:v>44968</c:v>
                </c:pt>
                <c:pt idx="992">
                  <c:v>44968</c:v>
                </c:pt>
                <c:pt idx="993">
                  <c:v>44968</c:v>
                </c:pt>
                <c:pt idx="994">
                  <c:v>44968</c:v>
                </c:pt>
                <c:pt idx="995">
                  <c:v>44968</c:v>
                </c:pt>
                <c:pt idx="996">
                  <c:v>44968</c:v>
                </c:pt>
                <c:pt idx="997">
                  <c:v>44968</c:v>
                </c:pt>
                <c:pt idx="998">
                  <c:v>44968</c:v>
                </c:pt>
                <c:pt idx="999">
                  <c:v>44968</c:v>
                </c:pt>
                <c:pt idx="1000">
                  <c:v>44968</c:v>
                </c:pt>
                <c:pt idx="1001">
                  <c:v>44968</c:v>
                </c:pt>
                <c:pt idx="1002">
                  <c:v>44968</c:v>
                </c:pt>
                <c:pt idx="1003">
                  <c:v>44968</c:v>
                </c:pt>
                <c:pt idx="1004">
                  <c:v>44968</c:v>
                </c:pt>
                <c:pt idx="1005">
                  <c:v>44968</c:v>
                </c:pt>
                <c:pt idx="1006">
                  <c:v>44968</c:v>
                </c:pt>
                <c:pt idx="1007">
                  <c:v>44968</c:v>
                </c:pt>
                <c:pt idx="1008">
                  <c:v>44969</c:v>
                </c:pt>
                <c:pt idx="1009">
                  <c:v>44969</c:v>
                </c:pt>
                <c:pt idx="1010">
                  <c:v>44969</c:v>
                </c:pt>
                <c:pt idx="1011">
                  <c:v>44969</c:v>
                </c:pt>
                <c:pt idx="1012">
                  <c:v>44969</c:v>
                </c:pt>
                <c:pt idx="1013">
                  <c:v>44969</c:v>
                </c:pt>
                <c:pt idx="1014">
                  <c:v>44969</c:v>
                </c:pt>
                <c:pt idx="1015">
                  <c:v>44969</c:v>
                </c:pt>
                <c:pt idx="1016">
                  <c:v>44969</c:v>
                </c:pt>
                <c:pt idx="1017">
                  <c:v>44969</c:v>
                </c:pt>
                <c:pt idx="1018">
                  <c:v>44969</c:v>
                </c:pt>
                <c:pt idx="1019">
                  <c:v>44969</c:v>
                </c:pt>
                <c:pt idx="1020">
                  <c:v>44969</c:v>
                </c:pt>
                <c:pt idx="1021">
                  <c:v>44969</c:v>
                </c:pt>
                <c:pt idx="1022">
                  <c:v>44969</c:v>
                </c:pt>
                <c:pt idx="1023">
                  <c:v>44969</c:v>
                </c:pt>
                <c:pt idx="1024">
                  <c:v>44969</c:v>
                </c:pt>
                <c:pt idx="1025">
                  <c:v>44969</c:v>
                </c:pt>
                <c:pt idx="1026">
                  <c:v>44969</c:v>
                </c:pt>
                <c:pt idx="1027">
                  <c:v>44969</c:v>
                </c:pt>
                <c:pt idx="1028">
                  <c:v>44969</c:v>
                </c:pt>
                <c:pt idx="1029">
                  <c:v>44969</c:v>
                </c:pt>
                <c:pt idx="1030">
                  <c:v>44969</c:v>
                </c:pt>
                <c:pt idx="1031">
                  <c:v>44969</c:v>
                </c:pt>
                <c:pt idx="1032">
                  <c:v>44970</c:v>
                </c:pt>
                <c:pt idx="1033">
                  <c:v>44970</c:v>
                </c:pt>
                <c:pt idx="1034">
                  <c:v>44970</c:v>
                </c:pt>
                <c:pt idx="1035">
                  <c:v>44970</c:v>
                </c:pt>
                <c:pt idx="1036">
                  <c:v>44970</c:v>
                </c:pt>
                <c:pt idx="1037">
                  <c:v>44970</c:v>
                </c:pt>
                <c:pt idx="1038">
                  <c:v>44970</c:v>
                </c:pt>
                <c:pt idx="1039">
                  <c:v>44970</c:v>
                </c:pt>
                <c:pt idx="1040">
                  <c:v>44970</c:v>
                </c:pt>
                <c:pt idx="1041">
                  <c:v>44970</c:v>
                </c:pt>
                <c:pt idx="1042">
                  <c:v>44970</c:v>
                </c:pt>
                <c:pt idx="1043">
                  <c:v>44970</c:v>
                </c:pt>
                <c:pt idx="1044">
                  <c:v>44970</c:v>
                </c:pt>
                <c:pt idx="1045">
                  <c:v>44970</c:v>
                </c:pt>
                <c:pt idx="1046">
                  <c:v>44970</c:v>
                </c:pt>
                <c:pt idx="1047">
                  <c:v>44970</c:v>
                </c:pt>
                <c:pt idx="1048">
                  <c:v>44970</c:v>
                </c:pt>
                <c:pt idx="1049">
                  <c:v>44970</c:v>
                </c:pt>
                <c:pt idx="1050">
                  <c:v>44970</c:v>
                </c:pt>
                <c:pt idx="1051">
                  <c:v>44970</c:v>
                </c:pt>
                <c:pt idx="1052">
                  <c:v>44970</c:v>
                </c:pt>
                <c:pt idx="1053">
                  <c:v>44970</c:v>
                </c:pt>
                <c:pt idx="1054">
                  <c:v>44970</c:v>
                </c:pt>
                <c:pt idx="1055">
                  <c:v>44970</c:v>
                </c:pt>
                <c:pt idx="1056">
                  <c:v>44971</c:v>
                </c:pt>
                <c:pt idx="1057">
                  <c:v>44971</c:v>
                </c:pt>
                <c:pt idx="1058">
                  <c:v>44971</c:v>
                </c:pt>
                <c:pt idx="1059">
                  <c:v>44971</c:v>
                </c:pt>
                <c:pt idx="1060">
                  <c:v>44971</c:v>
                </c:pt>
                <c:pt idx="1061">
                  <c:v>44971</c:v>
                </c:pt>
                <c:pt idx="1062">
                  <c:v>44971</c:v>
                </c:pt>
                <c:pt idx="1063">
                  <c:v>44971</c:v>
                </c:pt>
                <c:pt idx="1064">
                  <c:v>44971</c:v>
                </c:pt>
                <c:pt idx="1065">
                  <c:v>44971</c:v>
                </c:pt>
                <c:pt idx="1066">
                  <c:v>44971</c:v>
                </c:pt>
                <c:pt idx="1067">
                  <c:v>44971</c:v>
                </c:pt>
                <c:pt idx="1068">
                  <c:v>44971</c:v>
                </c:pt>
                <c:pt idx="1069">
                  <c:v>44971</c:v>
                </c:pt>
                <c:pt idx="1070">
                  <c:v>44971</c:v>
                </c:pt>
                <c:pt idx="1071">
                  <c:v>44971</c:v>
                </c:pt>
                <c:pt idx="1072">
                  <c:v>44971</c:v>
                </c:pt>
                <c:pt idx="1073">
                  <c:v>44971</c:v>
                </c:pt>
                <c:pt idx="1074">
                  <c:v>44971</c:v>
                </c:pt>
                <c:pt idx="1075">
                  <c:v>44971</c:v>
                </c:pt>
                <c:pt idx="1076">
                  <c:v>44971</c:v>
                </c:pt>
                <c:pt idx="1077">
                  <c:v>44971</c:v>
                </c:pt>
                <c:pt idx="1078">
                  <c:v>44971</c:v>
                </c:pt>
                <c:pt idx="1079">
                  <c:v>44971</c:v>
                </c:pt>
                <c:pt idx="1080">
                  <c:v>44972</c:v>
                </c:pt>
                <c:pt idx="1081">
                  <c:v>44972</c:v>
                </c:pt>
                <c:pt idx="1082">
                  <c:v>44972</c:v>
                </c:pt>
                <c:pt idx="1083">
                  <c:v>44972</c:v>
                </c:pt>
                <c:pt idx="1084">
                  <c:v>44972</c:v>
                </c:pt>
                <c:pt idx="1085">
                  <c:v>44972</c:v>
                </c:pt>
                <c:pt idx="1086">
                  <c:v>44972</c:v>
                </c:pt>
                <c:pt idx="1087">
                  <c:v>44972</c:v>
                </c:pt>
                <c:pt idx="1088">
                  <c:v>44972</c:v>
                </c:pt>
                <c:pt idx="1089">
                  <c:v>44972</c:v>
                </c:pt>
                <c:pt idx="1090">
                  <c:v>44972</c:v>
                </c:pt>
                <c:pt idx="1091">
                  <c:v>44972</c:v>
                </c:pt>
                <c:pt idx="1092">
                  <c:v>44972</c:v>
                </c:pt>
                <c:pt idx="1093">
                  <c:v>44972</c:v>
                </c:pt>
                <c:pt idx="1094">
                  <c:v>44972</c:v>
                </c:pt>
                <c:pt idx="1095">
                  <c:v>44972</c:v>
                </c:pt>
                <c:pt idx="1096">
                  <c:v>44972</c:v>
                </c:pt>
                <c:pt idx="1097">
                  <c:v>44972</c:v>
                </c:pt>
                <c:pt idx="1098">
                  <c:v>44972</c:v>
                </c:pt>
                <c:pt idx="1099">
                  <c:v>44972</c:v>
                </c:pt>
                <c:pt idx="1100">
                  <c:v>44972</c:v>
                </c:pt>
                <c:pt idx="1101">
                  <c:v>44972</c:v>
                </c:pt>
                <c:pt idx="1102">
                  <c:v>44972</c:v>
                </c:pt>
                <c:pt idx="1103">
                  <c:v>44972</c:v>
                </c:pt>
                <c:pt idx="1104">
                  <c:v>44973</c:v>
                </c:pt>
                <c:pt idx="1105">
                  <c:v>44973</c:v>
                </c:pt>
                <c:pt idx="1106">
                  <c:v>44973</c:v>
                </c:pt>
                <c:pt idx="1107">
                  <c:v>44973</c:v>
                </c:pt>
                <c:pt idx="1108">
                  <c:v>44973</c:v>
                </c:pt>
                <c:pt idx="1109">
                  <c:v>44973</c:v>
                </c:pt>
                <c:pt idx="1110">
                  <c:v>44973</c:v>
                </c:pt>
                <c:pt idx="1111">
                  <c:v>44973</c:v>
                </c:pt>
                <c:pt idx="1112">
                  <c:v>44973</c:v>
                </c:pt>
                <c:pt idx="1113">
                  <c:v>44973</c:v>
                </c:pt>
                <c:pt idx="1114">
                  <c:v>44973</c:v>
                </c:pt>
                <c:pt idx="1115">
                  <c:v>44973</c:v>
                </c:pt>
                <c:pt idx="1116">
                  <c:v>44973</c:v>
                </c:pt>
                <c:pt idx="1117">
                  <c:v>44973</c:v>
                </c:pt>
                <c:pt idx="1118">
                  <c:v>44973</c:v>
                </c:pt>
                <c:pt idx="1119">
                  <c:v>44973</c:v>
                </c:pt>
                <c:pt idx="1120">
                  <c:v>44973</c:v>
                </c:pt>
                <c:pt idx="1121">
                  <c:v>44973</c:v>
                </c:pt>
                <c:pt idx="1122">
                  <c:v>44973</c:v>
                </c:pt>
                <c:pt idx="1123">
                  <c:v>44973</c:v>
                </c:pt>
                <c:pt idx="1124">
                  <c:v>44973</c:v>
                </c:pt>
                <c:pt idx="1125">
                  <c:v>44973</c:v>
                </c:pt>
                <c:pt idx="1126">
                  <c:v>44973</c:v>
                </c:pt>
                <c:pt idx="1127">
                  <c:v>44973</c:v>
                </c:pt>
                <c:pt idx="1128">
                  <c:v>44974</c:v>
                </c:pt>
                <c:pt idx="1129">
                  <c:v>44974</c:v>
                </c:pt>
                <c:pt idx="1130">
                  <c:v>44974</c:v>
                </c:pt>
                <c:pt idx="1131">
                  <c:v>44974</c:v>
                </c:pt>
                <c:pt idx="1132">
                  <c:v>44974</c:v>
                </c:pt>
                <c:pt idx="1133">
                  <c:v>44974</c:v>
                </c:pt>
                <c:pt idx="1134">
                  <c:v>44974</c:v>
                </c:pt>
                <c:pt idx="1135">
                  <c:v>44974</c:v>
                </c:pt>
                <c:pt idx="1136">
                  <c:v>44974</c:v>
                </c:pt>
                <c:pt idx="1137">
                  <c:v>44974</c:v>
                </c:pt>
                <c:pt idx="1138">
                  <c:v>44974</c:v>
                </c:pt>
                <c:pt idx="1139">
                  <c:v>44974</c:v>
                </c:pt>
                <c:pt idx="1140">
                  <c:v>44974</c:v>
                </c:pt>
                <c:pt idx="1141">
                  <c:v>44974</c:v>
                </c:pt>
                <c:pt idx="1142">
                  <c:v>44974</c:v>
                </c:pt>
                <c:pt idx="1143">
                  <c:v>44974</c:v>
                </c:pt>
                <c:pt idx="1144">
                  <c:v>44974</c:v>
                </c:pt>
                <c:pt idx="1145">
                  <c:v>44974</c:v>
                </c:pt>
                <c:pt idx="1146">
                  <c:v>44974</c:v>
                </c:pt>
                <c:pt idx="1147">
                  <c:v>44974</c:v>
                </c:pt>
                <c:pt idx="1148">
                  <c:v>44974</c:v>
                </c:pt>
                <c:pt idx="1149">
                  <c:v>44974</c:v>
                </c:pt>
                <c:pt idx="1150">
                  <c:v>44974</c:v>
                </c:pt>
                <c:pt idx="1151">
                  <c:v>44974</c:v>
                </c:pt>
                <c:pt idx="1152">
                  <c:v>44975</c:v>
                </c:pt>
                <c:pt idx="1153">
                  <c:v>44975</c:v>
                </c:pt>
                <c:pt idx="1154">
                  <c:v>44975</c:v>
                </c:pt>
                <c:pt idx="1155">
                  <c:v>44975</c:v>
                </c:pt>
                <c:pt idx="1156">
                  <c:v>44975</c:v>
                </c:pt>
                <c:pt idx="1157">
                  <c:v>44975</c:v>
                </c:pt>
                <c:pt idx="1158">
                  <c:v>44975</c:v>
                </c:pt>
                <c:pt idx="1159">
                  <c:v>44975</c:v>
                </c:pt>
                <c:pt idx="1160">
                  <c:v>44975</c:v>
                </c:pt>
                <c:pt idx="1161">
                  <c:v>44975</c:v>
                </c:pt>
                <c:pt idx="1162">
                  <c:v>44975</c:v>
                </c:pt>
                <c:pt idx="1163">
                  <c:v>44975</c:v>
                </c:pt>
                <c:pt idx="1164">
                  <c:v>44975</c:v>
                </c:pt>
                <c:pt idx="1165">
                  <c:v>44975</c:v>
                </c:pt>
                <c:pt idx="1166">
                  <c:v>44975</c:v>
                </c:pt>
                <c:pt idx="1167">
                  <c:v>44975</c:v>
                </c:pt>
                <c:pt idx="1168">
                  <c:v>44975</c:v>
                </c:pt>
                <c:pt idx="1169">
                  <c:v>44975</c:v>
                </c:pt>
                <c:pt idx="1170">
                  <c:v>44975</c:v>
                </c:pt>
                <c:pt idx="1171">
                  <c:v>44975</c:v>
                </c:pt>
                <c:pt idx="1172">
                  <c:v>44975</c:v>
                </c:pt>
                <c:pt idx="1173">
                  <c:v>44975</c:v>
                </c:pt>
                <c:pt idx="1174">
                  <c:v>44975</c:v>
                </c:pt>
                <c:pt idx="1175">
                  <c:v>44975</c:v>
                </c:pt>
                <c:pt idx="1176">
                  <c:v>44976</c:v>
                </c:pt>
                <c:pt idx="1177">
                  <c:v>44976</c:v>
                </c:pt>
                <c:pt idx="1178">
                  <c:v>44976</c:v>
                </c:pt>
                <c:pt idx="1179">
                  <c:v>44976</c:v>
                </c:pt>
                <c:pt idx="1180">
                  <c:v>44976</c:v>
                </c:pt>
                <c:pt idx="1181">
                  <c:v>44976</c:v>
                </c:pt>
                <c:pt idx="1182">
                  <c:v>44976</c:v>
                </c:pt>
                <c:pt idx="1183">
                  <c:v>44976</c:v>
                </c:pt>
                <c:pt idx="1184">
                  <c:v>44976</c:v>
                </c:pt>
                <c:pt idx="1185">
                  <c:v>44976</c:v>
                </c:pt>
                <c:pt idx="1186">
                  <c:v>44976</c:v>
                </c:pt>
                <c:pt idx="1187">
                  <c:v>44976</c:v>
                </c:pt>
                <c:pt idx="1188">
                  <c:v>44976</c:v>
                </c:pt>
                <c:pt idx="1189">
                  <c:v>44976</c:v>
                </c:pt>
                <c:pt idx="1190">
                  <c:v>44976</c:v>
                </c:pt>
                <c:pt idx="1191">
                  <c:v>44976</c:v>
                </c:pt>
                <c:pt idx="1192">
                  <c:v>44976</c:v>
                </c:pt>
                <c:pt idx="1193">
                  <c:v>44976</c:v>
                </c:pt>
                <c:pt idx="1194">
                  <c:v>44976</c:v>
                </c:pt>
                <c:pt idx="1195">
                  <c:v>44976</c:v>
                </c:pt>
                <c:pt idx="1196">
                  <c:v>44976</c:v>
                </c:pt>
                <c:pt idx="1197">
                  <c:v>44976</c:v>
                </c:pt>
                <c:pt idx="1198">
                  <c:v>44976</c:v>
                </c:pt>
                <c:pt idx="1199">
                  <c:v>44976</c:v>
                </c:pt>
                <c:pt idx="1200">
                  <c:v>44977</c:v>
                </c:pt>
                <c:pt idx="1201">
                  <c:v>44977</c:v>
                </c:pt>
                <c:pt idx="1202">
                  <c:v>44977</c:v>
                </c:pt>
                <c:pt idx="1203">
                  <c:v>44977</c:v>
                </c:pt>
                <c:pt idx="1204">
                  <c:v>44977</c:v>
                </c:pt>
                <c:pt idx="1205">
                  <c:v>44977</c:v>
                </c:pt>
                <c:pt idx="1206">
                  <c:v>44977</c:v>
                </c:pt>
                <c:pt idx="1207">
                  <c:v>44977</c:v>
                </c:pt>
                <c:pt idx="1208">
                  <c:v>44977</c:v>
                </c:pt>
                <c:pt idx="1209">
                  <c:v>44977</c:v>
                </c:pt>
                <c:pt idx="1210">
                  <c:v>44977</c:v>
                </c:pt>
                <c:pt idx="1211">
                  <c:v>44977</c:v>
                </c:pt>
                <c:pt idx="1212">
                  <c:v>44977</c:v>
                </c:pt>
                <c:pt idx="1213">
                  <c:v>44977</c:v>
                </c:pt>
                <c:pt idx="1214">
                  <c:v>44977</c:v>
                </c:pt>
                <c:pt idx="1215">
                  <c:v>44977</c:v>
                </c:pt>
                <c:pt idx="1216">
                  <c:v>44977</c:v>
                </c:pt>
                <c:pt idx="1217">
                  <c:v>44977</c:v>
                </c:pt>
                <c:pt idx="1218">
                  <c:v>44977</c:v>
                </c:pt>
                <c:pt idx="1219">
                  <c:v>44977</c:v>
                </c:pt>
                <c:pt idx="1220">
                  <c:v>44977</c:v>
                </c:pt>
                <c:pt idx="1221">
                  <c:v>44977</c:v>
                </c:pt>
                <c:pt idx="1222">
                  <c:v>44977</c:v>
                </c:pt>
                <c:pt idx="1223">
                  <c:v>44977</c:v>
                </c:pt>
                <c:pt idx="1224">
                  <c:v>44978</c:v>
                </c:pt>
                <c:pt idx="1225">
                  <c:v>44978</c:v>
                </c:pt>
                <c:pt idx="1226">
                  <c:v>44978</c:v>
                </c:pt>
                <c:pt idx="1227">
                  <c:v>44978</c:v>
                </c:pt>
                <c:pt idx="1228">
                  <c:v>44978</c:v>
                </c:pt>
                <c:pt idx="1229">
                  <c:v>44978</c:v>
                </c:pt>
                <c:pt idx="1230">
                  <c:v>44978</c:v>
                </c:pt>
                <c:pt idx="1231">
                  <c:v>44978</c:v>
                </c:pt>
                <c:pt idx="1232">
                  <c:v>44978</c:v>
                </c:pt>
                <c:pt idx="1233">
                  <c:v>44978</c:v>
                </c:pt>
                <c:pt idx="1234">
                  <c:v>44978</c:v>
                </c:pt>
                <c:pt idx="1235">
                  <c:v>44978</c:v>
                </c:pt>
                <c:pt idx="1236">
                  <c:v>44978</c:v>
                </c:pt>
                <c:pt idx="1237">
                  <c:v>44978</c:v>
                </c:pt>
                <c:pt idx="1238">
                  <c:v>44978</c:v>
                </c:pt>
                <c:pt idx="1239">
                  <c:v>44978</c:v>
                </c:pt>
                <c:pt idx="1240">
                  <c:v>44978</c:v>
                </c:pt>
                <c:pt idx="1241">
                  <c:v>44978</c:v>
                </c:pt>
                <c:pt idx="1242">
                  <c:v>44978</c:v>
                </c:pt>
                <c:pt idx="1243">
                  <c:v>44978</c:v>
                </c:pt>
                <c:pt idx="1244">
                  <c:v>44978</c:v>
                </c:pt>
                <c:pt idx="1245">
                  <c:v>44978</c:v>
                </c:pt>
                <c:pt idx="1246">
                  <c:v>44978</c:v>
                </c:pt>
                <c:pt idx="1247">
                  <c:v>44978</c:v>
                </c:pt>
                <c:pt idx="1248">
                  <c:v>44979</c:v>
                </c:pt>
                <c:pt idx="1249">
                  <c:v>44979</c:v>
                </c:pt>
                <c:pt idx="1250">
                  <c:v>44979</c:v>
                </c:pt>
                <c:pt idx="1251">
                  <c:v>44979</c:v>
                </c:pt>
                <c:pt idx="1252">
                  <c:v>44979</c:v>
                </c:pt>
                <c:pt idx="1253">
                  <c:v>44979</c:v>
                </c:pt>
                <c:pt idx="1254">
                  <c:v>44979</c:v>
                </c:pt>
                <c:pt idx="1255">
                  <c:v>44979</c:v>
                </c:pt>
                <c:pt idx="1256">
                  <c:v>44979</c:v>
                </c:pt>
                <c:pt idx="1257">
                  <c:v>44979</c:v>
                </c:pt>
                <c:pt idx="1258">
                  <c:v>44979</c:v>
                </c:pt>
                <c:pt idx="1259">
                  <c:v>44979</c:v>
                </c:pt>
                <c:pt idx="1260">
                  <c:v>44979</c:v>
                </c:pt>
                <c:pt idx="1261">
                  <c:v>44979</c:v>
                </c:pt>
                <c:pt idx="1262">
                  <c:v>44979</c:v>
                </c:pt>
                <c:pt idx="1263">
                  <c:v>44979</c:v>
                </c:pt>
                <c:pt idx="1264">
                  <c:v>44979</c:v>
                </c:pt>
                <c:pt idx="1265">
                  <c:v>44979</c:v>
                </c:pt>
                <c:pt idx="1266">
                  <c:v>44979</c:v>
                </c:pt>
                <c:pt idx="1267">
                  <c:v>44979</c:v>
                </c:pt>
                <c:pt idx="1268">
                  <c:v>44979</c:v>
                </c:pt>
                <c:pt idx="1269">
                  <c:v>44979</c:v>
                </c:pt>
                <c:pt idx="1270">
                  <c:v>44979</c:v>
                </c:pt>
                <c:pt idx="1271">
                  <c:v>44979</c:v>
                </c:pt>
                <c:pt idx="1272">
                  <c:v>44980</c:v>
                </c:pt>
                <c:pt idx="1273">
                  <c:v>44980</c:v>
                </c:pt>
                <c:pt idx="1274">
                  <c:v>44980</c:v>
                </c:pt>
                <c:pt idx="1275">
                  <c:v>44980</c:v>
                </c:pt>
                <c:pt idx="1276">
                  <c:v>44980</c:v>
                </c:pt>
                <c:pt idx="1277">
                  <c:v>44980</c:v>
                </c:pt>
                <c:pt idx="1278">
                  <c:v>44980</c:v>
                </c:pt>
                <c:pt idx="1279">
                  <c:v>44980</c:v>
                </c:pt>
                <c:pt idx="1280">
                  <c:v>44980</c:v>
                </c:pt>
                <c:pt idx="1281">
                  <c:v>44980</c:v>
                </c:pt>
                <c:pt idx="1282">
                  <c:v>44980</c:v>
                </c:pt>
                <c:pt idx="1283">
                  <c:v>44980</c:v>
                </c:pt>
                <c:pt idx="1284">
                  <c:v>44980</c:v>
                </c:pt>
                <c:pt idx="1285">
                  <c:v>44980</c:v>
                </c:pt>
                <c:pt idx="1286">
                  <c:v>44980</c:v>
                </c:pt>
                <c:pt idx="1287">
                  <c:v>44980</c:v>
                </c:pt>
                <c:pt idx="1288">
                  <c:v>44980</c:v>
                </c:pt>
                <c:pt idx="1289">
                  <c:v>44980</c:v>
                </c:pt>
                <c:pt idx="1290">
                  <c:v>44980</c:v>
                </c:pt>
                <c:pt idx="1291">
                  <c:v>44980</c:v>
                </c:pt>
                <c:pt idx="1292">
                  <c:v>44980</c:v>
                </c:pt>
                <c:pt idx="1293">
                  <c:v>44980</c:v>
                </c:pt>
                <c:pt idx="1294">
                  <c:v>44980</c:v>
                </c:pt>
                <c:pt idx="1295">
                  <c:v>44980</c:v>
                </c:pt>
                <c:pt idx="1296">
                  <c:v>44981</c:v>
                </c:pt>
                <c:pt idx="1297">
                  <c:v>44981</c:v>
                </c:pt>
                <c:pt idx="1298">
                  <c:v>44981</c:v>
                </c:pt>
                <c:pt idx="1299">
                  <c:v>44981</c:v>
                </c:pt>
                <c:pt idx="1300">
                  <c:v>44981</c:v>
                </c:pt>
                <c:pt idx="1301">
                  <c:v>44981</c:v>
                </c:pt>
                <c:pt idx="1302">
                  <c:v>44981</c:v>
                </c:pt>
                <c:pt idx="1303">
                  <c:v>44981</c:v>
                </c:pt>
                <c:pt idx="1304">
                  <c:v>44981</c:v>
                </c:pt>
                <c:pt idx="1305">
                  <c:v>44981</c:v>
                </c:pt>
                <c:pt idx="1306">
                  <c:v>44981</c:v>
                </c:pt>
                <c:pt idx="1307">
                  <c:v>44981</c:v>
                </c:pt>
                <c:pt idx="1308">
                  <c:v>44981</c:v>
                </c:pt>
                <c:pt idx="1309">
                  <c:v>44981</c:v>
                </c:pt>
                <c:pt idx="1310">
                  <c:v>44981</c:v>
                </c:pt>
                <c:pt idx="1311">
                  <c:v>44981</c:v>
                </c:pt>
                <c:pt idx="1312">
                  <c:v>44981</c:v>
                </c:pt>
                <c:pt idx="1313">
                  <c:v>44981</c:v>
                </c:pt>
                <c:pt idx="1314">
                  <c:v>44981</c:v>
                </c:pt>
                <c:pt idx="1315">
                  <c:v>44981</c:v>
                </c:pt>
                <c:pt idx="1316">
                  <c:v>44981</c:v>
                </c:pt>
                <c:pt idx="1317">
                  <c:v>44981</c:v>
                </c:pt>
                <c:pt idx="1318">
                  <c:v>44981</c:v>
                </c:pt>
                <c:pt idx="1319">
                  <c:v>44981</c:v>
                </c:pt>
                <c:pt idx="1320">
                  <c:v>44982</c:v>
                </c:pt>
                <c:pt idx="1321">
                  <c:v>44982</c:v>
                </c:pt>
                <c:pt idx="1322">
                  <c:v>44982</c:v>
                </c:pt>
                <c:pt idx="1323">
                  <c:v>44982</c:v>
                </c:pt>
                <c:pt idx="1324">
                  <c:v>44982</c:v>
                </c:pt>
                <c:pt idx="1325">
                  <c:v>44982</c:v>
                </c:pt>
                <c:pt idx="1326">
                  <c:v>44982</c:v>
                </c:pt>
                <c:pt idx="1327">
                  <c:v>44982</c:v>
                </c:pt>
                <c:pt idx="1328">
                  <c:v>44982</c:v>
                </c:pt>
                <c:pt idx="1329">
                  <c:v>44982</c:v>
                </c:pt>
                <c:pt idx="1330">
                  <c:v>44982</c:v>
                </c:pt>
                <c:pt idx="1331">
                  <c:v>44982</c:v>
                </c:pt>
                <c:pt idx="1332">
                  <c:v>44982</c:v>
                </c:pt>
                <c:pt idx="1333">
                  <c:v>44982</c:v>
                </c:pt>
                <c:pt idx="1334">
                  <c:v>44982</c:v>
                </c:pt>
                <c:pt idx="1335">
                  <c:v>44982</c:v>
                </c:pt>
                <c:pt idx="1336">
                  <c:v>44982</c:v>
                </c:pt>
                <c:pt idx="1337">
                  <c:v>44982</c:v>
                </c:pt>
                <c:pt idx="1338">
                  <c:v>44982</c:v>
                </c:pt>
                <c:pt idx="1339">
                  <c:v>44982</c:v>
                </c:pt>
                <c:pt idx="1340">
                  <c:v>44982</c:v>
                </c:pt>
                <c:pt idx="1341">
                  <c:v>44982</c:v>
                </c:pt>
                <c:pt idx="1342">
                  <c:v>44982</c:v>
                </c:pt>
                <c:pt idx="1343">
                  <c:v>44982</c:v>
                </c:pt>
                <c:pt idx="1344">
                  <c:v>44983</c:v>
                </c:pt>
                <c:pt idx="1345">
                  <c:v>44983</c:v>
                </c:pt>
                <c:pt idx="1346">
                  <c:v>44983</c:v>
                </c:pt>
                <c:pt idx="1347">
                  <c:v>44983</c:v>
                </c:pt>
                <c:pt idx="1348">
                  <c:v>44983</c:v>
                </c:pt>
                <c:pt idx="1349">
                  <c:v>44983</c:v>
                </c:pt>
                <c:pt idx="1350">
                  <c:v>44983</c:v>
                </c:pt>
                <c:pt idx="1351">
                  <c:v>44983</c:v>
                </c:pt>
                <c:pt idx="1352">
                  <c:v>44983</c:v>
                </c:pt>
                <c:pt idx="1353">
                  <c:v>44983</c:v>
                </c:pt>
                <c:pt idx="1354">
                  <c:v>44983</c:v>
                </c:pt>
                <c:pt idx="1355">
                  <c:v>44983</c:v>
                </c:pt>
                <c:pt idx="1356">
                  <c:v>44983</c:v>
                </c:pt>
                <c:pt idx="1357">
                  <c:v>44983</c:v>
                </c:pt>
                <c:pt idx="1358">
                  <c:v>44983</c:v>
                </c:pt>
                <c:pt idx="1359">
                  <c:v>44983</c:v>
                </c:pt>
                <c:pt idx="1360">
                  <c:v>44983</c:v>
                </c:pt>
                <c:pt idx="1361">
                  <c:v>44983</c:v>
                </c:pt>
                <c:pt idx="1362">
                  <c:v>44983</c:v>
                </c:pt>
                <c:pt idx="1363">
                  <c:v>44983</c:v>
                </c:pt>
                <c:pt idx="1364">
                  <c:v>44983</c:v>
                </c:pt>
                <c:pt idx="1365">
                  <c:v>44983</c:v>
                </c:pt>
                <c:pt idx="1366">
                  <c:v>44983</c:v>
                </c:pt>
                <c:pt idx="1367">
                  <c:v>44983</c:v>
                </c:pt>
                <c:pt idx="1368">
                  <c:v>44984</c:v>
                </c:pt>
                <c:pt idx="1369">
                  <c:v>44984</c:v>
                </c:pt>
                <c:pt idx="1370">
                  <c:v>44984</c:v>
                </c:pt>
                <c:pt idx="1371">
                  <c:v>44984</c:v>
                </c:pt>
                <c:pt idx="1372">
                  <c:v>44984</c:v>
                </c:pt>
                <c:pt idx="1373">
                  <c:v>44984</c:v>
                </c:pt>
                <c:pt idx="1374">
                  <c:v>44984</c:v>
                </c:pt>
                <c:pt idx="1375">
                  <c:v>44984</c:v>
                </c:pt>
                <c:pt idx="1376">
                  <c:v>44984</c:v>
                </c:pt>
                <c:pt idx="1377">
                  <c:v>44984</c:v>
                </c:pt>
                <c:pt idx="1378">
                  <c:v>44984</c:v>
                </c:pt>
                <c:pt idx="1379">
                  <c:v>44984</c:v>
                </c:pt>
                <c:pt idx="1380">
                  <c:v>44984</c:v>
                </c:pt>
                <c:pt idx="1381">
                  <c:v>44984</c:v>
                </c:pt>
                <c:pt idx="1382">
                  <c:v>44984</c:v>
                </c:pt>
                <c:pt idx="1383">
                  <c:v>44984</c:v>
                </c:pt>
                <c:pt idx="1384">
                  <c:v>44984</c:v>
                </c:pt>
                <c:pt idx="1385">
                  <c:v>44984</c:v>
                </c:pt>
                <c:pt idx="1386">
                  <c:v>44984</c:v>
                </c:pt>
                <c:pt idx="1387">
                  <c:v>44984</c:v>
                </c:pt>
                <c:pt idx="1388">
                  <c:v>44984</c:v>
                </c:pt>
                <c:pt idx="1389">
                  <c:v>44984</c:v>
                </c:pt>
                <c:pt idx="1390">
                  <c:v>44984</c:v>
                </c:pt>
                <c:pt idx="1391">
                  <c:v>44984</c:v>
                </c:pt>
                <c:pt idx="1392">
                  <c:v>44985</c:v>
                </c:pt>
                <c:pt idx="1393">
                  <c:v>44985</c:v>
                </c:pt>
                <c:pt idx="1394">
                  <c:v>44985</c:v>
                </c:pt>
                <c:pt idx="1395">
                  <c:v>44985</c:v>
                </c:pt>
                <c:pt idx="1396">
                  <c:v>44985</c:v>
                </c:pt>
                <c:pt idx="1397">
                  <c:v>44985</c:v>
                </c:pt>
                <c:pt idx="1398">
                  <c:v>44985</c:v>
                </c:pt>
                <c:pt idx="1399">
                  <c:v>44985</c:v>
                </c:pt>
                <c:pt idx="1400">
                  <c:v>44985</c:v>
                </c:pt>
                <c:pt idx="1401">
                  <c:v>44985</c:v>
                </c:pt>
                <c:pt idx="1402">
                  <c:v>44985</c:v>
                </c:pt>
                <c:pt idx="1403">
                  <c:v>44985</c:v>
                </c:pt>
                <c:pt idx="1404">
                  <c:v>44985</c:v>
                </c:pt>
                <c:pt idx="1405">
                  <c:v>44985</c:v>
                </c:pt>
                <c:pt idx="1406">
                  <c:v>44985</c:v>
                </c:pt>
                <c:pt idx="1407">
                  <c:v>44985</c:v>
                </c:pt>
                <c:pt idx="1408">
                  <c:v>44985</c:v>
                </c:pt>
                <c:pt idx="1409">
                  <c:v>44985</c:v>
                </c:pt>
                <c:pt idx="1410">
                  <c:v>44985</c:v>
                </c:pt>
                <c:pt idx="1411">
                  <c:v>44985</c:v>
                </c:pt>
                <c:pt idx="1412">
                  <c:v>44985</c:v>
                </c:pt>
                <c:pt idx="1413">
                  <c:v>44985</c:v>
                </c:pt>
                <c:pt idx="1414">
                  <c:v>44985</c:v>
                </c:pt>
                <c:pt idx="1415">
                  <c:v>44985</c:v>
                </c:pt>
                <c:pt idx="1416">
                  <c:v>44986</c:v>
                </c:pt>
                <c:pt idx="1417">
                  <c:v>44986</c:v>
                </c:pt>
                <c:pt idx="1418">
                  <c:v>44986</c:v>
                </c:pt>
                <c:pt idx="1419">
                  <c:v>44986</c:v>
                </c:pt>
                <c:pt idx="1420">
                  <c:v>44986</c:v>
                </c:pt>
                <c:pt idx="1421">
                  <c:v>44986</c:v>
                </c:pt>
                <c:pt idx="1422">
                  <c:v>44986</c:v>
                </c:pt>
                <c:pt idx="1423">
                  <c:v>44986</c:v>
                </c:pt>
                <c:pt idx="1424">
                  <c:v>44986</c:v>
                </c:pt>
                <c:pt idx="1425">
                  <c:v>44986</c:v>
                </c:pt>
                <c:pt idx="1426">
                  <c:v>44986</c:v>
                </c:pt>
                <c:pt idx="1427">
                  <c:v>44986</c:v>
                </c:pt>
                <c:pt idx="1428">
                  <c:v>44986</c:v>
                </c:pt>
                <c:pt idx="1429">
                  <c:v>44986</c:v>
                </c:pt>
                <c:pt idx="1430">
                  <c:v>44986</c:v>
                </c:pt>
                <c:pt idx="1431">
                  <c:v>44986</c:v>
                </c:pt>
                <c:pt idx="1432">
                  <c:v>44986</c:v>
                </c:pt>
                <c:pt idx="1433">
                  <c:v>44986</c:v>
                </c:pt>
                <c:pt idx="1434">
                  <c:v>44986</c:v>
                </c:pt>
                <c:pt idx="1435">
                  <c:v>44986</c:v>
                </c:pt>
                <c:pt idx="1436">
                  <c:v>44986</c:v>
                </c:pt>
                <c:pt idx="1437">
                  <c:v>44986</c:v>
                </c:pt>
                <c:pt idx="1438">
                  <c:v>44986</c:v>
                </c:pt>
                <c:pt idx="1439">
                  <c:v>44986</c:v>
                </c:pt>
                <c:pt idx="1440">
                  <c:v>44987</c:v>
                </c:pt>
                <c:pt idx="1441">
                  <c:v>44987</c:v>
                </c:pt>
                <c:pt idx="1442">
                  <c:v>44987</c:v>
                </c:pt>
                <c:pt idx="1443">
                  <c:v>44987</c:v>
                </c:pt>
                <c:pt idx="1444">
                  <c:v>44987</c:v>
                </c:pt>
                <c:pt idx="1445">
                  <c:v>44987</c:v>
                </c:pt>
                <c:pt idx="1446">
                  <c:v>44987</c:v>
                </c:pt>
                <c:pt idx="1447">
                  <c:v>44987</c:v>
                </c:pt>
                <c:pt idx="1448">
                  <c:v>44987</c:v>
                </c:pt>
                <c:pt idx="1449">
                  <c:v>44987</c:v>
                </c:pt>
                <c:pt idx="1450">
                  <c:v>44987</c:v>
                </c:pt>
                <c:pt idx="1451">
                  <c:v>44987</c:v>
                </c:pt>
                <c:pt idx="1452">
                  <c:v>44987</c:v>
                </c:pt>
                <c:pt idx="1453">
                  <c:v>44987</c:v>
                </c:pt>
                <c:pt idx="1454">
                  <c:v>44987</c:v>
                </c:pt>
                <c:pt idx="1455">
                  <c:v>44987</c:v>
                </c:pt>
                <c:pt idx="1456">
                  <c:v>44987</c:v>
                </c:pt>
                <c:pt idx="1457">
                  <c:v>44987</c:v>
                </c:pt>
                <c:pt idx="1458">
                  <c:v>44987</c:v>
                </c:pt>
                <c:pt idx="1459">
                  <c:v>44987</c:v>
                </c:pt>
                <c:pt idx="1460">
                  <c:v>44987</c:v>
                </c:pt>
                <c:pt idx="1461">
                  <c:v>44987</c:v>
                </c:pt>
                <c:pt idx="1462">
                  <c:v>44987</c:v>
                </c:pt>
                <c:pt idx="1463">
                  <c:v>44987</c:v>
                </c:pt>
                <c:pt idx="1464">
                  <c:v>44988</c:v>
                </c:pt>
                <c:pt idx="1465">
                  <c:v>44988</c:v>
                </c:pt>
                <c:pt idx="1466">
                  <c:v>44988</c:v>
                </c:pt>
                <c:pt idx="1467">
                  <c:v>44988</c:v>
                </c:pt>
                <c:pt idx="1468">
                  <c:v>44988</c:v>
                </c:pt>
                <c:pt idx="1469">
                  <c:v>44988</c:v>
                </c:pt>
                <c:pt idx="1470">
                  <c:v>44988</c:v>
                </c:pt>
                <c:pt idx="1471">
                  <c:v>44988</c:v>
                </c:pt>
                <c:pt idx="1472">
                  <c:v>44988</c:v>
                </c:pt>
                <c:pt idx="1473">
                  <c:v>44988</c:v>
                </c:pt>
                <c:pt idx="1474">
                  <c:v>44988</c:v>
                </c:pt>
                <c:pt idx="1475">
                  <c:v>44988</c:v>
                </c:pt>
                <c:pt idx="1476">
                  <c:v>44988</c:v>
                </c:pt>
                <c:pt idx="1477">
                  <c:v>44988</c:v>
                </c:pt>
                <c:pt idx="1478">
                  <c:v>44988</c:v>
                </c:pt>
                <c:pt idx="1479">
                  <c:v>44988</c:v>
                </c:pt>
                <c:pt idx="1480">
                  <c:v>44988</c:v>
                </c:pt>
                <c:pt idx="1481">
                  <c:v>44988</c:v>
                </c:pt>
                <c:pt idx="1482">
                  <c:v>44988</c:v>
                </c:pt>
                <c:pt idx="1483">
                  <c:v>44988</c:v>
                </c:pt>
                <c:pt idx="1484">
                  <c:v>44988</c:v>
                </c:pt>
                <c:pt idx="1485">
                  <c:v>44988</c:v>
                </c:pt>
                <c:pt idx="1486">
                  <c:v>44988</c:v>
                </c:pt>
                <c:pt idx="1487">
                  <c:v>44988</c:v>
                </c:pt>
                <c:pt idx="1488">
                  <c:v>44989</c:v>
                </c:pt>
                <c:pt idx="1489">
                  <c:v>44989</c:v>
                </c:pt>
                <c:pt idx="1490">
                  <c:v>44989</c:v>
                </c:pt>
                <c:pt idx="1491">
                  <c:v>44989</c:v>
                </c:pt>
                <c:pt idx="1492">
                  <c:v>44989</c:v>
                </c:pt>
                <c:pt idx="1493">
                  <c:v>44989</c:v>
                </c:pt>
                <c:pt idx="1494">
                  <c:v>44989</c:v>
                </c:pt>
                <c:pt idx="1495">
                  <c:v>44989</c:v>
                </c:pt>
                <c:pt idx="1496">
                  <c:v>44989</c:v>
                </c:pt>
                <c:pt idx="1497">
                  <c:v>44989</c:v>
                </c:pt>
                <c:pt idx="1498">
                  <c:v>44989</c:v>
                </c:pt>
                <c:pt idx="1499">
                  <c:v>44989</c:v>
                </c:pt>
                <c:pt idx="1500">
                  <c:v>44989</c:v>
                </c:pt>
                <c:pt idx="1501">
                  <c:v>44989</c:v>
                </c:pt>
                <c:pt idx="1502">
                  <c:v>44989</c:v>
                </c:pt>
                <c:pt idx="1503">
                  <c:v>44989</c:v>
                </c:pt>
                <c:pt idx="1504">
                  <c:v>44989</c:v>
                </c:pt>
                <c:pt idx="1505">
                  <c:v>44989</c:v>
                </c:pt>
                <c:pt idx="1506">
                  <c:v>44989</c:v>
                </c:pt>
                <c:pt idx="1507">
                  <c:v>44989</c:v>
                </c:pt>
                <c:pt idx="1508">
                  <c:v>44989</c:v>
                </c:pt>
                <c:pt idx="1509">
                  <c:v>44989</c:v>
                </c:pt>
                <c:pt idx="1510">
                  <c:v>44989</c:v>
                </c:pt>
                <c:pt idx="1511">
                  <c:v>44989</c:v>
                </c:pt>
                <c:pt idx="1512">
                  <c:v>44990</c:v>
                </c:pt>
                <c:pt idx="1513">
                  <c:v>44990</c:v>
                </c:pt>
                <c:pt idx="1514">
                  <c:v>44990</c:v>
                </c:pt>
                <c:pt idx="1515">
                  <c:v>44990</c:v>
                </c:pt>
                <c:pt idx="1516">
                  <c:v>44990</c:v>
                </c:pt>
                <c:pt idx="1517">
                  <c:v>44990</c:v>
                </c:pt>
                <c:pt idx="1518">
                  <c:v>44990</c:v>
                </c:pt>
                <c:pt idx="1519">
                  <c:v>44990</c:v>
                </c:pt>
                <c:pt idx="1520">
                  <c:v>44990</c:v>
                </c:pt>
                <c:pt idx="1521">
                  <c:v>44990</c:v>
                </c:pt>
                <c:pt idx="1522">
                  <c:v>44990</c:v>
                </c:pt>
                <c:pt idx="1523">
                  <c:v>44990</c:v>
                </c:pt>
                <c:pt idx="1524">
                  <c:v>44990</c:v>
                </c:pt>
                <c:pt idx="1525">
                  <c:v>44990</c:v>
                </c:pt>
                <c:pt idx="1526">
                  <c:v>44990</c:v>
                </c:pt>
                <c:pt idx="1527">
                  <c:v>44990</c:v>
                </c:pt>
                <c:pt idx="1528">
                  <c:v>44990</c:v>
                </c:pt>
                <c:pt idx="1529">
                  <c:v>44990</c:v>
                </c:pt>
                <c:pt idx="1530">
                  <c:v>44990</c:v>
                </c:pt>
                <c:pt idx="1531">
                  <c:v>44990</c:v>
                </c:pt>
                <c:pt idx="1532">
                  <c:v>44990</c:v>
                </c:pt>
                <c:pt idx="1533">
                  <c:v>44990</c:v>
                </c:pt>
                <c:pt idx="1534">
                  <c:v>44990</c:v>
                </c:pt>
                <c:pt idx="1535">
                  <c:v>44990</c:v>
                </c:pt>
                <c:pt idx="1536">
                  <c:v>44991</c:v>
                </c:pt>
                <c:pt idx="1537">
                  <c:v>44991</c:v>
                </c:pt>
                <c:pt idx="1538">
                  <c:v>44991</c:v>
                </c:pt>
                <c:pt idx="1539">
                  <c:v>44991</c:v>
                </c:pt>
                <c:pt idx="1540">
                  <c:v>44991</c:v>
                </c:pt>
                <c:pt idx="1541">
                  <c:v>44991</c:v>
                </c:pt>
                <c:pt idx="1542">
                  <c:v>44991</c:v>
                </c:pt>
                <c:pt idx="1543">
                  <c:v>44991</c:v>
                </c:pt>
                <c:pt idx="1544">
                  <c:v>44991</c:v>
                </c:pt>
                <c:pt idx="1545">
                  <c:v>44991</c:v>
                </c:pt>
                <c:pt idx="1546">
                  <c:v>44991</c:v>
                </c:pt>
                <c:pt idx="1547">
                  <c:v>44991</c:v>
                </c:pt>
                <c:pt idx="1548">
                  <c:v>44991</c:v>
                </c:pt>
                <c:pt idx="1549">
                  <c:v>44991</c:v>
                </c:pt>
                <c:pt idx="1550">
                  <c:v>44991</c:v>
                </c:pt>
                <c:pt idx="1551">
                  <c:v>44991</c:v>
                </c:pt>
                <c:pt idx="1552">
                  <c:v>44991</c:v>
                </c:pt>
                <c:pt idx="1553">
                  <c:v>44991</c:v>
                </c:pt>
                <c:pt idx="1554">
                  <c:v>44991</c:v>
                </c:pt>
                <c:pt idx="1555">
                  <c:v>44991</c:v>
                </c:pt>
                <c:pt idx="1556">
                  <c:v>44991</c:v>
                </c:pt>
                <c:pt idx="1557">
                  <c:v>44991</c:v>
                </c:pt>
                <c:pt idx="1558">
                  <c:v>44991</c:v>
                </c:pt>
                <c:pt idx="1559">
                  <c:v>44991</c:v>
                </c:pt>
                <c:pt idx="1560">
                  <c:v>44992</c:v>
                </c:pt>
                <c:pt idx="1561">
                  <c:v>44992</c:v>
                </c:pt>
                <c:pt idx="1562">
                  <c:v>44992</c:v>
                </c:pt>
                <c:pt idx="1563">
                  <c:v>44992</c:v>
                </c:pt>
                <c:pt idx="1564">
                  <c:v>44992</c:v>
                </c:pt>
                <c:pt idx="1565">
                  <c:v>44992</c:v>
                </c:pt>
                <c:pt idx="1566">
                  <c:v>44992</c:v>
                </c:pt>
                <c:pt idx="1567">
                  <c:v>44992</c:v>
                </c:pt>
                <c:pt idx="1568">
                  <c:v>44992</c:v>
                </c:pt>
                <c:pt idx="1569">
                  <c:v>44992</c:v>
                </c:pt>
                <c:pt idx="1570">
                  <c:v>44992</c:v>
                </c:pt>
                <c:pt idx="1571">
                  <c:v>44992</c:v>
                </c:pt>
                <c:pt idx="1572">
                  <c:v>44992</c:v>
                </c:pt>
                <c:pt idx="1573">
                  <c:v>44992</c:v>
                </c:pt>
                <c:pt idx="1574">
                  <c:v>44992</c:v>
                </c:pt>
                <c:pt idx="1575">
                  <c:v>44992</c:v>
                </c:pt>
                <c:pt idx="1576">
                  <c:v>44992</c:v>
                </c:pt>
                <c:pt idx="1577">
                  <c:v>44992</c:v>
                </c:pt>
                <c:pt idx="1578">
                  <c:v>44992</c:v>
                </c:pt>
                <c:pt idx="1579">
                  <c:v>44992</c:v>
                </c:pt>
                <c:pt idx="1580">
                  <c:v>44992</c:v>
                </c:pt>
                <c:pt idx="1581">
                  <c:v>44992</c:v>
                </c:pt>
                <c:pt idx="1582">
                  <c:v>44992</c:v>
                </c:pt>
                <c:pt idx="1583">
                  <c:v>44992</c:v>
                </c:pt>
                <c:pt idx="1584">
                  <c:v>44993</c:v>
                </c:pt>
                <c:pt idx="1585">
                  <c:v>44993</c:v>
                </c:pt>
                <c:pt idx="1586">
                  <c:v>44993</c:v>
                </c:pt>
                <c:pt idx="1587">
                  <c:v>44993</c:v>
                </c:pt>
                <c:pt idx="1588">
                  <c:v>44993</c:v>
                </c:pt>
                <c:pt idx="1589">
                  <c:v>44993</c:v>
                </c:pt>
                <c:pt idx="1590">
                  <c:v>44993</c:v>
                </c:pt>
                <c:pt idx="1591">
                  <c:v>44993</c:v>
                </c:pt>
                <c:pt idx="1592">
                  <c:v>44993</c:v>
                </c:pt>
                <c:pt idx="1593">
                  <c:v>44993</c:v>
                </c:pt>
                <c:pt idx="1594">
                  <c:v>44993</c:v>
                </c:pt>
                <c:pt idx="1595">
                  <c:v>44993</c:v>
                </c:pt>
                <c:pt idx="1596">
                  <c:v>44993</c:v>
                </c:pt>
                <c:pt idx="1597">
                  <c:v>44993</c:v>
                </c:pt>
                <c:pt idx="1598">
                  <c:v>44993</c:v>
                </c:pt>
                <c:pt idx="1599">
                  <c:v>44993</c:v>
                </c:pt>
                <c:pt idx="1600">
                  <c:v>44993</c:v>
                </c:pt>
                <c:pt idx="1601">
                  <c:v>44993</c:v>
                </c:pt>
                <c:pt idx="1602">
                  <c:v>44993</c:v>
                </c:pt>
                <c:pt idx="1603">
                  <c:v>44993</c:v>
                </c:pt>
                <c:pt idx="1604">
                  <c:v>44993</c:v>
                </c:pt>
                <c:pt idx="1605">
                  <c:v>44993</c:v>
                </c:pt>
                <c:pt idx="1606">
                  <c:v>44993</c:v>
                </c:pt>
                <c:pt idx="1607">
                  <c:v>44993</c:v>
                </c:pt>
                <c:pt idx="1608">
                  <c:v>44994</c:v>
                </c:pt>
                <c:pt idx="1609">
                  <c:v>44994</c:v>
                </c:pt>
                <c:pt idx="1610">
                  <c:v>44994</c:v>
                </c:pt>
                <c:pt idx="1611">
                  <c:v>44994</c:v>
                </c:pt>
                <c:pt idx="1612">
                  <c:v>44994</c:v>
                </c:pt>
                <c:pt idx="1613">
                  <c:v>44994</c:v>
                </c:pt>
                <c:pt idx="1614">
                  <c:v>44994</c:v>
                </c:pt>
                <c:pt idx="1615">
                  <c:v>44994</c:v>
                </c:pt>
                <c:pt idx="1616">
                  <c:v>44994</c:v>
                </c:pt>
                <c:pt idx="1617">
                  <c:v>44994</c:v>
                </c:pt>
                <c:pt idx="1618">
                  <c:v>44994</c:v>
                </c:pt>
                <c:pt idx="1619">
                  <c:v>44994</c:v>
                </c:pt>
                <c:pt idx="1620">
                  <c:v>44994</c:v>
                </c:pt>
                <c:pt idx="1621">
                  <c:v>44994</c:v>
                </c:pt>
                <c:pt idx="1622">
                  <c:v>44994</c:v>
                </c:pt>
                <c:pt idx="1623">
                  <c:v>44994</c:v>
                </c:pt>
                <c:pt idx="1624">
                  <c:v>44994</c:v>
                </c:pt>
                <c:pt idx="1625">
                  <c:v>44994</c:v>
                </c:pt>
                <c:pt idx="1626">
                  <c:v>44994</c:v>
                </c:pt>
                <c:pt idx="1627">
                  <c:v>44994</c:v>
                </c:pt>
                <c:pt idx="1628">
                  <c:v>44994</c:v>
                </c:pt>
                <c:pt idx="1629">
                  <c:v>44994</c:v>
                </c:pt>
                <c:pt idx="1630">
                  <c:v>44994</c:v>
                </c:pt>
                <c:pt idx="1631">
                  <c:v>44994</c:v>
                </c:pt>
                <c:pt idx="1632">
                  <c:v>44995</c:v>
                </c:pt>
                <c:pt idx="1633">
                  <c:v>44995</c:v>
                </c:pt>
                <c:pt idx="1634">
                  <c:v>44995</c:v>
                </c:pt>
                <c:pt idx="1635">
                  <c:v>44995</c:v>
                </c:pt>
                <c:pt idx="1636">
                  <c:v>44995</c:v>
                </c:pt>
                <c:pt idx="1637">
                  <c:v>44995</c:v>
                </c:pt>
                <c:pt idx="1638">
                  <c:v>44995</c:v>
                </c:pt>
                <c:pt idx="1639">
                  <c:v>44995</c:v>
                </c:pt>
                <c:pt idx="1640">
                  <c:v>44995</c:v>
                </c:pt>
                <c:pt idx="1641">
                  <c:v>44995</c:v>
                </c:pt>
                <c:pt idx="1642">
                  <c:v>44995</c:v>
                </c:pt>
                <c:pt idx="1643">
                  <c:v>44995</c:v>
                </c:pt>
                <c:pt idx="1644">
                  <c:v>44995</c:v>
                </c:pt>
                <c:pt idx="1645">
                  <c:v>44995</c:v>
                </c:pt>
                <c:pt idx="1646">
                  <c:v>44995</c:v>
                </c:pt>
                <c:pt idx="1647">
                  <c:v>44995</c:v>
                </c:pt>
                <c:pt idx="1648">
                  <c:v>44995</c:v>
                </c:pt>
                <c:pt idx="1649">
                  <c:v>44995</c:v>
                </c:pt>
                <c:pt idx="1650">
                  <c:v>44995</c:v>
                </c:pt>
                <c:pt idx="1651">
                  <c:v>44995</c:v>
                </c:pt>
                <c:pt idx="1652">
                  <c:v>44995</c:v>
                </c:pt>
                <c:pt idx="1653">
                  <c:v>44995</c:v>
                </c:pt>
                <c:pt idx="1654">
                  <c:v>44995</c:v>
                </c:pt>
                <c:pt idx="1655">
                  <c:v>44995</c:v>
                </c:pt>
                <c:pt idx="1656">
                  <c:v>44996</c:v>
                </c:pt>
                <c:pt idx="1657">
                  <c:v>44996</c:v>
                </c:pt>
                <c:pt idx="1658">
                  <c:v>44996</c:v>
                </c:pt>
                <c:pt idx="1659">
                  <c:v>44996</c:v>
                </c:pt>
                <c:pt idx="1660">
                  <c:v>44996</c:v>
                </c:pt>
                <c:pt idx="1661">
                  <c:v>44996</c:v>
                </c:pt>
                <c:pt idx="1662">
                  <c:v>44996</c:v>
                </c:pt>
                <c:pt idx="1663">
                  <c:v>44996</c:v>
                </c:pt>
                <c:pt idx="1664">
                  <c:v>44996</c:v>
                </c:pt>
                <c:pt idx="1665">
                  <c:v>44996</c:v>
                </c:pt>
                <c:pt idx="1666">
                  <c:v>44996</c:v>
                </c:pt>
                <c:pt idx="1667">
                  <c:v>44996</c:v>
                </c:pt>
                <c:pt idx="1668">
                  <c:v>44996</c:v>
                </c:pt>
                <c:pt idx="1669">
                  <c:v>44996</c:v>
                </c:pt>
                <c:pt idx="1670">
                  <c:v>44996</c:v>
                </c:pt>
                <c:pt idx="1671">
                  <c:v>44996</c:v>
                </c:pt>
                <c:pt idx="1672">
                  <c:v>44996</c:v>
                </c:pt>
                <c:pt idx="1673">
                  <c:v>44996</c:v>
                </c:pt>
                <c:pt idx="1674">
                  <c:v>44996</c:v>
                </c:pt>
                <c:pt idx="1675">
                  <c:v>44996</c:v>
                </c:pt>
                <c:pt idx="1676">
                  <c:v>44996</c:v>
                </c:pt>
                <c:pt idx="1677">
                  <c:v>44996</c:v>
                </c:pt>
                <c:pt idx="1678">
                  <c:v>44996</c:v>
                </c:pt>
                <c:pt idx="1679">
                  <c:v>44996</c:v>
                </c:pt>
                <c:pt idx="1680">
                  <c:v>44997</c:v>
                </c:pt>
                <c:pt idx="1681">
                  <c:v>44997</c:v>
                </c:pt>
                <c:pt idx="1682">
                  <c:v>44997</c:v>
                </c:pt>
                <c:pt idx="1683">
                  <c:v>44997</c:v>
                </c:pt>
                <c:pt idx="1684">
                  <c:v>44997</c:v>
                </c:pt>
                <c:pt idx="1685">
                  <c:v>44997</c:v>
                </c:pt>
                <c:pt idx="1686">
                  <c:v>44997</c:v>
                </c:pt>
                <c:pt idx="1687">
                  <c:v>44997</c:v>
                </c:pt>
                <c:pt idx="1688">
                  <c:v>44997</c:v>
                </c:pt>
                <c:pt idx="1689">
                  <c:v>44997</c:v>
                </c:pt>
                <c:pt idx="1690">
                  <c:v>44997</c:v>
                </c:pt>
                <c:pt idx="1691">
                  <c:v>44997</c:v>
                </c:pt>
                <c:pt idx="1692">
                  <c:v>44997</c:v>
                </c:pt>
                <c:pt idx="1693">
                  <c:v>44997</c:v>
                </c:pt>
                <c:pt idx="1694">
                  <c:v>44997</c:v>
                </c:pt>
                <c:pt idx="1695">
                  <c:v>44997</c:v>
                </c:pt>
                <c:pt idx="1696">
                  <c:v>44997</c:v>
                </c:pt>
                <c:pt idx="1697">
                  <c:v>44997</c:v>
                </c:pt>
                <c:pt idx="1698">
                  <c:v>44997</c:v>
                </c:pt>
                <c:pt idx="1699">
                  <c:v>44997</c:v>
                </c:pt>
                <c:pt idx="1700">
                  <c:v>44997</c:v>
                </c:pt>
                <c:pt idx="1701">
                  <c:v>44997</c:v>
                </c:pt>
                <c:pt idx="1702">
                  <c:v>44997</c:v>
                </c:pt>
                <c:pt idx="1703">
                  <c:v>44997</c:v>
                </c:pt>
                <c:pt idx="1704">
                  <c:v>44998</c:v>
                </c:pt>
                <c:pt idx="1705">
                  <c:v>44998</c:v>
                </c:pt>
                <c:pt idx="1706">
                  <c:v>44998</c:v>
                </c:pt>
                <c:pt idx="1707">
                  <c:v>44998</c:v>
                </c:pt>
                <c:pt idx="1708">
                  <c:v>44998</c:v>
                </c:pt>
                <c:pt idx="1709">
                  <c:v>44998</c:v>
                </c:pt>
                <c:pt idx="1710">
                  <c:v>44998</c:v>
                </c:pt>
                <c:pt idx="1711">
                  <c:v>44998</c:v>
                </c:pt>
                <c:pt idx="1712">
                  <c:v>44998</c:v>
                </c:pt>
                <c:pt idx="1713">
                  <c:v>44998</c:v>
                </c:pt>
                <c:pt idx="1714">
                  <c:v>44998</c:v>
                </c:pt>
                <c:pt idx="1715">
                  <c:v>44998</c:v>
                </c:pt>
                <c:pt idx="1716">
                  <c:v>44998</c:v>
                </c:pt>
                <c:pt idx="1717">
                  <c:v>44998</c:v>
                </c:pt>
                <c:pt idx="1718">
                  <c:v>44998</c:v>
                </c:pt>
                <c:pt idx="1719">
                  <c:v>44998</c:v>
                </c:pt>
                <c:pt idx="1720">
                  <c:v>44998</c:v>
                </c:pt>
                <c:pt idx="1721">
                  <c:v>44998</c:v>
                </c:pt>
                <c:pt idx="1722">
                  <c:v>44998</c:v>
                </c:pt>
                <c:pt idx="1723">
                  <c:v>44998</c:v>
                </c:pt>
                <c:pt idx="1724">
                  <c:v>44998</c:v>
                </c:pt>
                <c:pt idx="1725">
                  <c:v>44998</c:v>
                </c:pt>
                <c:pt idx="1726">
                  <c:v>44998</c:v>
                </c:pt>
                <c:pt idx="1727">
                  <c:v>44998</c:v>
                </c:pt>
                <c:pt idx="1728">
                  <c:v>44999</c:v>
                </c:pt>
                <c:pt idx="1729">
                  <c:v>44999</c:v>
                </c:pt>
                <c:pt idx="1730">
                  <c:v>44999</c:v>
                </c:pt>
                <c:pt idx="1731">
                  <c:v>44999</c:v>
                </c:pt>
                <c:pt idx="1732">
                  <c:v>44999</c:v>
                </c:pt>
                <c:pt idx="1733">
                  <c:v>44999</c:v>
                </c:pt>
                <c:pt idx="1734">
                  <c:v>44999</c:v>
                </c:pt>
                <c:pt idx="1735">
                  <c:v>44999</c:v>
                </c:pt>
                <c:pt idx="1736">
                  <c:v>44999</c:v>
                </c:pt>
                <c:pt idx="1737">
                  <c:v>44999</c:v>
                </c:pt>
                <c:pt idx="1738">
                  <c:v>44999</c:v>
                </c:pt>
                <c:pt idx="1739">
                  <c:v>44999</c:v>
                </c:pt>
                <c:pt idx="1740">
                  <c:v>44999</c:v>
                </c:pt>
                <c:pt idx="1741">
                  <c:v>44999</c:v>
                </c:pt>
                <c:pt idx="1742">
                  <c:v>44999</c:v>
                </c:pt>
                <c:pt idx="1743">
                  <c:v>44999</c:v>
                </c:pt>
                <c:pt idx="1744">
                  <c:v>44999</c:v>
                </c:pt>
                <c:pt idx="1745">
                  <c:v>44999</c:v>
                </c:pt>
                <c:pt idx="1746">
                  <c:v>44999</c:v>
                </c:pt>
                <c:pt idx="1747">
                  <c:v>44999</c:v>
                </c:pt>
                <c:pt idx="1748">
                  <c:v>44999</c:v>
                </c:pt>
                <c:pt idx="1749">
                  <c:v>44999</c:v>
                </c:pt>
                <c:pt idx="1750">
                  <c:v>44999</c:v>
                </c:pt>
                <c:pt idx="1751">
                  <c:v>44999</c:v>
                </c:pt>
                <c:pt idx="1752">
                  <c:v>45000</c:v>
                </c:pt>
                <c:pt idx="1753">
                  <c:v>45000</c:v>
                </c:pt>
                <c:pt idx="1754">
                  <c:v>45000</c:v>
                </c:pt>
                <c:pt idx="1755">
                  <c:v>45000</c:v>
                </c:pt>
                <c:pt idx="1756">
                  <c:v>45000</c:v>
                </c:pt>
                <c:pt idx="1757">
                  <c:v>45000</c:v>
                </c:pt>
                <c:pt idx="1758">
                  <c:v>45000</c:v>
                </c:pt>
                <c:pt idx="1759">
                  <c:v>45000</c:v>
                </c:pt>
                <c:pt idx="1760">
                  <c:v>45000</c:v>
                </c:pt>
                <c:pt idx="1761">
                  <c:v>45000</c:v>
                </c:pt>
                <c:pt idx="1762">
                  <c:v>45000</c:v>
                </c:pt>
                <c:pt idx="1763">
                  <c:v>45000</c:v>
                </c:pt>
                <c:pt idx="1764">
                  <c:v>45000</c:v>
                </c:pt>
                <c:pt idx="1765">
                  <c:v>45000</c:v>
                </c:pt>
                <c:pt idx="1766">
                  <c:v>45000</c:v>
                </c:pt>
                <c:pt idx="1767">
                  <c:v>45000</c:v>
                </c:pt>
                <c:pt idx="1768">
                  <c:v>45000</c:v>
                </c:pt>
                <c:pt idx="1769">
                  <c:v>45000</c:v>
                </c:pt>
                <c:pt idx="1770">
                  <c:v>45000</c:v>
                </c:pt>
                <c:pt idx="1771">
                  <c:v>45000</c:v>
                </c:pt>
                <c:pt idx="1772">
                  <c:v>45000</c:v>
                </c:pt>
                <c:pt idx="1773">
                  <c:v>45000</c:v>
                </c:pt>
                <c:pt idx="1774">
                  <c:v>45000</c:v>
                </c:pt>
                <c:pt idx="1775">
                  <c:v>45000</c:v>
                </c:pt>
                <c:pt idx="1776">
                  <c:v>45001</c:v>
                </c:pt>
                <c:pt idx="1777">
                  <c:v>45001</c:v>
                </c:pt>
                <c:pt idx="1778">
                  <c:v>45001</c:v>
                </c:pt>
                <c:pt idx="1779">
                  <c:v>45001</c:v>
                </c:pt>
                <c:pt idx="1780">
                  <c:v>45001</c:v>
                </c:pt>
                <c:pt idx="1781">
                  <c:v>45001</c:v>
                </c:pt>
                <c:pt idx="1782">
                  <c:v>45001</c:v>
                </c:pt>
                <c:pt idx="1783">
                  <c:v>45001</c:v>
                </c:pt>
                <c:pt idx="1784">
                  <c:v>45001</c:v>
                </c:pt>
                <c:pt idx="1785">
                  <c:v>45001</c:v>
                </c:pt>
                <c:pt idx="1786">
                  <c:v>45001</c:v>
                </c:pt>
                <c:pt idx="1787">
                  <c:v>45001</c:v>
                </c:pt>
                <c:pt idx="1788">
                  <c:v>45001</c:v>
                </c:pt>
                <c:pt idx="1789">
                  <c:v>45001</c:v>
                </c:pt>
                <c:pt idx="1790">
                  <c:v>45001</c:v>
                </c:pt>
                <c:pt idx="1791">
                  <c:v>45001</c:v>
                </c:pt>
                <c:pt idx="1792">
                  <c:v>45001</c:v>
                </c:pt>
                <c:pt idx="1793">
                  <c:v>45001</c:v>
                </c:pt>
                <c:pt idx="1794">
                  <c:v>45001</c:v>
                </c:pt>
                <c:pt idx="1795">
                  <c:v>45001</c:v>
                </c:pt>
                <c:pt idx="1796">
                  <c:v>45001</c:v>
                </c:pt>
                <c:pt idx="1797">
                  <c:v>45001</c:v>
                </c:pt>
                <c:pt idx="1798">
                  <c:v>45001</c:v>
                </c:pt>
                <c:pt idx="1799">
                  <c:v>45001</c:v>
                </c:pt>
                <c:pt idx="1800">
                  <c:v>45002</c:v>
                </c:pt>
                <c:pt idx="1801">
                  <c:v>45002</c:v>
                </c:pt>
                <c:pt idx="1802">
                  <c:v>45002</c:v>
                </c:pt>
                <c:pt idx="1803">
                  <c:v>45002</c:v>
                </c:pt>
                <c:pt idx="1804">
                  <c:v>45002</c:v>
                </c:pt>
                <c:pt idx="1805">
                  <c:v>45002</c:v>
                </c:pt>
                <c:pt idx="1806">
                  <c:v>45002</c:v>
                </c:pt>
                <c:pt idx="1807">
                  <c:v>45002</c:v>
                </c:pt>
                <c:pt idx="1808">
                  <c:v>45002</c:v>
                </c:pt>
                <c:pt idx="1809">
                  <c:v>45002</c:v>
                </c:pt>
                <c:pt idx="1810">
                  <c:v>45002</c:v>
                </c:pt>
                <c:pt idx="1811">
                  <c:v>45002</c:v>
                </c:pt>
                <c:pt idx="1812">
                  <c:v>45002</c:v>
                </c:pt>
                <c:pt idx="1813">
                  <c:v>45002</c:v>
                </c:pt>
                <c:pt idx="1814">
                  <c:v>45002</c:v>
                </c:pt>
                <c:pt idx="1815">
                  <c:v>45002</c:v>
                </c:pt>
                <c:pt idx="1816">
                  <c:v>45002</c:v>
                </c:pt>
                <c:pt idx="1817">
                  <c:v>45002</c:v>
                </c:pt>
                <c:pt idx="1818">
                  <c:v>45002</c:v>
                </c:pt>
                <c:pt idx="1819">
                  <c:v>45002</c:v>
                </c:pt>
                <c:pt idx="1820">
                  <c:v>45002</c:v>
                </c:pt>
                <c:pt idx="1821">
                  <c:v>45002</c:v>
                </c:pt>
                <c:pt idx="1822">
                  <c:v>45002</c:v>
                </c:pt>
                <c:pt idx="1823">
                  <c:v>45002</c:v>
                </c:pt>
                <c:pt idx="1824">
                  <c:v>45003</c:v>
                </c:pt>
                <c:pt idx="1825">
                  <c:v>45003</c:v>
                </c:pt>
                <c:pt idx="1826">
                  <c:v>45003</c:v>
                </c:pt>
                <c:pt idx="1827">
                  <c:v>45003</c:v>
                </c:pt>
                <c:pt idx="1828">
                  <c:v>45003</c:v>
                </c:pt>
                <c:pt idx="1829">
                  <c:v>45003</c:v>
                </c:pt>
                <c:pt idx="1830">
                  <c:v>45003</c:v>
                </c:pt>
                <c:pt idx="1831">
                  <c:v>45003</c:v>
                </c:pt>
                <c:pt idx="1832">
                  <c:v>45003</c:v>
                </c:pt>
                <c:pt idx="1833">
                  <c:v>45003</c:v>
                </c:pt>
                <c:pt idx="1834">
                  <c:v>45003</c:v>
                </c:pt>
                <c:pt idx="1835">
                  <c:v>45003</c:v>
                </c:pt>
                <c:pt idx="1836">
                  <c:v>45003</c:v>
                </c:pt>
                <c:pt idx="1837">
                  <c:v>45003</c:v>
                </c:pt>
                <c:pt idx="1838">
                  <c:v>45003</c:v>
                </c:pt>
                <c:pt idx="1839">
                  <c:v>45003</c:v>
                </c:pt>
                <c:pt idx="1840">
                  <c:v>45003</c:v>
                </c:pt>
                <c:pt idx="1841">
                  <c:v>45003</c:v>
                </c:pt>
                <c:pt idx="1842">
                  <c:v>45003</c:v>
                </c:pt>
                <c:pt idx="1843">
                  <c:v>45003</c:v>
                </c:pt>
                <c:pt idx="1844">
                  <c:v>45003</c:v>
                </c:pt>
                <c:pt idx="1845">
                  <c:v>45003</c:v>
                </c:pt>
                <c:pt idx="1846">
                  <c:v>45003</c:v>
                </c:pt>
                <c:pt idx="1847">
                  <c:v>45003</c:v>
                </c:pt>
                <c:pt idx="1848">
                  <c:v>45004</c:v>
                </c:pt>
                <c:pt idx="1849">
                  <c:v>45004</c:v>
                </c:pt>
                <c:pt idx="1850">
                  <c:v>45004</c:v>
                </c:pt>
                <c:pt idx="1851">
                  <c:v>45004</c:v>
                </c:pt>
                <c:pt idx="1852">
                  <c:v>45004</c:v>
                </c:pt>
                <c:pt idx="1853">
                  <c:v>45004</c:v>
                </c:pt>
                <c:pt idx="1854">
                  <c:v>45004</c:v>
                </c:pt>
                <c:pt idx="1855">
                  <c:v>45004</c:v>
                </c:pt>
                <c:pt idx="1856">
                  <c:v>45004</c:v>
                </c:pt>
                <c:pt idx="1857">
                  <c:v>45004</c:v>
                </c:pt>
                <c:pt idx="1858">
                  <c:v>45004</c:v>
                </c:pt>
                <c:pt idx="1859">
                  <c:v>45004</c:v>
                </c:pt>
                <c:pt idx="1860">
                  <c:v>45004</c:v>
                </c:pt>
                <c:pt idx="1861">
                  <c:v>45004</c:v>
                </c:pt>
                <c:pt idx="1862">
                  <c:v>45004</c:v>
                </c:pt>
                <c:pt idx="1863">
                  <c:v>45004</c:v>
                </c:pt>
                <c:pt idx="1864">
                  <c:v>45004</c:v>
                </c:pt>
                <c:pt idx="1865">
                  <c:v>45004</c:v>
                </c:pt>
                <c:pt idx="1866">
                  <c:v>45004</c:v>
                </c:pt>
                <c:pt idx="1867">
                  <c:v>45004</c:v>
                </c:pt>
                <c:pt idx="1868">
                  <c:v>45004</c:v>
                </c:pt>
                <c:pt idx="1869">
                  <c:v>45004</c:v>
                </c:pt>
                <c:pt idx="1870">
                  <c:v>45004</c:v>
                </c:pt>
                <c:pt idx="1871">
                  <c:v>45004</c:v>
                </c:pt>
                <c:pt idx="1872">
                  <c:v>45005</c:v>
                </c:pt>
                <c:pt idx="1873">
                  <c:v>45005</c:v>
                </c:pt>
                <c:pt idx="1874">
                  <c:v>45005</c:v>
                </c:pt>
                <c:pt idx="1875">
                  <c:v>45005</c:v>
                </c:pt>
                <c:pt idx="1876">
                  <c:v>45005</c:v>
                </c:pt>
                <c:pt idx="1877">
                  <c:v>45005</c:v>
                </c:pt>
                <c:pt idx="1878">
                  <c:v>45005</c:v>
                </c:pt>
                <c:pt idx="1879">
                  <c:v>45005</c:v>
                </c:pt>
                <c:pt idx="1880">
                  <c:v>45005</c:v>
                </c:pt>
                <c:pt idx="1881">
                  <c:v>45005</c:v>
                </c:pt>
                <c:pt idx="1882">
                  <c:v>45005</c:v>
                </c:pt>
                <c:pt idx="1883">
                  <c:v>45005</c:v>
                </c:pt>
                <c:pt idx="1884">
                  <c:v>45005</c:v>
                </c:pt>
                <c:pt idx="1885">
                  <c:v>45005</c:v>
                </c:pt>
                <c:pt idx="1886">
                  <c:v>45005</c:v>
                </c:pt>
                <c:pt idx="1887">
                  <c:v>45005</c:v>
                </c:pt>
                <c:pt idx="1888">
                  <c:v>45005</c:v>
                </c:pt>
                <c:pt idx="1889">
                  <c:v>45005</c:v>
                </c:pt>
                <c:pt idx="1890">
                  <c:v>45005</c:v>
                </c:pt>
                <c:pt idx="1891">
                  <c:v>45005</c:v>
                </c:pt>
                <c:pt idx="1892">
                  <c:v>45005</c:v>
                </c:pt>
                <c:pt idx="1893">
                  <c:v>45005</c:v>
                </c:pt>
                <c:pt idx="1894">
                  <c:v>45005</c:v>
                </c:pt>
                <c:pt idx="1895">
                  <c:v>45005</c:v>
                </c:pt>
                <c:pt idx="1896">
                  <c:v>45006</c:v>
                </c:pt>
                <c:pt idx="1897">
                  <c:v>45006</c:v>
                </c:pt>
                <c:pt idx="1898">
                  <c:v>45006</c:v>
                </c:pt>
                <c:pt idx="1899">
                  <c:v>45006</c:v>
                </c:pt>
                <c:pt idx="1900">
                  <c:v>45006</c:v>
                </c:pt>
                <c:pt idx="1901">
                  <c:v>45006</c:v>
                </c:pt>
                <c:pt idx="1902">
                  <c:v>45006</c:v>
                </c:pt>
                <c:pt idx="1903">
                  <c:v>45006</c:v>
                </c:pt>
                <c:pt idx="1904">
                  <c:v>45006</c:v>
                </c:pt>
                <c:pt idx="1905">
                  <c:v>45006</c:v>
                </c:pt>
                <c:pt idx="1906">
                  <c:v>45006</c:v>
                </c:pt>
                <c:pt idx="1907">
                  <c:v>45006</c:v>
                </c:pt>
                <c:pt idx="1908">
                  <c:v>45006</c:v>
                </c:pt>
                <c:pt idx="1909">
                  <c:v>45006</c:v>
                </c:pt>
                <c:pt idx="1910">
                  <c:v>45006</c:v>
                </c:pt>
                <c:pt idx="1911">
                  <c:v>45006</c:v>
                </c:pt>
                <c:pt idx="1912">
                  <c:v>45006</c:v>
                </c:pt>
                <c:pt idx="1913">
                  <c:v>45006</c:v>
                </c:pt>
                <c:pt idx="1914">
                  <c:v>45006</c:v>
                </c:pt>
                <c:pt idx="1915">
                  <c:v>45006</c:v>
                </c:pt>
                <c:pt idx="1916">
                  <c:v>45006</c:v>
                </c:pt>
                <c:pt idx="1917">
                  <c:v>45006</c:v>
                </c:pt>
                <c:pt idx="1918">
                  <c:v>45006</c:v>
                </c:pt>
                <c:pt idx="1919">
                  <c:v>45006</c:v>
                </c:pt>
                <c:pt idx="1920">
                  <c:v>45007</c:v>
                </c:pt>
                <c:pt idx="1921">
                  <c:v>45007</c:v>
                </c:pt>
                <c:pt idx="1922">
                  <c:v>45007</c:v>
                </c:pt>
                <c:pt idx="1923">
                  <c:v>45007</c:v>
                </c:pt>
                <c:pt idx="1924">
                  <c:v>45007</c:v>
                </c:pt>
                <c:pt idx="1925">
                  <c:v>45007</c:v>
                </c:pt>
                <c:pt idx="1926">
                  <c:v>45007</c:v>
                </c:pt>
                <c:pt idx="1927">
                  <c:v>45007</c:v>
                </c:pt>
                <c:pt idx="1928">
                  <c:v>45007</c:v>
                </c:pt>
                <c:pt idx="1929">
                  <c:v>45007</c:v>
                </c:pt>
                <c:pt idx="1930">
                  <c:v>45007</c:v>
                </c:pt>
                <c:pt idx="1931">
                  <c:v>45007</c:v>
                </c:pt>
                <c:pt idx="1932">
                  <c:v>45007</c:v>
                </c:pt>
                <c:pt idx="1933">
                  <c:v>45007</c:v>
                </c:pt>
                <c:pt idx="1934">
                  <c:v>45007</c:v>
                </c:pt>
                <c:pt idx="1935">
                  <c:v>45007</c:v>
                </c:pt>
                <c:pt idx="1936">
                  <c:v>45007</c:v>
                </c:pt>
                <c:pt idx="1937">
                  <c:v>45007</c:v>
                </c:pt>
                <c:pt idx="1938">
                  <c:v>45007</c:v>
                </c:pt>
                <c:pt idx="1939">
                  <c:v>45007</c:v>
                </c:pt>
                <c:pt idx="1940">
                  <c:v>45007</c:v>
                </c:pt>
                <c:pt idx="1941">
                  <c:v>45007</c:v>
                </c:pt>
                <c:pt idx="1942">
                  <c:v>45007</c:v>
                </c:pt>
                <c:pt idx="1943">
                  <c:v>45007</c:v>
                </c:pt>
                <c:pt idx="1944">
                  <c:v>45008</c:v>
                </c:pt>
                <c:pt idx="1945">
                  <c:v>45008</c:v>
                </c:pt>
                <c:pt idx="1946">
                  <c:v>45008</c:v>
                </c:pt>
                <c:pt idx="1947">
                  <c:v>45008</c:v>
                </c:pt>
                <c:pt idx="1948">
                  <c:v>45008</c:v>
                </c:pt>
                <c:pt idx="1949">
                  <c:v>45008</c:v>
                </c:pt>
                <c:pt idx="1950">
                  <c:v>45008</c:v>
                </c:pt>
                <c:pt idx="1951">
                  <c:v>45008</c:v>
                </c:pt>
                <c:pt idx="1952">
                  <c:v>45008</c:v>
                </c:pt>
                <c:pt idx="1953">
                  <c:v>45008</c:v>
                </c:pt>
                <c:pt idx="1954">
                  <c:v>45008</c:v>
                </c:pt>
                <c:pt idx="1955">
                  <c:v>45008</c:v>
                </c:pt>
                <c:pt idx="1956">
                  <c:v>45008</c:v>
                </c:pt>
                <c:pt idx="1957">
                  <c:v>45008</c:v>
                </c:pt>
                <c:pt idx="1958">
                  <c:v>45008</c:v>
                </c:pt>
                <c:pt idx="1959">
                  <c:v>45008</c:v>
                </c:pt>
                <c:pt idx="1960">
                  <c:v>45008</c:v>
                </c:pt>
                <c:pt idx="1961">
                  <c:v>45008</c:v>
                </c:pt>
                <c:pt idx="1962">
                  <c:v>45008</c:v>
                </c:pt>
                <c:pt idx="1963">
                  <c:v>45008</c:v>
                </c:pt>
                <c:pt idx="1964">
                  <c:v>45008</c:v>
                </c:pt>
                <c:pt idx="1965">
                  <c:v>45008</c:v>
                </c:pt>
                <c:pt idx="1966">
                  <c:v>45008</c:v>
                </c:pt>
                <c:pt idx="1967">
                  <c:v>45008</c:v>
                </c:pt>
                <c:pt idx="1968">
                  <c:v>45009</c:v>
                </c:pt>
                <c:pt idx="1969">
                  <c:v>45009</c:v>
                </c:pt>
                <c:pt idx="1970">
                  <c:v>45009</c:v>
                </c:pt>
                <c:pt idx="1971">
                  <c:v>45009</c:v>
                </c:pt>
                <c:pt idx="1972">
                  <c:v>45009</c:v>
                </c:pt>
                <c:pt idx="1973">
                  <c:v>45009</c:v>
                </c:pt>
                <c:pt idx="1974">
                  <c:v>45009</c:v>
                </c:pt>
                <c:pt idx="1975">
                  <c:v>45009</c:v>
                </c:pt>
                <c:pt idx="1976">
                  <c:v>45009</c:v>
                </c:pt>
                <c:pt idx="1977">
                  <c:v>45009</c:v>
                </c:pt>
                <c:pt idx="1978">
                  <c:v>45009</c:v>
                </c:pt>
                <c:pt idx="1979">
                  <c:v>45009</c:v>
                </c:pt>
                <c:pt idx="1980">
                  <c:v>45009</c:v>
                </c:pt>
                <c:pt idx="1981">
                  <c:v>45009</c:v>
                </c:pt>
                <c:pt idx="1982">
                  <c:v>45009</c:v>
                </c:pt>
                <c:pt idx="1983">
                  <c:v>45009</c:v>
                </c:pt>
                <c:pt idx="1984">
                  <c:v>45009</c:v>
                </c:pt>
                <c:pt idx="1985">
                  <c:v>45009</c:v>
                </c:pt>
                <c:pt idx="1986">
                  <c:v>45009</c:v>
                </c:pt>
                <c:pt idx="1987">
                  <c:v>45009</c:v>
                </c:pt>
                <c:pt idx="1988">
                  <c:v>45009</c:v>
                </c:pt>
                <c:pt idx="1989">
                  <c:v>45009</c:v>
                </c:pt>
                <c:pt idx="1990">
                  <c:v>45009</c:v>
                </c:pt>
                <c:pt idx="1991">
                  <c:v>45009</c:v>
                </c:pt>
                <c:pt idx="1992">
                  <c:v>45010</c:v>
                </c:pt>
                <c:pt idx="1993">
                  <c:v>45010</c:v>
                </c:pt>
                <c:pt idx="1994">
                  <c:v>45010</c:v>
                </c:pt>
                <c:pt idx="1995">
                  <c:v>45010</c:v>
                </c:pt>
                <c:pt idx="1996">
                  <c:v>45010</c:v>
                </c:pt>
                <c:pt idx="1997">
                  <c:v>45010</c:v>
                </c:pt>
                <c:pt idx="1998">
                  <c:v>45010</c:v>
                </c:pt>
                <c:pt idx="1999">
                  <c:v>45010</c:v>
                </c:pt>
                <c:pt idx="2000">
                  <c:v>45010</c:v>
                </c:pt>
                <c:pt idx="2001">
                  <c:v>45010</c:v>
                </c:pt>
                <c:pt idx="2002">
                  <c:v>45010</c:v>
                </c:pt>
                <c:pt idx="2003">
                  <c:v>45010</c:v>
                </c:pt>
                <c:pt idx="2004">
                  <c:v>45010</c:v>
                </c:pt>
                <c:pt idx="2005">
                  <c:v>45010</c:v>
                </c:pt>
                <c:pt idx="2006">
                  <c:v>45010</c:v>
                </c:pt>
                <c:pt idx="2007">
                  <c:v>45010</c:v>
                </c:pt>
                <c:pt idx="2008">
                  <c:v>45010</c:v>
                </c:pt>
                <c:pt idx="2009">
                  <c:v>45010</c:v>
                </c:pt>
                <c:pt idx="2010">
                  <c:v>45010</c:v>
                </c:pt>
                <c:pt idx="2011">
                  <c:v>45010</c:v>
                </c:pt>
                <c:pt idx="2012">
                  <c:v>45010</c:v>
                </c:pt>
                <c:pt idx="2013">
                  <c:v>45010</c:v>
                </c:pt>
                <c:pt idx="2014">
                  <c:v>45010</c:v>
                </c:pt>
                <c:pt idx="2015">
                  <c:v>45010</c:v>
                </c:pt>
                <c:pt idx="2016">
                  <c:v>45011</c:v>
                </c:pt>
                <c:pt idx="2017">
                  <c:v>45011</c:v>
                </c:pt>
                <c:pt idx="2018">
                  <c:v>45011</c:v>
                </c:pt>
                <c:pt idx="2019">
                  <c:v>45011</c:v>
                </c:pt>
                <c:pt idx="2020">
                  <c:v>45011</c:v>
                </c:pt>
                <c:pt idx="2021">
                  <c:v>45011</c:v>
                </c:pt>
                <c:pt idx="2022">
                  <c:v>45011</c:v>
                </c:pt>
                <c:pt idx="2023">
                  <c:v>45011</c:v>
                </c:pt>
                <c:pt idx="2024">
                  <c:v>45011</c:v>
                </c:pt>
                <c:pt idx="2025">
                  <c:v>45011</c:v>
                </c:pt>
                <c:pt idx="2026">
                  <c:v>45011</c:v>
                </c:pt>
                <c:pt idx="2027">
                  <c:v>45011</c:v>
                </c:pt>
                <c:pt idx="2028">
                  <c:v>45011</c:v>
                </c:pt>
                <c:pt idx="2029">
                  <c:v>45011</c:v>
                </c:pt>
                <c:pt idx="2030">
                  <c:v>45011</c:v>
                </c:pt>
                <c:pt idx="2031">
                  <c:v>45011</c:v>
                </c:pt>
                <c:pt idx="2032">
                  <c:v>45011</c:v>
                </c:pt>
                <c:pt idx="2033">
                  <c:v>45011</c:v>
                </c:pt>
                <c:pt idx="2034">
                  <c:v>45011</c:v>
                </c:pt>
                <c:pt idx="2035">
                  <c:v>45011</c:v>
                </c:pt>
                <c:pt idx="2036">
                  <c:v>45011</c:v>
                </c:pt>
                <c:pt idx="2037">
                  <c:v>45011</c:v>
                </c:pt>
                <c:pt idx="2038">
                  <c:v>45011</c:v>
                </c:pt>
                <c:pt idx="2039">
                  <c:v>45011</c:v>
                </c:pt>
                <c:pt idx="2040">
                  <c:v>45012</c:v>
                </c:pt>
                <c:pt idx="2041">
                  <c:v>45012</c:v>
                </c:pt>
                <c:pt idx="2042">
                  <c:v>45012</c:v>
                </c:pt>
                <c:pt idx="2043">
                  <c:v>45012</c:v>
                </c:pt>
                <c:pt idx="2044">
                  <c:v>45012</c:v>
                </c:pt>
                <c:pt idx="2045">
                  <c:v>45012</c:v>
                </c:pt>
                <c:pt idx="2046">
                  <c:v>45012</c:v>
                </c:pt>
                <c:pt idx="2047">
                  <c:v>45012</c:v>
                </c:pt>
                <c:pt idx="2048">
                  <c:v>45012</c:v>
                </c:pt>
                <c:pt idx="2049">
                  <c:v>45012</c:v>
                </c:pt>
                <c:pt idx="2050">
                  <c:v>45012</c:v>
                </c:pt>
                <c:pt idx="2051">
                  <c:v>45012</c:v>
                </c:pt>
                <c:pt idx="2052">
                  <c:v>45012</c:v>
                </c:pt>
                <c:pt idx="2053">
                  <c:v>45012</c:v>
                </c:pt>
                <c:pt idx="2054">
                  <c:v>45012</c:v>
                </c:pt>
                <c:pt idx="2055">
                  <c:v>45012</c:v>
                </c:pt>
                <c:pt idx="2056">
                  <c:v>45012</c:v>
                </c:pt>
                <c:pt idx="2057">
                  <c:v>45012</c:v>
                </c:pt>
                <c:pt idx="2058">
                  <c:v>45012</c:v>
                </c:pt>
                <c:pt idx="2059">
                  <c:v>45012</c:v>
                </c:pt>
                <c:pt idx="2060">
                  <c:v>45012</c:v>
                </c:pt>
                <c:pt idx="2061">
                  <c:v>45012</c:v>
                </c:pt>
                <c:pt idx="2062">
                  <c:v>45012</c:v>
                </c:pt>
                <c:pt idx="2063">
                  <c:v>45012</c:v>
                </c:pt>
                <c:pt idx="2064">
                  <c:v>45013</c:v>
                </c:pt>
                <c:pt idx="2065">
                  <c:v>45013</c:v>
                </c:pt>
                <c:pt idx="2066">
                  <c:v>45013</c:v>
                </c:pt>
                <c:pt idx="2067">
                  <c:v>45013</c:v>
                </c:pt>
                <c:pt idx="2068">
                  <c:v>45013</c:v>
                </c:pt>
                <c:pt idx="2069">
                  <c:v>45013</c:v>
                </c:pt>
                <c:pt idx="2070">
                  <c:v>45013</c:v>
                </c:pt>
                <c:pt idx="2071">
                  <c:v>45013</c:v>
                </c:pt>
                <c:pt idx="2072">
                  <c:v>45013</c:v>
                </c:pt>
                <c:pt idx="2073">
                  <c:v>45013</c:v>
                </c:pt>
                <c:pt idx="2074">
                  <c:v>45013</c:v>
                </c:pt>
                <c:pt idx="2075">
                  <c:v>45013</c:v>
                </c:pt>
                <c:pt idx="2076">
                  <c:v>45013</c:v>
                </c:pt>
                <c:pt idx="2077">
                  <c:v>45013</c:v>
                </c:pt>
                <c:pt idx="2078">
                  <c:v>45013</c:v>
                </c:pt>
                <c:pt idx="2079">
                  <c:v>45013</c:v>
                </c:pt>
                <c:pt idx="2080">
                  <c:v>45013</c:v>
                </c:pt>
                <c:pt idx="2081">
                  <c:v>45013</c:v>
                </c:pt>
                <c:pt idx="2082">
                  <c:v>45013</c:v>
                </c:pt>
                <c:pt idx="2083">
                  <c:v>45013</c:v>
                </c:pt>
                <c:pt idx="2084">
                  <c:v>45013</c:v>
                </c:pt>
                <c:pt idx="2085">
                  <c:v>45013</c:v>
                </c:pt>
                <c:pt idx="2086">
                  <c:v>45013</c:v>
                </c:pt>
                <c:pt idx="2087">
                  <c:v>45013</c:v>
                </c:pt>
                <c:pt idx="2088">
                  <c:v>45014</c:v>
                </c:pt>
                <c:pt idx="2089">
                  <c:v>45014</c:v>
                </c:pt>
                <c:pt idx="2090">
                  <c:v>45014</c:v>
                </c:pt>
                <c:pt idx="2091">
                  <c:v>45014</c:v>
                </c:pt>
                <c:pt idx="2092">
                  <c:v>45014</c:v>
                </c:pt>
                <c:pt idx="2093">
                  <c:v>45014</c:v>
                </c:pt>
                <c:pt idx="2094">
                  <c:v>45014</c:v>
                </c:pt>
                <c:pt idx="2095">
                  <c:v>45014</c:v>
                </c:pt>
                <c:pt idx="2096">
                  <c:v>45014</c:v>
                </c:pt>
                <c:pt idx="2097">
                  <c:v>45014</c:v>
                </c:pt>
                <c:pt idx="2098">
                  <c:v>45014</c:v>
                </c:pt>
                <c:pt idx="2099">
                  <c:v>45014</c:v>
                </c:pt>
                <c:pt idx="2100">
                  <c:v>45014</c:v>
                </c:pt>
                <c:pt idx="2101">
                  <c:v>45014</c:v>
                </c:pt>
                <c:pt idx="2102">
                  <c:v>45014</c:v>
                </c:pt>
                <c:pt idx="2103">
                  <c:v>45014</c:v>
                </c:pt>
                <c:pt idx="2104">
                  <c:v>45014</c:v>
                </c:pt>
                <c:pt idx="2105">
                  <c:v>45014</c:v>
                </c:pt>
                <c:pt idx="2106">
                  <c:v>45014</c:v>
                </c:pt>
                <c:pt idx="2107">
                  <c:v>45014</c:v>
                </c:pt>
                <c:pt idx="2108">
                  <c:v>45014</c:v>
                </c:pt>
                <c:pt idx="2109">
                  <c:v>45014</c:v>
                </c:pt>
                <c:pt idx="2110">
                  <c:v>45014</c:v>
                </c:pt>
                <c:pt idx="2111">
                  <c:v>45014</c:v>
                </c:pt>
                <c:pt idx="2112">
                  <c:v>45015</c:v>
                </c:pt>
                <c:pt idx="2113">
                  <c:v>45015</c:v>
                </c:pt>
                <c:pt idx="2114">
                  <c:v>45015</c:v>
                </c:pt>
                <c:pt idx="2115">
                  <c:v>45015</c:v>
                </c:pt>
                <c:pt idx="2116">
                  <c:v>45015</c:v>
                </c:pt>
                <c:pt idx="2117">
                  <c:v>45015</c:v>
                </c:pt>
                <c:pt idx="2118">
                  <c:v>45015</c:v>
                </c:pt>
                <c:pt idx="2119">
                  <c:v>45015</c:v>
                </c:pt>
                <c:pt idx="2120">
                  <c:v>45015</c:v>
                </c:pt>
                <c:pt idx="2121">
                  <c:v>45015</c:v>
                </c:pt>
                <c:pt idx="2122">
                  <c:v>45015</c:v>
                </c:pt>
                <c:pt idx="2123">
                  <c:v>45015</c:v>
                </c:pt>
                <c:pt idx="2124">
                  <c:v>45015</c:v>
                </c:pt>
                <c:pt idx="2125">
                  <c:v>45015</c:v>
                </c:pt>
                <c:pt idx="2126">
                  <c:v>45015</c:v>
                </c:pt>
                <c:pt idx="2127">
                  <c:v>45015</c:v>
                </c:pt>
                <c:pt idx="2128">
                  <c:v>45015</c:v>
                </c:pt>
                <c:pt idx="2129">
                  <c:v>45015</c:v>
                </c:pt>
                <c:pt idx="2130">
                  <c:v>45015</c:v>
                </c:pt>
                <c:pt idx="2131">
                  <c:v>45015</c:v>
                </c:pt>
                <c:pt idx="2132">
                  <c:v>45015</c:v>
                </c:pt>
                <c:pt idx="2133">
                  <c:v>45015</c:v>
                </c:pt>
                <c:pt idx="2134">
                  <c:v>45015</c:v>
                </c:pt>
                <c:pt idx="2135">
                  <c:v>45015</c:v>
                </c:pt>
                <c:pt idx="2136">
                  <c:v>45016</c:v>
                </c:pt>
                <c:pt idx="2137">
                  <c:v>45016</c:v>
                </c:pt>
                <c:pt idx="2138">
                  <c:v>45016</c:v>
                </c:pt>
                <c:pt idx="2139">
                  <c:v>45016</c:v>
                </c:pt>
                <c:pt idx="2140">
                  <c:v>45016</c:v>
                </c:pt>
                <c:pt idx="2141">
                  <c:v>45016</c:v>
                </c:pt>
                <c:pt idx="2142">
                  <c:v>45016</c:v>
                </c:pt>
                <c:pt idx="2143">
                  <c:v>45016</c:v>
                </c:pt>
                <c:pt idx="2144">
                  <c:v>45016</c:v>
                </c:pt>
                <c:pt idx="2145">
                  <c:v>45016</c:v>
                </c:pt>
                <c:pt idx="2146">
                  <c:v>45016</c:v>
                </c:pt>
                <c:pt idx="2147">
                  <c:v>45016</c:v>
                </c:pt>
                <c:pt idx="2148">
                  <c:v>45016</c:v>
                </c:pt>
                <c:pt idx="2149">
                  <c:v>45016</c:v>
                </c:pt>
                <c:pt idx="2150">
                  <c:v>45016</c:v>
                </c:pt>
                <c:pt idx="2151">
                  <c:v>45016</c:v>
                </c:pt>
                <c:pt idx="2152">
                  <c:v>45016</c:v>
                </c:pt>
                <c:pt idx="2153">
                  <c:v>45016</c:v>
                </c:pt>
                <c:pt idx="2154">
                  <c:v>45016</c:v>
                </c:pt>
                <c:pt idx="2155">
                  <c:v>45016</c:v>
                </c:pt>
                <c:pt idx="2156">
                  <c:v>45016</c:v>
                </c:pt>
                <c:pt idx="2157">
                  <c:v>45016</c:v>
                </c:pt>
                <c:pt idx="2158">
                  <c:v>45016</c:v>
                </c:pt>
                <c:pt idx="2159">
                  <c:v>45016</c:v>
                </c:pt>
                <c:pt idx="2160">
                  <c:v>45017</c:v>
                </c:pt>
                <c:pt idx="2161">
                  <c:v>45017</c:v>
                </c:pt>
                <c:pt idx="2162">
                  <c:v>45017</c:v>
                </c:pt>
                <c:pt idx="2163">
                  <c:v>45017</c:v>
                </c:pt>
                <c:pt idx="2164">
                  <c:v>45017</c:v>
                </c:pt>
                <c:pt idx="2165">
                  <c:v>45017</c:v>
                </c:pt>
                <c:pt idx="2166">
                  <c:v>45017</c:v>
                </c:pt>
                <c:pt idx="2167">
                  <c:v>45017</c:v>
                </c:pt>
                <c:pt idx="2168">
                  <c:v>45017</c:v>
                </c:pt>
                <c:pt idx="2169">
                  <c:v>45017</c:v>
                </c:pt>
                <c:pt idx="2170">
                  <c:v>45017</c:v>
                </c:pt>
                <c:pt idx="2171">
                  <c:v>45017</c:v>
                </c:pt>
                <c:pt idx="2172">
                  <c:v>45017</c:v>
                </c:pt>
                <c:pt idx="2173">
                  <c:v>45017</c:v>
                </c:pt>
                <c:pt idx="2174">
                  <c:v>45017</c:v>
                </c:pt>
                <c:pt idx="2175">
                  <c:v>45017</c:v>
                </c:pt>
                <c:pt idx="2176">
                  <c:v>45017</c:v>
                </c:pt>
                <c:pt idx="2177">
                  <c:v>45017</c:v>
                </c:pt>
                <c:pt idx="2178">
                  <c:v>45017</c:v>
                </c:pt>
                <c:pt idx="2179">
                  <c:v>45017</c:v>
                </c:pt>
                <c:pt idx="2180">
                  <c:v>45017</c:v>
                </c:pt>
                <c:pt idx="2181">
                  <c:v>45017</c:v>
                </c:pt>
                <c:pt idx="2182">
                  <c:v>45017</c:v>
                </c:pt>
                <c:pt idx="2183">
                  <c:v>45017</c:v>
                </c:pt>
                <c:pt idx="2184">
                  <c:v>45018</c:v>
                </c:pt>
                <c:pt idx="2185">
                  <c:v>45018</c:v>
                </c:pt>
                <c:pt idx="2186">
                  <c:v>45018</c:v>
                </c:pt>
                <c:pt idx="2187">
                  <c:v>45018</c:v>
                </c:pt>
                <c:pt idx="2188">
                  <c:v>45018</c:v>
                </c:pt>
                <c:pt idx="2189">
                  <c:v>45018</c:v>
                </c:pt>
                <c:pt idx="2190">
                  <c:v>45018</c:v>
                </c:pt>
                <c:pt idx="2191">
                  <c:v>45018</c:v>
                </c:pt>
                <c:pt idx="2192">
                  <c:v>45018</c:v>
                </c:pt>
                <c:pt idx="2193">
                  <c:v>45018</c:v>
                </c:pt>
                <c:pt idx="2194">
                  <c:v>45018</c:v>
                </c:pt>
                <c:pt idx="2195">
                  <c:v>45018</c:v>
                </c:pt>
                <c:pt idx="2196">
                  <c:v>45018</c:v>
                </c:pt>
                <c:pt idx="2197">
                  <c:v>45018</c:v>
                </c:pt>
                <c:pt idx="2198">
                  <c:v>45018</c:v>
                </c:pt>
                <c:pt idx="2199">
                  <c:v>45018</c:v>
                </c:pt>
                <c:pt idx="2200">
                  <c:v>45018</c:v>
                </c:pt>
                <c:pt idx="2201">
                  <c:v>45018</c:v>
                </c:pt>
                <c:pt idx="2202">
                  <c:v>45018</c:v>
                </c:pt>
                <c:pt idx="2203">
                  <c:v>45018</c:v>
                </c:pt>
                <c:pt idx="2204">
                  <c:v>45018</c:v>
                </c:pt>
                <c:pt idx="2205">
                  <c:v>45018</c:v>
                </c:pt>
                <c:pt idx="2206">
                  <c:v>45018</c:v>
                </c:pt>
                <c:pt idx="2207">
                  <c:v>45018</c:v>
                </c:pt>
                <c:pt idx="2208">
                  <c:v>45019</c:v>
                </c:pt>
                <c:pt idx="2209">
                  <c:v>45019</c:v>
                </c:pt>
                <c:pt idx="2210">
                  <c:v>45019</c:v>
                </c:pt>
                <c:pt idx="2211">
                  <c:v>45019</c:v>
                </c:pt>
                <c:pt idx="2212">
                  <c:v>45019</c:v>
                </c:pt>
                <c:pt idx="2213">
                  <c:v>45019</c:v>
                </c:pt>
                <c:pt idx="2214">
                  <c:v>45019</c:v>
                </c:pt>
                <c:pt idx="2215">
                  <c:v>45019</c:v>
                </c:pt>
                <c:pt idx="2216">
                  <c:v>45019</c:v>
                </c:pt>
                <c:pt idx="2217">
                  <c:v>45019</c:v>
                </c:pt>
                <c:pt idx="2218">
                  <c:v>45019</c:v>
                </c:pt>
                <c:pt idx="2219">
                  <c:v>45019</c:v>
                </c:pt>
                <c:pt idx="2220">
                  <c:v>45019</c:v>
                </c:pt>
                <c:pt idx="2221">
                  <c:v>45019</c:v>
                </c:pt>
                <c:pt idx="2222">
                  <c:v>45019</c:v>
                </c:pt>
                <c:pt idx="2223">
                  <c:v>45019</c:v>
                </c:pt>
                <c:pt idx="2224">
                  <c:v>45019</c:v>
                </c:pt>
                <c:pt idx="2225">
                  <c:v>45019</c:v>
                </c:pt>
                <c:pt idx="2226">
                  <c:v>45019</c:v>
                </c:pt>
                <c:pt idx="2227">
                  <c:v>45019</c:v>
                </c:pt>
                <c:pt idx="2228">
                  <c:v>45019</c:v>
                </c:pt>
                <c:pt idx="2229">
                  <c:v>45019</c:v>
                </c:pt>
                <c:pt idx="2230">
                  <c:v>45019</c:v>
                </c:pt>
                <c:pt idx="2231">
                  <c:v>45019</c:v>
                </c:pt>
                <c:pt idx="2232">
                  <c:v>45020</c:v>
                </c:pt>
                <c:pt idx="2233">
                  <c:v>45020</c:v>
                </c:pt>
                <c:pt idx="2234">
                  <c:v>45020</c:v>
                </c:pt>
                <c:pt idx="2235">
                  <c:v>45020</c:v>
                </c:pt>
                <c:pt idx="2236">
                  <c:v>45020</c:v>
                </c:pt>
                <c:pt idx="2237">
                  <c:v>45020</c:v>
                </c:pt>
                <c:pt idx="2238">
                  <c:v>45020</c:v>
                </c:pt>
                <c:pt idx="2239">
                  <c:v>45020</c:v>
                </c:pt>
                <c:pt idx="2240">
                  <c:v>45020</c:v>
                </c:pt>
                <c:pt idx="2241">
                  <c:v>45020</c:v>
                </c:pt>
                <c:pt idx="2242">
                  <c:v>45020</c:v>
                </c:pt>
                <c:pt idx="2243">
                  <c:v>45020</c:v>
                </c:pt>
                <c:pt idx="2244">
                  <c:v>45020</c:v>
                </c:pt>
                <c:pt idx="2245">
                  <c:v>45020</c:v>
                </c:pt>
                <c:pt idx="2246">
                  <c:v>45020</c:v>
                </c:pt>
                <c:pt idx="2247">
                  <c:v>45020</c:v>
                </c:pt>
                <c:pt idx="2248">
                  <c:v>45020</c:v>
                </c:pt>
                <c:pt idx="2249">
                  <c:v>45020</c:v>
                </c:pt>
                <c:pt idx="2250">
                  <c:v>45020</c:v>
                </c:pt>
                <c:pt idx="2251">
                  <c:v>45020</c:v>
                </c:pt>
                <c:pt idx="2252">
                  <c:v>45020</c:v>
                </c:pt>
                <c:pt idx="2253">
                  <c:v>45020</c:v>
                </c:pt>
                <c:pt idx="2254">
                  <c:v>45020</c:v>
                </c:pt>
                <c:pt idx="2255">
                  <c:v>45020</c:v>
                </c:pt>
                <c:pt idx="2256">
                  <c:v>45017</c:v>
                </c:pt>
                <c:pt idx="2257">
                  <c:v>45017</c:v>
                </c:pt>
                <c:pt idx="2258">
                  <c:v>45017</c:v>
                </c:pt>
                <c:pt idx="2259">
                  <c:v>45017</c:v>
                </c:pt>
                <c:pt idx="2260">
                  <c:v>45017</c:v>
                </c:pt>
                <c:pt idx="2261">
                  <c:v>45017</c:v>
                </c:pt>
                <c:pt idx="2262">
                  <c:v>45017</c:v>
                </c:pt>
                <c:pt idx="2263">
                  <c:v>45017</c:v>
                </c:pt>
                <c:pt idx="2264">
                  <c:v>45017</c:v>
                </c:pt>
                <c:pt idx="2265">
                  <c:v>45017</c:v>
                </c:pt>
                <c:pt idx="2266">
                  <c:v>45017</c:v>
                </c:pt>
                <c:pt idx="2267">
                  <c:v>45017</c:v>
                </c:pt>
                <c:pt idx="2268">
                  <c:v>45017</c:v>
                </c:pt>
                <c:pt idx="2269">
                  <c:v>45017</c:v>
                </c:pt>
                <c:pt idx="2270">
                  <c:v>45017</c:v>
                </c:pt>
                <c:pt idx="2271">
                  <c:v>45017</c:v>
                </c:pt>
                <c:pt idx="2272">
                  <c:v>45017</c:v>
                </c:pt>
                <c:pt idx="2273">
                  <c:v>45017</c:v>
                </c:pt>
                <c:pt idx="2274">
                  <c:v>45017</c:v>
                </c:pt>
                <c:pt idx="2275">
                  <c:v>45017</c:v>
                </c:pt>
                <c:pt idx="2276">
                  <c:v>45017</c:v>
                </c:pt>
                <c:pt idx="2277">
                  <c:v>45017</c:v>
                </c:pt>
                <c:pt idx="2278">
                  <c:v>45017</c:v>
                </c:pt>
                <c:pt idx="2279">
                  <c:v>45017</c:v>
                </c:pt>
                <c:pt idx="2280">
                  <c:v>45018</c:v>
                </c:pt>
                <c:pt idx="2281">
                  <c:v>45018</c:v>
                </c:pt>
                <c:pt idx="2282">
                  <c:v>45018</c:v>
                </c:pt>
                <c:pt idx="2283">
                  <c:v>45018</c:v>
                </c:pt>
                <c:pt idx="2284">
                  <c:v>45018</c:v>
                </c:pt>
                <c:pt idx="2285">
                  <c:v>45018</c:v>
                </c:pt>
                <c:pt idx="2286">
                  <c:v>45018</c:v>
                </c:pt>
                <c:pt idx="2287">
                  <c:v>45018</c:v>
                </c:pt>
                <c:pt idx="2288">
                  <c:v>45018</c:v>
                </c:pt>
                <c:pt idx="2289">
                  <c:v>45018</c:v>
                </c:pt>
                <c:pt idx="2290">
                  <c:v>45018</c:v>
                </c:pt>
                <c:pt idx="2291">
                  <c:v>45018</c:v>
                </c:pt>
                <c:pt idx="2292">
                  <c:v>45018</c:v>
                </c:pt>
                <c:pt idx="2293">
                  <c:v>45018</c:v>
                </c:pt>
                <c:pt idx="2294">
                  <c:v>45018</c:v>
                </c:pt>
                <c:pt idx="2295">
                  <c:v>45018</c:v>
                </c:pt>
                <c:pt idx="2296">
                  <c:v>45018</c:v>
                </c:pt>
                <c:pt idx="2297">
                  <c:v>45018</c:v>
                </c:pt>
                <c:pt idx="2298">
                  <c:v>45018</c:v>
                </c:pt>
                <c:pt idx="2299">
                  <c:v>45018</c:v>
                </c:pt>
                <c:pt idx="2300">
                  <c:v>45018</c:v>
                </c:pt>
                <c:pt idx="2301">
                  <c:v>45018</c:v>
                </c:pt>
                <c:pt idx="2302">
                  <c:v>45018</c:v>
                </c:pt>
                <c:pt idx="2303">
                  <c:v>45018</c:v>
                </c:pt>
                <c:pt idx="2304">
                  <c:v>45019</c:v>
                </c:pt>
                <c:pt idx="2305">
                  <c:v>45019</c:v>
                </c:pt>
                <c:pt idx="2306">
                  <c:v>45019</c:v>
                </c:pt>
                <c:pt idx="2307">
                  <c:v>45019</c:v>
                </c:pt>
                <c:pt idx="2308">
                  <c:v>45019</c:v>
                </c:pt>
                <c:pt idx="2309">
                  <c:v>45019</c:v>
                </c:pt>
                <c:pt idx="2310">
                  <c:v>45019</c:v>
                </c:pt>
                <c:pt idx="2311">
                  <c:v>45019</c:v>
                </c:pt>
                <c:pt idx="2312">
                  <c:v>45019</c:v>
                </c:pt>
                <c:pt idx="2313">
                  <c:v>45019</c:v>
                </c:pt>
                <c:pt idx="2314">
                  <c:v>45019</c:v>
                </c:pt>
                <c:pt idx="2315">
                  <c:v>45019</c:v>
                </c:pt>
                <c:pt idx="2316">
                  <c:v>45019</c:v>
                </c:pt>
                <c:pt idx="2317">
                  <c:v>45019</c:v>
                </c:pt>
                <c:pt idx="2318">
                  <c:v>45019</c:v>
                </c:pt>
                <c:pt idx="2319">
                  <c:v>45019</c:v>
                </c:pt>
                <c:pt idx="2320">
                  <c:v>45019</c:v>
                </c:pt>
                <c:pt idx="2321">
                  <c:v>45019</c:v>
                </c:pt>
                <c:pt idx="2322">
                  <c:v>45019</c:v>
                </c:pt>
                <c:pt idx="2323">
                  <c:v>45019</c:v>
                </c:pt>
                <c:pt idx="2324">
                  <c:v>45019</c:v>
                </c:pt>
                <c:pt idx="2325">
                  <c:v>45019</c:v>
                </c:pt>
                <c:pt idx="2326">
                  <c:v>45019</c:v>
                </c:pt>
                <c:pt idx="2327">
                  <c:v>45019</c:v>
                </c:pt>
                <c:pt idx="2328">
                  <c:v>45020</c:v>
                </c:pt>
                <c:pt idx="2329">
                  <c:v>45020</c:v>
                </c:pt>
                <c:pt idx="2330">
                  <c:v>45020</c:v>
                </c:pt>
                <c:pt idx="2331">
                  <c:v>45020</c:v>
                </c:pt>
                <c:pt idx="2332">
                  <c:v>45020</c:v>
                </c:pt>
                <c:pt idx="2333">
                  <c:v>45020</c:v>
                </c:pt>
                <c:pt idx="2334">
                  <c:v>45020</c:v>
                </c:pt>
                <c:pt idx="2335">
                  <c:v>45020</c:v>
                </c:pt>
                <c:pt idx="2336">
                  <c:v>45020</c:v>
                </c:pt>
                <c:pt idx="2337">
                  <c:v>45020</c:v>
                </c:pt>
                <c:pt idx="2338">
                  <c:v>45020</c:v>
                </c:pt>
                <c:pt idx="2339">
                  <c:v>45020</c:v>
                </c:pt>
                <c:pt idx="2340">
                  <c:v>45020</c:v>
                </c:pt>
                <c:pt idx="2341">
                  <c:v>45020</c:v>
                </c:pt>
                <c:pt idx="2342">
                  <c:v>45020</c:v>
                </c:pt>
                <c:pt idx="2343">
                  <c:v>45020</c:v>
                </c:pt>
                <c:pt idx="2344">
                  <c:v>45020</c:v>
                </c:pt>
                <c:pt idx="2345">
                  <c:v>45020</c:v>
                </c:pt>
                <c:pt idx="2346">
                  <c:v>45020</c:v>
                </c:pt>
                <c:pt idx="2347">
                  <c:v>45020</c:v>
                </c:pt>
                <c:pt idx="2348">
                  <c:v>45020</c:v>
                </c:pt>
                <c:pt idx="2349">
                  <c:v>45020</c:v>
                </c:pt>
                <c:pt idx="2350">
                  <c:v>45020</c:v>
                </c:pt>
                <c:pt idx="2351">
                  <c:v>45020</c:v>
                </c:pt>
                <c:pt idx="2352">
                  <c:v>45021</c:v>
                </c:pt>
                <c:pt idx="2353">
                  <c:v>45021</c:v>
                </c:pt>
                <c:pt idx="2354">
                  <c:v>45021</c:v>
                </c:pt>
                <c:pt idx="2355">
                  <c:v>45021</c:v>
                </c:pt>
                <c:pt idx="2356">
                  <c:v>45021</c:v>
                </c:pt>
                <c:pt idx="2357">
                  <c:v>45021</c:v>
                </c:pt>
                <c:pt idx="2358">
                  <c:v>45021</c:v>
                </c:pt>
                <c:pt idx="2359">
                  <c:v>45021</c:v>
                </c:pt>
                <c:pt idx="2360">
                  <c:v>45021</c:v>
                </c:pt>
                <c:pt idx="2361">
                  <c:v>45021</c:v>
                </c:pt>
                <c:pt idx="2362">
                  <c:v>45021</c:v>
                </c:pt>
                <c:pt idx="2363">
                  <c:v>45021</c:v>
                </c:pt>
                <c:pt idx="2364">
                  <c:v>45021</c:v>
                </c:pt>
                <c:pt idx="2365">
                  <c:v>45021</c:v>
                </c:pt>
                <c:pt idx="2366">
                  <c:v>45021</c:v>
                </c:pt>
                <c:pt idx="2367">
                  <c:v>45021</c:v>
                </c:pt>
                <c:pt idx="2368">
                  <c:v>45021</c:v>
                </c:pt>
                <c:pt idx="2369">
                  <c:v>45021</c:v>
                </c:pt>
                <c:pt idx="2370">
                  <c:v>45021</c:v>
                </c:pt>
                <c:pt idx="2371">
                  <c:v>45021</c:v>
                </c:pt>
                <c:pt idx="2372">
                  <c:v>45021</c:v>
                </c:pt>
                <c:pt idx="2373">
                  <c:v>45021</c:v>
                </c:pt>
                <c:pt idx="2374">
                  <c:v>45021</c:v>
                </c:pt>
                <c:pt idx="2375">
                  <c:v>45021</c:v>
                </c:pt>
                <c:pt idx="2376">
                  <c:v>45022</c:v>
                </c:pt>
                <c:pt idx="2377">
                  <c:v>45022</c:v>
                </c:pt>
                <c:pt idx="2378">
                  <c:v>45022</c:v>
                </c:pt>
                <c:pt idx="2379">
                  <c:v>45022</c:v>
                </c:pt>
                <c:pt idx="2380">
                  <c:v>45022</c:v>
                </c:pt>
                <c:pt idx="2381">
                  <c:v>45022</c:v>
                </c:pt>
                <c:pt idx="2382">
                  <c:v>45022</c:v>
                </c:pt>
                <c:pt idx="2383">
                  <c:v>45022</c:v>
                </c:pt>
                <c:pt idx="2384">
                  <c:v>45022</c:v>
                </c:pt>
                <c:pt idx="2385">
                  <c:v>45022</c:v>
                </c:pt>
                <c:pt idx="2386">
                  <c:v>45022</c:v>
                </c:pt>
                <c:pt idx="2387">
                  <c:v>45022</c:v>
                </c:pt>
                <c:pt idx="2388">
                  <c:v>45022</c:v>
                </c:pt>
                <c:pt idx="2389">
                  <c:v>45022</c:v>
                </c:pt>
                <c:pt idx="2390">
                  <c:v>45022</c:v>
                </c:pt>
                <c:pt idx="2391">
                  <c:v>45022</c:v>
                </c:pt>
                <c:pt idx="2392">
                  <c:v>45022</c:v>
                </c:pt>
                <c:pt idx="2393">
                  <c:v>45022</c:v>
                </c:pt>
                <c:pt idx="2394">
                  <c:v>45022</c:v>
                </c:pt>
                <c:pt idx="2395">
                  <c:v>45022</c:v>
                </c:pt>
                <c:pt idx="2396">
                  <c:v>45022</c:v>
                </c:pt>
                <c:pt idx="2397">
                  <c:v>45022</c:v>
                </c:pt>
                <c:pt idx="2398">
                  <c:v>45022</c:v>
                </c:pt>
                <c:pt idx="2399">
                  <c:v>45022</c:v>
                </c:pt>
                <c:pt idx="2400">
                  <c:v>45023</c:v>
                </c:pt>
                <c:pt idx="2401">
                  <c:v>45023</c:v>
                </c:pt>
                <c:pt idx="2402">
                  <c:v>45023</c:v>
                </c:pt>
                <c:pt idx="2403">
                  <c:v>45023</c:v>
                </c:pt>
                <c:pt idx="2404">
                  <c:v>45023</c:v>
                </c:pt>
                <c:pt idx="2405">
                  <c:v>45023</c:v>
                </c:pt>
                <c:pt idx="2406">
                  <c:v>45023</c:v>
                </c:pt>
                <c:pt idx="2407">
                  <c:v>45023</c:v>
                </c:pt>
                <c:pt idx="2408">
                  <c:v>45023</c:v>
                </c:pt>
                <c:pt idx="2409">
                  <c:v>45023</c:v>
                </c:pt>
                <c:pt idx="2410">
                  <c:v>45023</c:v>
                </c:pt>
                <c:pt idx="2411">
                  <c:v>45023</c:v>
                </c:pt>
                <c:pt idx="2412">
                  <c:v>45023</c:v>
                </c:pt>
                <c:pt idx="2413">
                  <c:v>45023</c:v>
                </c:pt>
                <c:pt idx="2414">
                  <c:v>45023</c:v>
                </c:pt>
                <c:pt idx="2415">
                  <c:v>45023</c:v>
                </c:pt>
                <c:pt idx="2416">
                  <c:v>45023</c:v>
                </c:pt>
                <c:pt idx="2417">
                  <c:v>45023</c:v>
                </c:pt>
                <c:pt idx="2418">
                  <c:v>45023</c:v>
                </c:pt>
                <c:pt idx="2419">
                  <c:v>45023</c:v>
                </c:pt>
                <c:pt idx="2420">
                  <c:v>45023</c:v>
                </c:pt>
                <c:pt idx="2421">
                  <c:v>45023</c:v>
                </c:pt>
                <c:pt idx="2422">
                  <c:v>45023</c:v>
                </c:pt>
                <c:pt idx="2423">
                  <c:v>45023</c:v>
                </c:pt>
                <c:pt idx="2424">
                  <c:v>45024</c:v>
                </c:pt>
                <c:pt idx="2425">
                  <c:v>45024</c:v>
                </c:pt>
                <c:pt idx="2426">
                  <c:v>45024</c:v>
                </c:pt>
                <c:pt idx="2427">
                  <c:v>45024</c:v>
                </c:pt>
                <c:pt idx="2428">
                  <c:v>45024</c:v>
                </c:pt>
                <c:pt idx="2429">
                  <c:v>45024</c:v>
                </c:pt>
                <c:pt idx="2430">
                  <c:v>45024</c:v>
                </c:pt>
                <c:pt idx="2431">
                  <c:v>45024</c:v>
                </c:pt>
                <c:pt idx="2432">
                  <c:v>45024</c:v>
                </c:pt>
                <c:pt idx="2433">
                  <c:v>45024</c:v>
                </c:pt>
                <c:pt idx="2434">
                  <c:v>45024</c:v>
                </c:pt>
                <c:pt idx="2435">
                  <c:v>45024</c:v>
                </c:pt>
                <c:pt idx="2436">
                  <c:v>45024</c:v>
                </c:pt>
                <c:pt idx="2437">
                  <c:v>45024</c:v>
                </c:pt>
                <c:pt idx="2438">
                  <c:v>45024</c:v>
                </c:pt>
                <c:pt idx="2439">
                  <c:v>45024</c:v>
                </c:pt>
                <c:pt idx="2440">
                  <c:v>45024</c:v>
                </c:pt>
                <c:pt idx="2441">
                  <c:v>45024</c:v>
                </c:pt>
                <c:pt idx="2442">
                  <c:v>45024</c:v>
                </c:pt>
                <c:pt idx="2443">
                  <c:v>45024</c:v>
                </c:pt>
                <c:pt idx="2444">
                  <c:v>45024</c:v>
                </c:pt>
                <c:pt idx="2445">
                  <c:v>45024</c:v>
                </c:pt>
                <c:pt idx="2446">
                  <c:v>45024</c:v>
                </c:pt>
                <c:pt idx="2447">
                  <c:v>45024</c:v>
                </c:pt>
                <c:pt idx="2448">
                  <c:v>45025</c:v>
                </c:pt>
                <c:pt idx="2449">
                  <c:v>45025</c:v>
                </c:pt>
                <c:pt idx="2450">
                  <c:v>45025</c:v>
                </c:pt>
                <c:pt idx="2451">
                  <c:v>45025</c:v>
                </c:pt>
                <c:pt idx="2452">
                  <c:v>45025</c:v>
                </c:pt>
                <c:pt idx="2453">
                  <c:v>45025</c:v>
                </c:pt>
                <c:pt idx="2454">
                  <c:v>45025</c:v>
                </c:pt>
                <c:pt idx="2455">
                  <c:v>45025</c:v>
                </c:pt>
                <c:pt idx="2456">
                  <c:v>45025</c:v>
                </c:pt>
                <c:pt idx="2457">
                  <c:v>45025</c:v>
                </c:pt>
                <c:pt idx="2458">
                  <c:v>45025</c:v>
                </c:pt>
                <c:pt idx="2459">
                  <c:v>45025</c:v>
                </c:pt>
                <c:pt idx="2460">
                  <c:v>45025</c:v>
                </c:pt>
                <c:pt idx="2461">
                  <c:v>45025</c:v>
                </c:pt>
                <c:pt idx="2462">
                  <c:v>45025</c:v>
                </c:pt>
                <c:pt idx="2463">
                  <c:v>45025</c:v>
                </c:pt>
                <c:pt idx="2464">
                  <c:v>45025</c:v>
                </c:pt>
                <c:pt idx="2465">
                  <c:v>45025</c:v>
                </c:pt>
                <c:pt idx="2466">
                  <c:v>45025</c:v>
                </c:pt>
                <c:pt idx="2467">
                  <c:v>45025</c:v>
                </c:pt>
                <c:pt idx="2468">
                  <c:v>45025</c:v>
                </c:pt>
                <c:pt idx="2469">
                  <c:v>45025</c:v>
                </c:pt>
                <c:pt idx="2470">
                  <c:v>45025</c:v>
                </c:pt>
                <c:pt idx="2471">
                  <c:v>45025</c:v>
                </c:pt>
                <c:pt idx="2472">
                  <c:v>45026</c:v>
                </c:pt>
                <c:pt idx="2473">
                  <c:v>45026</c:v>
                </c:pt>
                <c:pt idx="2474">
                  <c:v>45026</c:v>
                </c:pt>
                <c:pt idx="2475">
                  <c:v>45026</c:v>
                </c:pt>
                <c:pt idx="2476">
                  <c:v>45026</c:v>
                </c:pt>
                <c:pt idx="2477">
                  <c:v>45026</c:v>
                </c:pt>
                <c:pt idx="2478">
                  <c:v>45026</c:v>
                </c:pt>
                <c:pt idx="2479">
                  <c:v>45026</c:v>
                </c:pt>
                <c:pt idx="2480">
                  <c:v>45026</c:v>
                </c:pt>
                <c:pt idx="2481">
                  <c:v>45026</c:v>
                </c:pt>
                <c:pt idx="2482">
                  <c:v>45026</c:v>
                </c:pt>
                <c:pt idx="2483">
                  <c:v>45026</c:v>
                </c:pt>
                <c:pt idx="2484">
                  <c:v>45026</c:v>
                </c:pt>
                <c:pt idx="2485">
                  <c:v>45026</c:v>
                </c:pt>
                <c:pt idx="2486">
                  <c:v>45026</c:v>
                </c:pt>
                <c:pt idx="2487">
                  <c:v>45026</c:v>
                </c:pt>
                <c:pt idx="2488">
                  <c:v>45026</c:v>
                </c:pt>
                <c:pt idx="2489">
                  <c:v>45026</c:v>
                </c:pt>
                <c:pt idx="2490">
                  <c:v>45026</c:v>
                </c:pt>
                <c:pt idx="2491">
                  <c:v>45026</c:v>
                </c:pt>
                <c:pt idx="2492">
                  <c:v>45026</c:v>
                </c:pt>
                <c:pt idx="2493">
                  <c:v>45026</c:v>
                </c:pt>
                <c:pt idx="2494">
                  <c:v>45026</c:v>
                </c:pt>
                <c:pt idx="2495">
                  <c:v>45026</c:v>
                </c:pt>
                <c:pt idx="2496">
                  <c:v>45027</c:v>
                </c:pt>
                <c:pt idx="2497">
                  <c:v>45027</c:v>
                </c:pt>
                <c:pt idx="2498">
                  <c:v>45027</c:v>
                </c:pt>
                <c:pt idx="2499">
                  <c:v>45027</c:v>
                </c:pt>
                <c:pt idx="2500">
                  <c:v>45027</c:v>
                </c:pt>
                <c:pt idx="2501">
                  <c:v>45027</c:v>
                </c:pt>
                <c:pt idx="2502">
                  <c:v>45027</c:v>
                </c:pt>
                <c:pt idx="2503">
                  <c:v>45027</c:v>
                </c:pt>
                <c:pt idx="2504">
                  <c:v>45027</c:v>
                </c:pt>
                <c:pt idx="2505">
                  <c:v>45027</c:v>
                </c:pt>
                <c:pt idx="2506">
                  <c:v>45027</c:v>
                </c:pt>
                <c:pt idx="2507">
                  <c:v>45027</c:v>
                </c:pt>
                <c:pt idx="2508">
                  <c:v>45027</c:v>
                </c:pt>
                <c:pt idx="2509">
                  <c:v>45027</c:v>
                </c:pt>
                <c:pt idx="2510">
                  <c:v>45027</c:v>
                </c:pt>
                <c:pt idx="2511">
                  <c:v>45027</c:v>
                </c:pt>
                <c:pt idx="2512">
                  <c:v>45027</c:v>
                </c:pt>
                <c:pt idx="2513">
                  <c:v>45027</c:v>
                </c:pt>
                <c:pt idx="2514">
                  <c:v>45027</c:v>
                </c:pt>
                <c:pt idx="2515">
                  <c:v>45027</c:v>
                </c:pt>
                <c:pt idx="2516">
                  <c:v>45027</c:v>
                </c:pt>
                <c:pt idx="2517">
                  <c:v>45027</c:v>
                </c:pt>
                <c:pt idx="2518">
                  <c:v>45027</c:v>
                </c:pt>
                <c:pt idx="2519">
                  <c:v>45027</c:v>
                </c:pt>
                <c:pt idx="2520">
                  <c:v>45028</c:v>
                </c:pt>
                <c:pt idx="2521">
                  <c:v>45028</c:v>
                </c:pt>
                <c:pt idx="2522">
                  <c:v>45028</c:v>
                </c:pt>
                <c:pt idx="2523">
                  <c:v>45028</c:v>
                </c:pt>
                <c:pt idx="2524">
                  <c:v>45028</c:v>
                </c:pt>
                <c:pt idx="2525">
                  <c:v>45028</c:v>
                </c:pt>
                <c:pt idx="2526">
                  <c:v>45028</c:v>
                </c:pt>
                <c:pt idx="2527">
                  <c:v>45028</c:v>
                </c:pt>
                <c:pt idx="2528">
                  <c:v>45028</c:v>
                </c:pt>
                <c:pt idx="2529">
                  <c:v>45028</c:v>
                </c:pt>
                <c:pt idx="2530">
                  <c:v>45028</c:v>
                </c:pt>
                <c:pt idx="2531">
                  <c:v>45028</c:v>
                </c:pt>
                <c:pt idx="2532">
                  <c:v>45028</c:v>
                </c:pt>
                <c:pt idx="2533">
                  <c:v>45028</c:v>
                </c:pt>
                <c:pt idx="2534">
                  <c:v>45028</c:v>
                </c:pt>
                <c:pt idx="2535">
                  <c:v>45028</c:v>
                </c:pt>
                <c:pt idx="2536">
                  <c:v>45028</c:v>
                </c:pt>
                <c:pt idx="2537">
                  <c:v>45028</c:v>
                </c:pt>
                <c:pt idx="2538">
                  <c:v>45028</c:v>
                </c:pt>
                <c:pt idx="2539">
                  <c:v>45028</c:v>
                </c:pt>
                <c:pt idx="2540">
                  <c:v>45028</c:v>
                </c:pt>
                <c:pt idx="2541">
                  <c:v>45028</c:v>
                </c:pt>
                <c:pt idx="2542">
                  <c:v>45028</c:v>
                </c:pt>
                <c:pt idx="2543">
                  <c:v>45028</c:v>
                </c:pt>
                <c:pt idx="2544">
                  <c:v>45029</c:v>
                </c:pt>
                <c:pt idx="2545">
                  <c:v>45029</c:v>
                </c:pt>
                <c:pt idx="2546">
                  <c:v>45029</c:v>
                </c:pt>
                <c:pt idx="2547">
                  <c:v>45029</c:v>
                </c:pt>
                <c:pt idx="2548">
                  <c:v>45029</c:v>
                </c:pt>
                <c:pt idx="2549">
                  <c:v>45029</c:v>
                </c:pt>
                <c:pt idx="2550">
                  <c:v>45029</c:v>
                </c:pt>
                <c:pt idx="2551">
                  <c:v>45029</c:v>
                </c:pt>
                <c:pt idx="2552">
                  <c:v>45029</c:v>
                </c:pt>
                <c:pt idx="2553">
                  <c:v>45029</c:v>
                </c:pt>
                <c:pt idx="2554">
                  <c:v>45029</c:v>
                </c:pt>
                <c:pt idx="2555">
                  <c:v>45029</c:v>
                </c:pt>
                <c:pt idx="2556">
                  <c:v>45029</c:v>
                </c:pt>
                <c:pt idx="2557">
                  <c:v>45029</c:v>
                </c:pt>
                <c:pt idx="2558">
                  <c:v>45029</c:v>
                </c:pt>
                <c:pt idx="2559">
                  <c:v>45029</c:v>
                </c:pt>
                <c:pt idx="2560">
                  <c:v>45029</c:v>
                </c:pt>
                <c:pt idx="2561">
                  <c:v>45029</c:v>
                </c:pt>
                <c:pt idx="2562">
                  <c:v>45029</c:v>
                </c:pt>
                <c:pt idx="2563">
                  <c:v>45029</c:v>
                </c:pt>
                <c:pt idx="2564">
                  <c:v>45029</c:v>
                </c:pt>
                <c:pt idx="2565">
                  <c:v>45029</c:v>
                </c:pt>
                <c:pt idx="2566">
                  <c:v>45029</c:v>
                </c:pt>
                <c:pt idx="2567">
                  <c:v>45029</c:v>
                </c:pt>
                <c:pt idx="2568">
                  <c:v>45030</c:v>
                </c:pt>
                <c:pt idx="2569">
                  <c:v>45030</c:v>
                </c:pt>
                <c:pt idx="2570">
                  <c:v>45030</c:v>
                </c:pt>
                <c:pt idx="2571">
                  <c:v>45030</c:v>
                </c:pt>
                <c:pt idx="2572">
                  <c:v>45030</c:v>
                </c:pt>
                <c:pt idx="2573">
                  <c:v>45030</c:v>
                </c:pt>
                <c:pt idx="2574">
                  <c:v>45030</c:v>
                </c:pt>
                <c:pt idx="2575">
                  <c:v>45030</c:v>
                </c:pt>
                <c:pt idx="2576">
                  <c:v>45030</c:v>
                </c:pt>
                <c:pt idx="2577">
                  <c:v>45030</c:v>
                </c:pt>
                <c:pt idx="2578">
                  <c:v>45030</c:v>
                </c:pt>
                <c:pt idx="2579">
                  <c:v>45030</c:v>
                </c:pt>
                <c:pt idx="2580">
                  <c:v>45030</c:v>
                </c:pt>
                <c:pt idx="2581">
                  <c:v>45030</c:v>
                </c:pt>
                <c:pt idx="2582">
                  <c:v>45030</c:v>
                </c:pt>
                <c:pt idx="2583">
                  <c:v>45030</c:v>
                </c:pt>
                <c:pt idx="2584">
                  <c:v>45030</c:v>
                </c:pt>
                <c:pt idx="2585">
                  <c:v>45030</c:v>
                </c:pt>
                <c:pt idx="2586">
                  <c:v>45030</c:v>
                </c:pt>
                <c:pt idx="2587">
                  <c:v>45030</c:v>
                </c:pt>
                <c:pt idx="2588">
                  <c:v>45030</c:v>
                </c:pt>
                <c:pt idx="2589">
                  <c:v>45030</c:v>
                </c:pt>
                <c:pt idx="2590">
                  <c:v>45030</c:v>
                </c:pt>
                <c:pt idx="2591">
                  <c:v>45030</c:v>
                </c:pt>
                <c:pt idx="2592">
                  <c:v>45031</c:v>
                </c:pt>
                <c:pt idx="2593">
                  <c:v>45031</c:v>
                </c:pt>
                <c:pt idx="2594">
                  <c:v>45031</c:v>
                </c:pt>
                <c:pt idx="2595">
                  <c:v>45031</c:v>
                </c:pt>
                <c:pt idx="2596">
                  <c:v>45031</c:v>
                </c:pt>
                <c:pt idx="2597">
                  <c:v>45031</c:v>
                </c:pt>
                <c:pt idx="2598">
                  <c:v>45031</c:v>
                </c:pt>
                <c:pt idx="2599">
                  <c:v>45031</c:v>
                </c:pt>
                <c:pt idx="2600">
                  <c:v>45031</c:v>
                </c:pt>
                <c:pt idx="2601">
                  <c:v>45031</c:v>
                </c:pt>
                <c:pt idx="2602">
                  <c:v>45031</c:v>
                </c:pt>
                <c:pt idx="2603">
                  <c:v>45031</c:v>
                </c:pt>
                <c:pt idx="2604">
                  <c:v>45031</c:v>
                </c:pt>
                <c:pt idx="2605">
                  <c:v>45031</c:v>
                </c:pt>
                <c:pt idx="2606">
                  <c:v>45031</c:v>
                </c:pt>
                <c:pt idx="2607">
                  <c:v>45031</c:v>
                </c:pt>
                <c:pt idx="2608">
                  <c:v>45031</c:v>
                </c:pt>
                <c:pt idx="2609">
                  <c:v>45031</c:v>
                </c:pt>
                <c:pt idx="2610">
                  <c:v>45031</c:v>
                </c:pt>
                <c:pt idx="2611">
                  <c:v>45031</c:v>
                </c:pt>
                <c:pt idx="2612">
                  <c:v>45031</c:v>
                </c:pt>
                <c:pt idx="2613">
                  <c:v>45031</c:v>
                </c:pt>
                <c:pt idx="2614">
                  <c:v>45031</c:v>
                </c:pt>
                <c:pt idx="2615">
                  <c:v>45031</c:v>
                </c:pt>
                <c:pt idx="2616">
                  <c:v>45032</c:v>
                </c:pt>
                <c:pt idx="2617">
                  <c:v>45032</c:v>
                </c:pt>
                <c:pt idx="2618">
                  <c:v>45032</c:v>
                </c:pt>
                <c:pt idx="2619">
                  <c:v>45032</c:v>
                </c:pt>
                <c:pt idx="2620">
                  <c:v>45032</c:v>
                </c:pt>
                <c:pt idx="2621">
                  <c:v>45032</c:v>
                </c:pt>
                <c:pt idx="2622">
                  <c:v>45032</c:v>
                </c:pt>
                <c:pt idx="2623">
                  <c:v>45032</c:v>
                </c:pt>
                <c:pt idx="2624">
                  <c:v>45032</c:v>
                </c:pt>
                <c:pt idx="2625">
                  <c:v>45032</c:v>
                </c:pt>
                <c:pt idx="2626">
                  <c:v>45032</c:v>
                </c:pt>
                <c:pt idx="2627">
                  <c:v>45032</c:v>
                </c:pt>
                <c:pt idx="2628">
                  <c:v>45032</c:v>
                </c:pt>
                <c:pt idx="2629">
                  <c:v>45032</c:v>
                </c:pt>
                <c:pt idx="2630">
                  <c:v>45032</c:v>
                </c:pt>
                <c:pt idx="2631">
                  <c:v>45032</c:v>
                </c:pt>
                <c:pt idx="2632">
                  <c:v>45032</c:v>
                </c:pt>
                <c:pt idx="2633">
                  <c:v>45032</c:v>
                </c:pt>
                <c:pt idx="2634">
                  <c:v>45032</c:v>
                </c:pt>
                <c:pt idx="2635">
                  <c:v>45032</c:v>
                </c:pt>
                <c:pt idx="2636">
                  <c:v>45032</c:v>
                </c:pt>
                <c:pt idx="2637">
                  <c:v>45032</c:v>
                </c:pt>
                <c:pt idx="2638">
                  <c:v>45032</c:v>
                </c:pt>
                <c:pt idx="2639">
                  <c:v>45032</c:v>
                </c:pt>
                <c:pt idx="2640">
                  <c:v>45033</c:v>
                </c:pt>
                <c:pt idx="2641">
                  <c:v>45033</c:v>
                </c:pt>
                <c:pt idx="2642">
                  <c:v>45033</c:v>
                </c:pt>
                <c:pt idx="2643">
                  <c:v>45033</c:v>
                </c:pt>
                <c:pt idx="2644">
                  <c:v>45033</c:v>
                </c:pt>
                <c:pt idx="2645">
                  <c:v>45033</c:v>
                </c:pt>
                <c:pt idx="2646">
                  <c:v>45033</c:v>
                </c:pt>
                <c:pt idx="2647">
                  <c:v>45033</c:v>
                </c:pt>
                <c:pt idx="2648">
                  <c:v>45033</c:v>
                </c:pt>
                <c:pt idx="2649">
                  <c:v>45033</c:v>
                </c:pt>
                <c:pt idx="2650">
                  <c:v>45033</c:v>
                </c:pt>
                <c:pt idx="2651">
                  <c:v>45033</c:v>
                </c:pt>
                <c:pt idx="2652">
                  <c:v>45033</c:v>
                </c:pt>
                <c:pt idx="2653">
                  <c:v>45033</c:v>
                </c:pt>
                <c:pt idx="2654">
                  <c:v>45033</c:v>
                </c:pt>
                <c:pt idx="2655">
                  <c:v>45033</c:v>
                </c:pt>
                <c:pt idx="2656">
                  <c:v>45033</c:v>
                </c:pt>
                <c:pt idx="2657">
                  <c:v>45033</c:v>
                </c:pt>
                <c:pt idx="2658">
                  <c:v>45033</c:v>
                </c:pt>
                <c:pt idx="2659">
                  <c:v>45033</c:v>
                </c:pt>
                <c:pt idx="2660">
                  <c:v>45033</c:v>
                </c:pt>
                <c:pt idx="2661">
                  <c:v>45033</c:v>
                </c:pt>
                <c:pt idx="2662">
                  <c:v>45033</c:v>
                </c:pt>
                <c:pt idx="2663">
                  <c:v>45033</c:v>
                </c:pt>
                <c:pt idx="2664">
                  <c:v>45034</c:v>
                </c:pt>
                <c:pt idx="2665">
                  <c:v>45034</c:v>
                </c:pt>
                <c:pt idx="2666">
                  <c:v>45034</c:v>
                </c:pt>
                <c:pt idx="2667">
                  <c:v>45034</c:v>
                </c:pt>
                <c:pt idx="2668">
                  <c:v>45034</c:v>
                </c:pt>
                <c:pt idx="2669">
                  <c:v>45034</c:v>
                </c:pt>
                <c:pt idx="2670">
                  <c:v>45034</c:v>
                </c:pt>
                <c:pt idx="2671">
                  <c:v>45034</c:v>
                </c:pt>
                <c:pt idx="2672">
                  <c:v>45034</c:v>
                </c:pt>
                <c:pt idx="2673">
                  <c:v>45034</c:v>
                </c:pt>
                <c:pt idx="2674">
                  <c:v>45034</c:v>
                </c:pt>
                <c:pt idx="2675">
                  <c:v>45034</c:v>
                </c:pt>
                <c:pt idx="2676">
                  <c:v>45034</c:v>
                </c:pt>
                <c:pt idx="2677">
                  <c:v>45034</c:v>
                </c:pt>
                <c:pt idx="2678">
                  <c:v>45034</c:v>
                </c:pt>
                <c:pt idx="2679">
                  <c:v>45034</c:v>
                </c:pt>
                <c:pt idx="2680">
                  <c:v>45034</c:v>
                </c:pt>
                <c:pt idx="2681">
                  <c:v>45034</c:v>
                </c:pt>
                <c:pt idx="2682">
                  <c:v>45034</c:v>
                </c:pt>
                <c:pt idx="2683">
                  <c:v>45034</c:v>
                </c:pt>
                <c:pt idx="2684">
                  <c:v>45034</c:v>
                </c:pt>
                <c:pt idx="2685">
                  <c:v>45034</c:v>
                </c:pt>
                <c:pt idx="2686">
                  <c:v>45034</c:v>
                </c:pt>
                <c:pt idx="2687">
                  <c:v>45034</c:v>
                </c:pt>
                <c:pt idx="2688">
                  <c:v>45035</c:v>
                </c:pt>
                <c:pt idx="2689">
                  <c:v>45035</c:v>
                </c:pt>
                <c:pt idx="2690">
                  <c:v>45035</c:v>
                </c:pt>
                <c:pt idx="2691">
                  <c:v>45035</c:v>
                </c:pt>
                <c:pt idx="2692">
                  <c:v>45035</c:v>
                </c:pt>
                <c:pt idx="2693">
                  <c:v>45035</c:v>
                </c:pt>
                <c:pt idx="2694">
                  <c:v>45035</c:v>
                </c:pt>
                <c:pt idx="2695">
                  <c:v>45035</c:v>
                </c:pt>
                <c:pt idx="2696">
                  <c:v>45035</c:v>
                </c:pt>
                <c:pt idx="2697">
                  <c:v>45035</c:v>
                </c:pt>
                <c:pt idx="2698">
                  <c:v>45035</c:v>
                </c:pt>
                <c:pt idx="2699">
                  <c:v>45035</c:v>
                </c:pt>
                <c:pt idx="2700">
                  <c:v>45035</c:v>
                </c:pt>
                <c:pt idx="2701">
                  <c:v>45035</c:v>
                </c:pt>
                <c:pt idx="2702">
                  <c:v>45035</c:v>
                </c:pt>
                <c:pt idx="2703">
                  <c:v>45035</c:v>
                </c:pt>
                <c:pt idx="2704">
                  <c:v>45035</c:v>
                </c:pt>
                <c:pt idx="2705">
                  <c:v>45035</c:v>
                </c:pt>
                <c:pt idx="2706">
                  <c:v>45035</c:v>
                </c:pt>
                <c:pt idx="2707">
                  <c:v>45035</c:v>
                </c:pt>
                <c:pt idx="2708">
                  <c:v>45035</c:v>
                </c:pt>
                <c:pt idx="2709">
                  <c:v>45035</c:v>
                </c:pt>
                <c:pt idx="2710">
                  <c:v>45035</c:v>
                </c:pt>
                <c:pt idx="2711">
                  <c:v>45035</c:v>
                </c:pt>
                <c:pt idx="2712">
                  <c:v>45036</c:v>
                </c:pt>
                <c:pt idx="2713">
                  <c:v>45036</c:v>
                </c:pt>
                <c:pt idx="2714">
                  <c:v>45036</c:v>
                </c:pt>
                <c:pt idx="2715">
                  <c:v>45036</c:v>
                </c:pt>
                <c:pt idx="2716">
                  <c:v>45036</c:v>
                </c:pt>
                <c:pt idx="2717">
                  <c:v>45036</c:v>
                </c:pt>
                <c:pt idx="2718">
                  <c:v>45036</c:v>
                </c:pt>
                <c:pt idx="2719">
                  <c:v>45036</c:v>
                </c:pt>
                <c:pt idx="2720">
                  <c:v>45036</c:v>
                </c:pt>
                <c:pt idx="2721">
                  <c:v>45036</c:v>
                </c:pt>
                <c:pt idx="2722">
                  <c:v>45036</c:v>
                </c:pt>
                <c:pt idx="2723">
                  <c:v>45036</c:v>
                </c:pt>
                <c:pt idx="2724">
                  <c:v>45036</c:v>
                </c:pt>
                <c:pt idx="2725">
                  <c:v>45036</c:v>
                </c:pt>
                <c:pt idx="2726">
                  <c:v>45036</c:v>
                </c:pt>
                <c:pt idx="2727">
                  <c:v>45036</c:v>
                </c:pt>
                <c:pt idx="2728">
                  <c:v>45036</c:v>
                </c:pt>
                <c:pt idx="2729">
                  <c:v>45036</c:v>
                </c:pt>
                <c:pt idx="2730">
                  <c:v>45036</c:v>
                </c:pt>
                <c:pt idx="2731">
                  <c:v>45036</c:v>
                </c:pt>
                <c:pt idx="2732">
                  <c:v>45036</c:v>
                </c:pt>
                <c:pt idx="2733">
                  <c:v>45036</c:v>
                </c:pt>
                <c:pt idx="2734">
                  <c:v>45036</c:v>
                </c:pt>
                <c:pt idx="2735">
                  <c:v>45036</c:v>
                </c:pt>
                <c:pt idx="2736">
                  <c:v>45037</c:v>
                </c:pt>
                <c:pt idx="2737">
                  <c:v>45037</c:v>
                </c:pt>
                <c:pt idx="2738">
                  <c:v>45037</c:v>
                </c:pt>
                <c:pt idx="2739">
                  <c:v>45037</c:v>
                </c:pt>
                <c:pt idx="2740">
                  <c:v>45037</c:v>
                </c:pt>
                <c:pt idx="2741">
                  <c:v>45037</c:v>
                </c:pt>
                <c:pt idx="2742">
                  <c:v>45037</c:v>
                </c:pt>
                <c:pt idx="2743">
                  <c:v>45037</c:v>
                </c:pt>
                <c:pt idx="2744">
                  <c:v>45037</c:v>
                </c:pt>
                <c:pt idx="2745">
                  <c:v>45037</c:v>
                </c:pt>
                <c:pt idx="2746">
                  <c:v>45037</c:v>
                </c:pt>
                <c:pt idx="2747">
                  <c:v>45037</c:v>
                </c:pt>
                <c:pt idx="2748">
                  <c:v>45037</c:v>
                </c:pt>
                <c:pt idx="2749">
                  <c:v>45037</c:v>
                </c:pt>
                <c:pt idx="2750">
                  <c:v>45037</c:v>
                </c:pt>
                <c:pt idx="2751">
                  <c:v>45037</c:v>
                </c:pt>
                <c:pt idx="2752">
                  <c:v>45037</c:v>
                </c:pt>
                <c:pt idx="2753">
                  <c:v>45037</c:v>
                </c:pt>
                <c:pt idx="2754">
                  <c:v>45037</c:v>
                </c:pt>
                <c:pt idx="2755">
                  <c:v>45037</c:v>
                </c:pt>
                <c:pt idx="2756">
                  <c:v>45037</c:v>
                </c:pt>
                <c:pt idx="2757">
                  <c:v>45037</c:v>
                </c:pt>
                <c:pt idx="2758">
                  <c:v>45037</c:v>
                </c:pt>
                <c:pt idx="2759">
                  <c:v>45037</c:v>
                </c:pt>
                <c:pt idx="2760">
                  <c:v>45038</c:v>
                </c:pt>
                <c:pt idx="2761">
                  <c:v>45038</c:v>
                </c:pt>
                <c:pt idx="2762">
                  <c:v>45038</c:v>
                </c:pt>
                <c:pt idx="2763">
                  <c:v>45038</c:v>
                </c:pt>
                <c:pt idx="2764">
                  <c:v>45038</c:v>
                </c:pt>
                <c:pt idx="2765">
                  <c:v>45038</c:v>
                </c:pt>
                <c:pt idx="2766">
                  <c:v>45038</c:v>
                </c:pt>
                <c:pt idx="2767">
                  <c:v>45038</c:v>
                </c:pt>
                <c:pt idx="2768">
                  <c:v>45038</c:v>
                </c:pt>
                <c:pt idx="2769">
                  <c:v>45038</c:v>
                </c:pt>
                <c:pt idx="2770">
                  <c:v>45038</c:v>
                </c:pt>
                <c:pt idx="2771">
                  <c:v>45038</c:v>
                </c:pt>
                <c:pt idx="2772">
                  <c:v>45038</c:v>
                </c:pt>
                <c:pt idx="2773">
                  <c:v>45038</c:v>
                </c:pt>
                <c:pt idx="2774">
                  <c:v>45038</c:v>
                </c:pt>
                <c:pt idx="2775">
                  <c:v>45038</c:v>
                </c:pt>
                <c:pt idx="2776">
                  <c:v>45038</c:v>
                </c:pt>
                <c:pt idx="2777">
                  <c:v>45038</c:v>
                </c:pt>
                <c:pt idx="2778">
                  <c:v>45038</c:v>
                </c:pt>
                <c:pt idx="2779">
                  <c:v>45038</c:v>
                </c:pt>
                <c:pt idx="2780">
                  <c:v>45038</c:v>
                </c:pt>
                <c:pt idx="2781">
                  <c:v>45038</c:v>
                </c:pt>
                <c:pt idx="2782">
                  <c:v>45038</c:v>
                </c:pt>
                <c:pt idx="2783">
                  <c:v>45038</c:v>
                </c:pt>
                <c:pt idx="2784">
                  <c:v>45039</c:v>
                </c:pt>
                <c:pt idx="2785">
                  <c:v>45039</c:v>
                </c:pt>
                <c:pt idx="2786">
                  <c:v>45039</c:v>
                </c:pt>
                <c:pt idx="2787">
                  <c:v>45039</c:v>
                </c:pt>
                <c:pt idx="2788">
                  <c:v>45039</c:v>
                </c:pt>
                <c:pt idx="2789">
                  <c:v>45039</c:v>
                </c:pt>
                <c:pt idx="2790">
                  <c:v>45039</c:v>
                </c:pt>
                <c:pt idx="2791">
                  <c:v>45039</c:v>
                </c:pt>
                <c:pt idx="2792">
                  <c:v>45039</c:v>
                </c:pt>
                <c:pt idx="2793">
                  <c:v>45039</c:v>
                </c:pt>
                <c:pt idx="2794">
                  <c:v>45039</c:v>
                </c:pt>
                <c:pt idx="2795">
                  <c:v>45039</c:v>
                </c:pt>
                <c:pt idx="2796">
                  <c:v>45039</c:v>
                </c:pt>
                <c:pt idx="2797">
                  <c:v>45039</c:v>
                </c:pt>
                <c:pt idx="2798">
                  <c:v>45039</c:v>
                </c:pt>
                <c:pt idx="2799">
                  <c:v>45039</c:v>
                </c:pt>
                <c:pt idx="2800">
                  <c:v>45039</c:v>
                </c:pt>
                <c:pt idx="2801">
                  <c:v>45039</c:v>
                </c:pt>
                <c:pt idx="2802">
                  <c:v>45039</c:v>
                </c:pt>
                <c:pt idx="2803">
                  <c:v>45039</c:v>
                </c:pt>
                <c:pt idx="2804">
                  <c:v>45039</c:v>
                </c:pt>
                <c:pt idx="2805">
                  <c:v>45039</c:v>
                </c:pt>
                <c:pt idx="2806">
                  <c:v>45039</c:v>
                </c:pt>
                <c:pt idx="2807">
                  <c:v>45039</c:v>
                </c:pt>
                <c:pt idx="2808">
                  <c:v>45040</c:v>
                </c:pt>
                <c:pt idx="2809">
                  <c:v>45040</c:v>
                </c:pt>
                <c:pt idx="2810">
                  <c:v>45040</c:v>
                </c:pt>
                <c:pt idx="2811">
                  <c:v>45040</c:v>
                </c:pt>
                <c:pt idx="2812">
                  <c:v>45040</c:v>
                </c:pt>
                <c:pt idx="2813">
                  <c:v>45040</c:v>
                </c:pt>
                <c:pt idx="2814">
                  <c:v>45040</c:v>
                </c:pt>
                <c:pt idx="2815">
                  <c:v>45040</c:v>
                </c:pt>
                <c:pt idx="2816">
                  <c:v>45040</c:v>
                </c:pt>
                <c:pt idx="2817">
                  <c:v>45040</c:v>
                </c:pt>
                <c:pt idx="2818">
                  <c:v>45040</c:v>
                </c:pt>
                <c:pt idx="2819">
                  <c:v>45040</c:v>
                </c:pt>
                <c:pt idx="2820">
                  <c:v>45040</c:v>
                </c:pt>
                <c:pt idx="2821">
                  <c:v>45040</c:v>
                </c:pt>
                <c:pt idx="2822">
                  <c:v>45040</c:v>
                </c:pt>
                <c:pt idx="2823">
                  <c:v>45040</c:v>
                </c:pt>
                <c:pt idx="2824">
                  <c:v>45040</c:v>
                </c:pt>
                <c:pt idx="2825">
                  <c:v>45040</c:v>
                </c:pt>
                <c:pt idx="2826">
                  <c:v>45040</c:v>
                </c:pt>
                <c:pt idx="2827">
                  <c:v>45040</c:v>
                </c:pt>
                <c:pt idx="2828">
                  <c:v>45040</c:v>
                </c:pt>
                <c:pt idx="2829">
                  <c:v>45040</c:v>
                </c:pt>
                <c:pt idx="2830">
                  <c:v>45040</c:v>
                </c:pt>
                <c:pt idx="2831">
                  <c:v>45040</c:v>
                </c:pt>
                <c:pt idx="2832">
                  <c:v>45041</c:v>
                </c:pt>
                <c:pt idx="2833">
                  <c:v>45041</c:v>
                </c:pt>
                <c:pt idx="2834">
                  <c:v>45041</c:v>
                </c:pt>
                <c:pt idx="2835">
                  <c:v>45041</c:v>
                </c:pt>
                <c:pt idx="2836">
                  <c:v>45041</c:v>
                </c:pt>
                <c:pt idx="2837">
                  <c:v>45041</c:v>
                </c:pt>
                <c:pt idx="2838">
                  <c:v>45041</c:v>
                </c:pt>
                <c:pt idx="2839">
                  <c:v>45041</c:v>
                </c:pt>
                <c:pt idx="2840">
                  <c:v>45041</c:v>
                </c:pt>
                <c:pt idx="2841">
                  <c:v>45041</c:v>
                </c:pt>
                <c:pt idx="2842">
                  <c:v>45041</c:v>
                </c:pt>
                <c:pt idx="2843">
                  <c:v>45041</c:v>
                </c:pt>
                <c:pt idx="2844">
                  <c:v>45041</c:v>
                </c:pt>
                <c:pt idx="2845">
                  <c:v>45041</c:v>
                </c:pt>
                <c:pt idx="2846">
                  <c:v>45041</c:v>
                </c:pt>
                <c:pt idx="2847">
                  <c:v>45041</c:v>
                </c:pt>
                <c:pt idx="2848">
                  <c:v>45041</c:v>
                </c:pt>
                <c:pt idx="2849">
                  <c:v>45041</c:v>
                </c:pt>
                <c:pt idx="2850">
                  <c:v>45041</c:v>
                </c:pt>
                <c:pt idx="2851">
                  <c:v>45041</c:v>
                </c:pt>
                <c:pt idx="2852">
                  <c:v>45041</c:v>
                </c:pt>
                <c:pt idx="2853">
                  <c:v>45041</c:v>
                </c:pt>
                <c:pt idx="2854">
                  <c:v>45041</c:v>
                </c:pt>
                <c:pt idx="2855">
                  <c:v>45041</c:v>
                </c:pt>
                <c:pt idx="2856">
                  <c:v>45042</c:v>
                </c:pt>
                <c:pt idx="2857">
                  <c:v>45042</c:v>
                </c:pt>
                <c:pt idx="2858">
                  <c:v>45042</c:v>
                </c:pt>
                <c:pt idx="2859">
                  <c:v>45042</c:v>
                </c:pt>
                <c:pt idx="2860">
                  <c:v>45042</c:v>
                </c:pt>
                <c:pt idx="2861">
                  <c:v>45042</c:v>
                </c:pt>
                <c:pt idx="2862">
                  <c:v>45042</c:v>
                </c:pt>
                <c:pt idx="2863">
                  <c:v>45042</c:v>
                </c:pt>
                <c:pt idx="2864">
                  <c:v>45042</c:v>
                </c:pt>
                <c:pt idx="2865">
                  <c:v>45042</c:v>
                </c:pt>
                <c:pt idx="2866">
                  <c:v>45042</c:v>
                </c:pt>
                <c:pt idx="2867">
                  <c:v>45042</c:v>
                </c:pt>
                <c:pt idx="2868">
                  <c:v>45042</c:v>
                </c:pt>
                <c:pt idx="2869">
                  <c:v>45042</c:v>
                </c:pt>
                <c:pt idx="2870">
                  <c:v>45042</c:v>
                </c:pt>
                <c:pt idx="2871">
                  <c:v>45042</c:v>
                </c:pt>
                <c:pt idx="2872">
                  <c:v>45042</c:v>
                </c:pt>
                <c:pt idx="2873">
                  <c:v>45042</c:v>
                </c:pt>
                <c:pt idx="2874">
                  <c:v>45042</c:v>
                </c:pt>
                <c:pt idx="2875">
                  <c:v>45042</c:v>
                </c:pt>
                <c:pt idx="2876">
                  <c:v>45042</c:v>
                </c:pt>
                <c:pt idx="2877">
                  <c:v>45042</c:v>
                </c:pt>
                <c:pt idx="2878">
                  <c:v>45042</c:v>
                </c:pt>
                <c:pt idx="2879">
                  <c:v>45042</c:v>
                </c:pt>
                <c:pt idx="2880">
                  <c:v>45043</c:v>
                </c:pt>
                <c:pt idx="2881">
                  <c:v>45043</c:v>
                </c:pt>
                <c:pt idx="2882">
                  <c:v>45043</c:v>
                </c:pt>
                <c:pt idx="2883">
                  <c:v>45043</c:v>
                </c:pt>
                <c:pt idx="2884">
                  <c:v>45043</c:v>
                </c:pt>
                <c:pt idx="2885">
                  <c:v>45043</c:v>
                </c:pt>
                <c:pt idx="2886">
                  <c:v>45043</c:v>
                </c:pt>
                <c:pt idx="2887">
                  <c:v>45043</c:v>
                </c:pt>
                <c:pt idx="2888">
                  <c:v>45043</c:v>
                </c:pt>
                <c:pt idx="2889">
                  <c:v>45043</c:v>
                </c:pt>
                <c:pt idx="2890">
                  <c:v>45043</c:v>
                </c:pt>
                <c:pt idx="2891">
                  <c:v>45043</c:v>
                </c:pt>
                <c:pt idx="2892">
                  <c:v>45043</c:v>
                </c:pt>
                <c:pt idx="2893">
                  <c:v>45043</c:v>
                </c:pt>
                <c:pt idx="2894">
                  <c:v>45043</c:v>
                </c:pt>
                <c:pt idx="2895">
                  <c:v>45043</c:v>
                </c:pt>
                <c:pt idx="2896">
                  <c:v>45043</c:v>
                </c:pt>
                <c:pt idx="2897">
                  <c:v>45043</c:v>
                </c:pt>
                <c:pt idx="2898">
                  <c:v>45043</c:v>
                </c:pt>
                <c:pt idx="2899">
                  <c:v>45043</c:v>
                </c:pt>
                <c:pt idx="2900">
                  <c:v>45043</c:v>
                </c:pt>
                <c:pt idx="2901">
                  <c:v>45043</c:v>
                </c:pt>
                <c:pt idx="2902">
                  <c:v>45043</c:v>
                </c:pt>
                <c:pt idx="2903">
                  <c:v>45043</c:v>
                </c:pt>
                <c:pt idx="2904">
                  <c:v>45044</c:v>
                </c:pt>
                <c:pt idx="2905">
                  <c:v>45044</c:v>
                </c:pt>
                <c:pt idx="2906">
                  <c:v>45044</c:v>
                </c:pt>
                <c:pt idx="2907">
                  <c:v>45044</c:v>
                </c:pt>
                <c:pt idx="2908">
                  <c:v>45044</c:v>
                </c:pt>
                <c:pt idx="2909">
                  <c:v>45044</c:v>
                </c:pt>
                <c:pt idx="2910">
                  <c:v>45044</c:v>
                </c:pt>
                <c:pt idx="2911">
                  <c:v>45044</c:v>
                </c:pt>
                <c:pt idx="2912">
                  <c:v>45044</c:v>
                </c:pt>
                <c:pt idx="2913">
                  <c:v>45044</c:v>
                </c:pt>
                <c:pt idx="2914">
                  <c:v>45044</c:v>
                </c:pt>
                <c:pt idx="2915">
                  <c:v>45044</c:v>
                </c:pt>
                <c:pt idx="2916">
                  <c:v>45044</c:v>
                </c:pt>
                <c:pt idx="2917">
                  <c:v>45044</c:v>
                </c:pt>
                <c:pt idx="2918">
                  <c:v>45044</c:v>
                </c:pt>
                <c:pt idx="2919">
                  <c:v>45044</c:v>
                </c:pt>
                <c:pt idx="2920">
                  <c:v>45044</c:v>
                </c:pt>
                <c:pt idx="2921">
                  <c:v>45044</c:v>
                </c:pt>
                <c:pt idx="2922">
                  <c:v>45044</c:v>
                </c:pt>
                <c:pt idx="2923">
                  <c:v>45044</c:v>
                </c:pt>
                <c:pt idx="2924">
                  <c:v>45044</c:v>
                </c:pt>
                <c:pt idx="2925">
                  <c:v>45044</c:v>
                </c:pt>
                <c:pt idx="2926">
                  <c:v>45044</c:v>
                </c:pt>
                <c:pt idx="2927">
                  <c:v>45044</c:v>
                </c:pt>
                <c:pt idx="2928">
                  <c:v>45045</c:v>
                </c:pt>
                <c:pt idx="2929">
                  <c:v>45045</c:v>
                </c:pt>
                <c:pt idx="2930">
                  <c:v>45045</c:v>
                </c:pt>
                <c:pt idx="2931">
                  <c:v>45045</c:v>
                </c:pt>
                <c:pt idx="2932">
                  <c:v>45045</c:v>
                </c:pt>
                <c:pt idx="2933">
                  <c:v>45045</c:v>
                </c:pt>
                <c:pt idx="2934">
                  <c:v>45045</c:v>
                </c:pt>
                <c:pt idx="2935">
                  <c:v>45045</c:v>
                </c:pt>
                <c:pt idx="2936">
                  <c:v>45045</c:v>
                </c:pt>
                <c:pt idx="2937">
                  <c:v>45045</c:v>
                </c:pt>
                <c:pt idx="2938">
                  <c:v>45045</c:v>
                </c:pt>
                <c:pt idx="2939">
                  <c:v>45045</c:v>
                </c:pt>
                <c:pt idx="2940">
                  <c:v>45045</c:v>
                </c:pt>
                <c:pt idx="2941">
                  <c:v>45045</c:v>
                </c:pt>
                <c:pt idx="2942">
                  <c:v>45045</c:v>
                </c:pt>
                <c:pt idx="2943">
                  <c:v>45045</c:v>
                </c:pt>
                <c:pt idx="2944">
                  <c:v>45045</c:v>
                </c:pt>
                <c:pt idx="2945">
                  <c:v>45045</c:v>
                </c:pt>
                <c:pt idx="2946">
                  <c:v>45045</c:v>
                </c:pt>
                <c:pt idx="2947">
                  <c:v>45045</c:v>
                </c:pt>
                <c:pt idx="2948">
                  <c:v>45045</c:v>
                </c:pt>
                <c:pt idx="2949">
                  <c:v>45045</c:v>
                </c:pt>
                <c:pt idx="2950">
                  <c:v>45045</c:v>
                </c:pt>
                <c:pt idx="2951">
                  <c:v>45045</c:v>
                </c:pt>
                <c:pt idx="2952">
                  <c:v>45046</c:v>
                </c:pt>
                <c:pt idx="2953">
                  <c:v>45046</c:v>
                </c:pt>
                <c:pt idx="2954">
                  <c:v>45046</c:v>
                </c:pt>
                <c:pt idx="2955">
                  <c:v>45046</c:v>
                </c:pt>
                <c:pt idx="2956">
                  <c:v>45046</c:v>
                </c:pt>
                <c:pt idx="2957">
                  <c:v>45046</c:v>
                </c:pt>
                <c:pt idx="2958">
                  <c:v>45046</c:v>
                </c:pt>
                <c:pt idx="2959">
                  <c:v>45046</c:v>
                </c:pt>
                <c:pt idx="2960">
                  <c:v>45046</c:v>
                </c:pt>
                <c:pt idx="2961">
                  <c:v>45046</c:v>
                </c:pt>
                <c:pt idx="2962">
                  <c:v>45046</c:v>
                </c:pt>
                <c:pt idx="2963">
                  <c:v>45046</c:v>
                </c:pt>
                <c:pt idx="2964">
                  <c:v>45046</c:v>
                </c:pt>
                <c:pt idx="2965">
                  <c:v>45046</c:v>
                </c:pt>
                <c:pt idx="2966">
                  <c:v>45046</c:v>
                </c:pt>
                <c:pt idx="2967">
                  <c:v>45046</c:v>
                </c:pt>
                <c:pt idx="2968">
                  <c:v>45046</c:v>
                </c:pt>
                <c:pt idx="2969">
                  <c:v>45046</c:v>
                </c:pt>
                <c:pt idx="2970">
                  <c:v>45046</c:v>
                </c:pt>
                <c:pt idx="2971">
                  <c:v>45046</c:v>
                </c:pt>
                <c:pt idx="2972">
                  <c:v>45046</c:v>
                </c:pt>
                <c:pt idx="2973">
                  <c:v>45046</c:v>
                </c:pt>
                <c:pt idx="2974">
                  <c:v>45046</c:v>
                </c:pt>
                <c:pt idx="2975">
                  <c:v>45046</c:v>
                </c:pt>
                <c:pt idx="2976">
                  <c:v>45047</c:v>
                </c:pt>
                <c:pt idx="2977">
                  <c:v>45047</c:v>
                </c:pt>
                <c:pt idx="2978">
                  <c:v>45047</c:v>
                </c:pt>
                <c:pt idx="2979">
                  <c:v>45047</c:v>
                </c:pt>
                <c:pt idx="2980">
                  <c:v>45047</c:v>
                </c:pt>
                <c:pt idx="2981">
                  <c:v>45047</c:v>
                </c:pt>
                <c:pt idx="2982">
                  <c:v>45047</c:v>
                </c:pt>
                <c:pt idx="2983">
                  <c:v>45047</c:v>
                </c:pt>
                <c:pt idx="2984">
                  <c:v>45047</c:v>
                </c:pt>
                <c:pt idx="2985">
                  <c:v>45047</c:v>
                </c:pt>
                <c:pt idx="2986">
                  <c:v>45047</c:v>
                </c:pt>
                <c:pt idx="2987">
                  <c:v>45047</c:v>
                </c:pt>
                <c:pt idx="2988">
                  <c:v>45047</c:v>
                </c:pt>
                <c:pt idx="2989">
                  <c:v>45047</c:v>
                </c:pt>
                <c:pt idx="2990">
                  <c:v>45047</c:v>
                </c:pt>
                <c:pt idx="2991">
                  <c:v>45047</c:v>
                </c:pt>
                <c:pt idx="2992">
                  <c:v>45047</c:v>
                </c:pt>
                <c:pt idx="2993">
                  <c:v>45047</c:v>
                </c:pt>
                <c:pt idx="2994">
                  <c:v>45047</c:v>
                </c:pt>
                <c:pt idx="2995">
                  <c:v>45047</c:v>
                </c:pt>
                <c:pt idx="2996">
                  <c:v>45047</c:v>
                </c:pt>
                <c:pt idx="2997">
                  <c:v>45047</c:v>
                </c:pt>
                <c:pt idx="2998">
                  <c:v>45047</c:v>
                </c:pt>
                <c:pt idx="2999">
                  <c:v>45047</c:v>
                </c:pt>
                <c:pt idx="3000">
                  <c:v>45048</c:v>
                </c:pt>
                <c:pt idx="3001">
                  <c:v>45048</c:v>
                </c:pt>
                <c:pt idx="3002">
                  <c:v>45048</c:v>
                </c:pt>
                <c:pt idx="3003">
                  <c:v>45048</c:v>
                </c:pt>
                <c:pt idx="3004">
                  <c:v>45048</c:v>
                </c:pt>
                <c:pt idx="3005">
                  <c:v>45048</c:v>
                </c:pt>
                <c:pt idx="3006">
                  <c:v>45048</c:v>
                </c:pt>
                <c:pt idx="3007">
                  <c:v>45048</c:v>
                </c:pt>
                <c:pt idx="3008">
                  <c:v>45048</c:v>
                </c:pt>
                <c:pt idx="3009">
                  <c:v>45048</c:v>
                </c:pt>
                <c:pt idx="3010">
                  <c:v>45048</c:v>
                </c:pt>
                <c:pt idx="3011">
                  <c:v>45048</c:v>
                </c:pt>
                <c:pt idx="3012">
                  <c:v>45048</c:v>
                </c:pt>
                <c:pt idx="3013">
                  <c:v>45048</c:v>
                </c:pt>
                <c:pt idx="3014">
                  <c:v>45048</c:v>
                </c:pt>
                <c:pt idx="3015">
                  <c:v>45048</c:v>
                </c:pt>
                <c:pt idx="3016">
                  <c:v>45048</c:v>
                </c:pt>
                <c:pt idx="3017">
                  <c:v>45048</c:v>
                </c:pt>
                <c:pt idx="3018">
                  <c:v>45048</c:v>
                </c:pt>
                <c:pt idx="3019">
                  <c:v>45048</c:v>
                </c:pt>
                <c:pt idx="3020">
                  <c:v>45048</c:v>
                </c:pt>
                <c:pt idx="3021">
                  <c:v>45048</c:v>
                </c:pt>
                <c:pt idx="3022">
                  <c:v>45048</c:v>
                </c:pt>
                <c:pt idx="3023">
                  <c:v>45048</c:v>
                </c:pt>
                <c:pt idx="3024">
                  <c:v>45049</c:v>
                </c:pt>
                <c:pt idx="3025">
                  <c:v>45049</c:v>
                </c:pt>
                <c:pt idx="3026">
                  <c:v>45049</c:v>
                </c:pt>
                <c:pt idx="3027">
                  <c:v>45049</c:v>
                </c:pt>
                <c:pt idx="3028">
                  <c:v>45049</c:v>
                </c:pt>
                <c:pt idx="3029">
                  <c:v>45049</c:v>
                </c:pt>
                <c:pt idx="3030">
                  <c:v>45049</c:v>
                </c:pt>
                <c:pt idx="3031">
                  <c:v>45049</c:v>
                </c:pt>
                <c:pt idx="3032">
                  <c:v>45049</c:v>
                </c:pt>
                <c:pt idx="3033">
                  <c:v>45049</c:v>
                </c:pt>
                <c:pt idx="3034">
                  <c:v>45049</c:v>
                </c:pt>
                <c:pt idx="3035">
                  <c:v>45049</c:v>
                </c:pt>
                <c:pt idx="3036">
                  <c:v>45049</c:v>
                </c:pt>
                <c:pt idx="3037">
                  <c:v>45049</c:v>
                </c:pt>
                <c:pt idx="3038">
                  <c:v>45049</c:v>
                </c:pt>
                <c:pt idx="3039">
                  <c:v>45049</c:v>
                </c:pt>
                <c:pt idx="3040">
                  <c:v>45049</c:v>
                </c:pt>
                <c:pt idx="3041">
                  <c:v>45049</c:v>
                </c:pt>
                <c:pt idx="3042">
                  <c:v>45049</c:v>
                </c:pt>
                <c:pt idx="3043">
                  <c:v>45049</c:v>
                </c:pt>
                <c:pt idx="3044">
                  <c:v>45049</c:v>
                </c:pt>
                <c:pt idx="3045">
                  <c:v>45049</c:v>
                </c:pt>
                <c:pt idx="3046">
                  <c:v>45049</c:v>
                </c:pt>
                <c:pt idx="3047">
                  <c:v>45049</c:v>
                </c:pt>
                <c:pt idx="3048">
                  <c:v>45050</c:v>
                </c:pt>
                <c:pt idx="3049">
                  <c:v>45050</c:v>
                </c:pt>
                <c:pt idx="3050">
                  <c:v>45050</c:v>
                </c:pt>
                <c:pt idx="3051">
                  <c:v>45050</c:v>
                </c:pt>
                <c:pt idx="3052">
                  <c:v>45050</c:v>
                </c:pt>
                <c:pt idx="3053">
                  <c:v>45050</c:v>
                </c:pt>
                <c:pt idx="3054">
                  <c:v>45050</c:v>
                </c:pt>
                <c:pt idx="3055">
                  <c:v>45050</c:v>
                </c:pt>
                <c:pt idx="3056">
                  <c:v>45050</c:v>
                </c:pt>
                <c:pt idx="3057">
                  <c:v>45050</c:v>
                </c:pt>
                <c:pt idx="3058">
                  <c:v>45050</c:v>
                </c:pt>
                <c:pt idx="3059">
                  <c:v>45050</c:v>
                </c:pt>
                <c:pt idx="3060">
                  <c:v>45050</c:v>
                </c:pt>
                <c:pt idx="3061">
                  <c:v>45050</c:v>
                </c:pt>
                <c:pt idx="3062">
                  <c:v>45050</c:v>
                </c:pt>
                <c:pt idx="3063">
                  <c:v>45050</c:v>
                </c:pt>
                <c:pt idx="3064">
                  <c:v>45050</c:v>
                </c:pt>
                <c:pt idx="3065">
                  <c:v>45050</c:v>
                </c:pt>
                <c:pt idx="3066">
                  <c:v>45050</c:v>
                </c:pt>
                <c:pt idx="3067">
                  <c:v>45050</c:v>
                </c:pt>
                <c:pt idx="3068">
                  <c:v>45050</c:v>
                </c:pt>
                <c:pt idx="3069">
                  <c:v>45050</c:v>
                </c:pt>
                <c:pt idx="3070">
                  <c:v>45050</c:v>
                </c:pt>
                <c:pt idx="3071">
                  <c:v>45050</c:v>
                </c:pt>
                <c:pt idx="3072">
                  <c:v>45051</c:v>
                </c:pt>
                <c:pt idx="3073">
                  <c:v>45051</c:v>
                </c:pt>
                <c:pt idx="3074">
                  <c:v>45051</c:v>
                </c:pt>
                <c:pt idx="3075">
                  <c:v>45051</c:v>
                </c:pt>
                <c:pt idx="3076">
                  <c:v>45051</c:v>
                </c:pt>
                <c:pt idx="3077">
                  <c:v>45051</c:v>
                </c:pt>
                <c:pt idx="3078">
                  <c:v>45051</c:v>
                </c:pt>
                <c:pt idx="3079">
                  <c:v>45051</c:v>
                </c:pt>
                <c:pt idx="3080">
                  <c:v>45051</c:v>
                </c:pt>
                <c:pt idx="3081">
                  <c:v>45051</c:v>
                </c:pt>
                <c:pt idx="3082">
                  <c:v>45051</c:v>
                </c:pt>
                <c:pt idx="3083">
                  <c:v>45051</c:v>
                </c:pt>
                <c:pt idx="3084">
                  <c:v>45051</c:v>
                </c:pt>
                <c:pt idx="3085">
                  <c:v>45051</c:v>
                </c:pt>
                <c:pt idx="3086">
                  <c:v>45051</c:v>
                </c:pt>
                <c:pt idx="3087">
                  <c:v>45051</c:v>
                </c:pt>
                <c:pt idx="3088">
                  <c:v>45051</c:v>
                </c:pt>
                <c:pt idx="3089">
                  <c:v>45051</c:v>
                </c:pt>
                <c:pt idx="3090">
                  <c:v>45051</c:v>
                </c:pt>
                <c:pt idx="3091">
                  <c:v>45051</c:v>
                </c:pt>
                <c:pt idx="3092">
                  <c:v>45051</c:v>
                </c:pt>
                <c:pt idx="3093">
                  <c:v>45051</c:v>
                </c:pt>
                <c:pt idx="3094">
                  <c:v>45051</c:v>
                </c:pt>
                <c:pt idx="3095">
                  <c:v>45051</c:v>
                </c:pt>
                <c:pt idx="3096">
                  <c:v>45052</c:v>
                </c:pt>
                <c:pt idx="3097">
                  <c:v>45052</c:v>
                </c:pt>
                <c:pt idx="3098">
                  <c:v>45052</c:v>
                </c:pt>
                <c:pt idx="3099">
                  <c:v>45052</c:v>
                </c:pt>
                <c:pt idx="3100">
                  <c:v>45052</c:v>
                </c:pt>
                <c:pt idx="3101">
                  <c:v>45052</c:v>
                </c:pt>
                <c:pt idx="3102">
                  <c:v>45052</c:v>
                </c:pt>
                <c:pt idx="3103">
                  <c:v>45052</c:v>
                </c:pt>
                <c:pt idx="3104">
                  <c:v>45052</c:v>
                </c:pt>
                <c:pt idx="3105">
                  <c:v>45052</c:v>
                </c:pt>
                <c:pt idx="3106">
                  <c:v>45052</c:v>
                </c:pt>
                <c:pt idx="3107">
                  <c:v>45052</c:v>
                </c:pt>
                <c:pt idx="3108">
                  <c:v>45052</c:v>
                </c:pt>
                <c:pt idx="3109">
                  <c:v>45052</c:v>
                </c:pt>
                <c:pt idx="3110">
                  <c:v>45052</c:v>
                </c:pt>
                <c:pt idx="3111">
                  <c:v>45052</c:v>
                </c:pt>
                <c:pt idx="3112">
                  <c:v>45052</c:v>
                </c:pt>
                <c:pt idx="3113">
                  <c:v>45052</c:v>
                </c:pt>
                <c:pt idx="3114">
                  <c:v>45052</c:v>
                </c:pt>
                <c:pt idx="3115">
                  <c:v>45052</c:v>
                </c:pt>
                <c:pt idx="3116">
                  <c:v>45052</c:v>
                </c:pt>
                <c:pt idx="3117">
                  <c:v>45052</c:v>
                </c:pt>
                <c:pt idx="3118">
                  <c:v>45052</c:v>
                </c:pt>
                <c:pt idx="3119">
                  <c:v>45052</c:v>
                </c:pt>
                <c:pt idx="3120">
                  <c:v>45053</c:v>
                </c:pt>
                <c:pt idx="3121">
                  <c:v>45053</c:v>
                </c:pt>
                <c:pt idx="3122">
                  <c:v>45053</c:v>
                </c:pt>
                <c:pt idx="3123">
                  <c:v>45053</c:v>
                </c:pt>
                <c:pt idx="3124">
                  <c:v>45053</c:v>
                </c:pt>
                <c:pt idx="3125">
                  <c:v>45053</c:v>
                </c:pt>
                <c:pt idx="3126">
                  <c:v>45053</c:v>
                </c:pt>
                <c:pt idx="3127">
                  <c:v>45053</c:v>
                </c:pt>
                <c:pt idx="3128">
                  <c:v>45053</c:v>
                </c:pt>
                <c:pt idx="3129">
                  <c:v>45053</c:v>
                </c:pt>
                <c:pt idx="3130">
                  <c:v>45053</c:v>
                </c:pt>
                <c:pt idx="3131">
                  <c:v>45053</c:v>
                </c:pt>
                <c:pt idx="3132">
                  <c:v>45053</c:v>
                </c:pt>
                <c:pt idx="3133">
                  <c:v>45053</c:v>
                </c:pt>
                <c:pt idx="3134">
                  <c:v>45053</c:v>
                </c:pt>
                <c:pt idx="3135">
                  <c:v>45053</c:v>
                </c:pt>
                <c:pt idx="3136">
                  <c:v>45053</c:v>
                </c:pt>
                <c:pt idx="3137">
                  <c:v>45053</c:v>
                </c:pt>
                <c:pt idx="3138">
                  <c:v>45053</c:v>
                </c:pt>
                <c:pt idx="3139">
                  <c:v>45053</c:v>
                </c:pt>
                <c:pt idx="3140">
                  <c:v>45053</c:v>
                </c:pt>
                <c:pt idx="3141">
                  <c:v>45053</c:v>
                </c:pt>
                <c:pt idx="3142">
                  <c:v>45053</c:v>
                </c:pt>
                <c:pt idx="3143">
                  <c:v>45053</c:v>
                </c:pt>
                <c:pt idx="3144">
                  <c:v>45054</c:v>
                </c:pt>
                <c:pt idx="3145">
                  <c:v>45054</c:v>
                </c:pt>
                <c:pt idx="3146">
                  <c:v>45054</c:v>
                </c:pt>
                <c:pt idx="3147">
                  <c:v>45054</c:v>
                </c:pt>
                <c:pt idx="3148">
                  <c:v>45054</c:v>
                </c:pt>
                <c:pt idx="3149">
                  <c:v>45054</c:v>
                </c:pt>
                <c:pt idx="3150">
                  <c:v>45054</c:v>
                </c:pt>
                <c:pt idx="3151">
                  <c:v>45054</c:v>
                </c:pt>
                <c:pt idx="3152">
                  <c:v>45054</c:v>
                </c:pt>
                <c:pt idx="3153">
                  <c:v>45054</c:v>
                </c:pt>
                <c:pt idx="3154">
                  <c:v>45054</c:v>
                </c:pt>
                <c:pt idx="3155">
                  <c:v>45054</c:v>
                </c:pt>
                <c:pt idx="3156">
                  <c:v>45054</c:v>
                </c:pt>
                <c:pt idx="3157">
                  <c:v>45054</c:v>
                </c:pt>
                <c:pt idx="3158">
                  <c:v>45054</c:v>
                </c:pt>
                <c:pt idx="3159">
                  <c:v>45054</c:v>
                </c:pt>
                <c:pt idx="3160">
                  <c:v>45054</c:v>
                </c:pt>
                <c:pt idx="3161">
                  <c:v>45054</c:v>
                </c:pt>
                <c:pt idx="3162">
                  <c:v>45054</c:v>
                </c:pt>
                <c:pt idx="3163">
                  <c:v>45054</c:v>
                </c:pt>
                <c:pt idx="3164">
                  <c:v>45054</c:v>
                </c:pt>
                <c:pt idx="3165">
                  <c:v>45054</c:v>
                </c:pt>
                <c:pt idx="3166">
                  <c:v>45054</c:v>
                </c:pt>
                <c:pt idx="3167">
                  <c:v>45054</c:v>
                </c:pt>
                <c:pt idx="3168">
                  <c:v>45055</c:v>
                </c:pt>
                <c:pt idx="3169">
                  <c:v>45055</c:v>
                </c:pt>
                <c:pt idx="3170">
                  <c:v>45055</c:v>
                </c:pt>
                <c:pt idx="3171">
                  <c:v>45055</c:v>
                </c:pt>
                <c:pt idx="3172">
                  <c:v>45055</c:v>
                </c:pt>
                <c:pt idx="3173">
                  <c:v>45055</c:v>
                </c:pt>
                <c:pt idx="3174">
                  <c:v>45055</c:v>
                </c:pt>
                <c:pt idx="3175">
                  <c:v>45055</c:v>
                </c:pt>
                <c:pt idx="3176">
                  <c:v>45055</c:v>
                </c:pt>
                <c:pt idx="3177">
                  <c:v>45055</c:v>
                </c:pt>
                <c:pt idx="3178">
                  <c:v>45055</c:v>
                </c:pt>
                <c:pt idx="3179">
                  <c:v>45055</c:v>
                </c:pt>
                <c:pt idx="3180">
                  <c:v>45055</c:v>
                </c:pt>
                <c:pt idx="3181">
                  <c:v>45055</c:v>
                </c:pt>
                <c:pt idx="3182">
                  <c:v>45055</c:v>
                </c:pt>
                <c:pt idx="3183">
                  <c:v>45055</c:v>
                </c:pt>
                <c:pt idx="3184">
                  <c:v>45055</c:v>
                </c:pt>
                <c:pt idx="3185">
                  <c:v>45055</c:v>
                </c:pt>
                <c:pt idx="3186">
                  <c:v>45055</c:v>
                </c:pt>
                <c:pt idx="3187">
                  <c:v>45055</c:v>
                </c:pt>
                <c:pt idx="3188">
                  <c:v>45055</c:v>
                </c:pt>
                <c:pt idx="3189">
                  <c:v>45055</c:v>
                </c:pt>
                <c:pt idx="3190">
                  <c:v>45055</c:v>
                </c:pt>
                <c:pt idx="3191">
                  <c:v>45055</c:v>
                </c:pt>
                <c:pt idx="3192">
                  <c:v>45056</c:v>
                </c:pt>
                <c:pt idx="3193">
                  <c:v>45056</c:v>
                </c:pt>
                <c:pt idx="3194">
                  <c:v>45056</c:v>
                </c:pt>
                <c:pt idx="3195">
                  <c:v>45056</c:v>
                </c:pt>
                <c:pt idx="3196">
                  <c:v>45056</c:v>
                </c:pt>
                <c:pt idx="3197">
                  <c:v>45056</c:v>
                </c:pt>
                <c:pt idx="3198">
                  <c:v>45056</c:v>
                </c:pt>
                <c:pt idx="3199">
                  <c:v>45056</c:v>
                </c:pt>
                <c:pt idx="3200">
                  <c:v>45056</c:v>
                </c:pt>
                <c:pt idx="3201">
                  <c:v>45056</c:v>
                </c:pt>
                <c:pt idx="3202">
                  <c:v>45056</c:v>
                </c:pt>
                <c:pt idx="3203">
                  <c:v>45056</c:v>
                </c:pt>
                <c:pt idx="3204">
                  <c:v>45056</c:v>
                </c:pt>
                <c:pt idx="3205">
                  <c:v>45056</c:v>
                </c:pt>
                <c:pt idx="3206">
                  <c:v>45056</c:v>
                </c:pt>
                <c:pt idx="3207">
                  <c:v>45056</c:v>
                </c:pt>
                <c:pt idx="3208">
                  <c:v>45056</c:v>
                </c:pt>
                <c:pt idx="3209">
                  <c:v>45056</c:v>
                </c:pt>
                <c:pt idx="3210">
                  <c:v>45056</c:v>
                </c:pt>
                <c:pt idx="3211">
                  <c:v>45056</c:v>
                </c:pt>
                <c:pt idx="3212">
                  <c:v>45056</c:v>
                </c:pt>
                <c:pt idx="3213">
                  <c:v>45056</c:v>
                </c:pt>
                <c:pt idx="3214">
                  <c:v>45056</c:v>
                </c:pt>
                <c:pt idx="3215">
                  <c:v>45056</c:v>
                </c:pt>
                <c:pt idx="3216">
                  <c:v>45057</c:v>
                </c:pt>
                <c:pt idx="3217">
                  <c:v>45057</c:v>
                </c:pt>
                <c:pt idx="3218">
                  <c:v>45057</c:v>
                </c:pt>
                <c:pt idx="3219">
                  <c:v>45057</c:v>
                </c:pt>
                <c:pt idx="3220">
                  <c:v>45057</c:v>
                </c:pt>
                <c:pt idx="3221">
                  <c:v>45057</c:v>
                </c:pt>
                <c:pt idx="3222">
                  <c:v>45057</c:v>
                </c:pt>
                <c:pt idx="3223">
                  <c:v>45057</c:v>
                </c:pt>
                <c:pt idx="3224">
                  <c:v>45057</c:v>
                </c:pt>
                <c:pt idx="3225">
                  <c:v>45057</c:v>
                </c:pt>
                <c:pt idx="3226">
                  <c:v>45057</c:v>
                </c:pt>
                <c:pt idx="3227">
                  <c:v>45057</c:v>
                </c:pt>
                <c:pt idx="3228">
                  <c:v>45057</c:v>
                </c:pt>
                <c:pt idx="3229">
                  <c:v>45057</c:v>
                </c:pt>
                <c:pt idx="3230">
                  <c:v>45057</c:v>
                </c:pt>
                <c:pt idx="3231">
                  <c:v>45057</c:v>
                </c:pt>
                <c:pt idx="3232">
                  <c:v>45057</c:v>
                </c:pt>
                <c:pt idx="3233">
                  <c:v>45057</c:v>
                </c:pt>
                <c:pt idx="3234">
                  <c:v>45057</c:v>
                </c:pt>
                <c:pt idx="3235">
                  <c:v>45057</c:v>
                </c:pt>
                <c:pt idx="3236">
                  <c:v>45057</c:v>
                </c:pt>
                <c:pt idx="3237">
                  <c:v>45057</c:v>
                </c:pt>
                <c:pt idx="3238">
                  <c:v>45057</c:v>
                </c:pt>
                <c:pt idx="3239">
                  <c:v>45057</c:v>
                </c:pt>
                <c:pt idx="3240">
                  <c:v>45058</c:v>
                </c:pt>
                <c:pt idx="3241">
                  <c:v>45058</c:v>
                </c:pt>
                <c:pt idx="3242">
                  <c:v>45058</c:v>
                </c:pt>
                <c:pt idx="3243">
                  <c:v>45058</c:v>
                </c:pt>
                <c:pt idx="3244">
                  <c:v>45058</c:v>
                </c:pt>
                <c:pt idx="3245">
                  <c:v>45058</c:v>
                </c:pt>
                <c:pt idx="3246">
                  <c:v>45058</c:v>
                </c:pt>
                <c:pt idx="3247">
                  <c:v>45058</c:v>
                </c:pt>
                <c:pt idx="3248">
                  <c:v>45058</c:v>
                </c:pt>
                <c:pt idx="3249">
                  <c:v>45058</c:v>
                </c:pt>
                <c:pt idx="3250">
                  <c:v>45058</c:v>
                </c:pt>
                <c:pt idx="3251">
                  <c:v>45058</c:v>
                </c:pt>
                <c:pt idx="3252">
                  <c:v>45058</c:v>
                </c:pt>
                <c:pt idx="3253">
                  <c:v>45058</c:v>
                </c:pt>
                <c:pt idx="3254">
                  <c:v>45058</c:v>
                </c:pt>
                <c:pt idx="3255">
                  <c:v>45058</c:v>
                </c:pt>
                <c:pt idx="3256">
                  <c:v>45058</c:v>
                </c:pt>
                <c:pt idx="3257">
                  <c:v>45058</c:v>
                </c:pt>
                <c:pt idx="3258">
                  <c:v>45058</c:v>
                </c:pt>
                <c:pt idx="3259">
                  <c:v>45058</c:v>
                </c:pt>
                <c:pt idx="3260">
                  <c:v>45058</c:v>
                </c:pt>
                <c:pt idx="3261">
                  <c:v>45058</c:v>
                </c:pt>
                <c:pt idx="3262">
                  <c:v>45058</c:v>
                </c:pt>
                <c:pt idx="3263">
                  <c:v>45058</c:v>
                </c:pt>
                <c:pt idx="3264">
                  <c:v>45059</c:v>
                </c:pt>
                <c:pt idx="3265">
                  <c:v>45059</c:v>
                </c:pt>
                <c:pt idx="3266">
                  <c:v>45059</c:v>
                </c:pt>
                <c:pt idx="3267">
                  <c:v>45059</c:v>
                </c:pt>
                <c:pt idx="3268">
                  <c:v>45059</c:v>
                </c:pt>
                <c:pt idx="3269">
                  <c:v>45059</c:v>
                </c:pt>
                <c:pt idx="3270">
                  <c:v>45059</c:v>
                </c:pt>
                <c:pt idx="3271">
                  <c:v>45059</c:v>
                </c:pt>
                <c:pt idx="3272">
                  <c:v>45059</c:v>
                </c:pt>
                <c:pt idx="3273">
                  <c:v>45059</c:v>
                </c:pt>
                <c:pt idx="3274">
                  <c:v>45059</c:v>
                </c:pt>
                <c:pt idx="3275">
                  <c:v>45059</c:v>
                </c:pt>
                <c:pt idx="3276">
                  <c:v>45059</c:v>
                </c:pt>
                <c:pt idx="3277">
                  <c:v>45059</c:v>
                </c:pt>
                <c:pt idx="3278">
                  <c:v>45059</c:v>
                </c:pt>
                <c:pt idx="3279">
                  <c:v>45059</c:v>
                </c:pt>
                <c:pt idx="3280">
                  <c:v>45059</c:v>
                </c:pt>
                <c:pt idx="3281">
                  <c:v>45059</c:v>
                </c:pt>
                <c:pt idx="3282">
                  <c:v>45059</c:v>
                </c:pt>
                <c:pt idx="3283">
                  <c:v>45059</c:v>
                </c:pt>
                <c:pt idx="3284">
                  <c:v>45059</c:v>
                </c:pt>
                <c:pt idx="3285">
                  <c:v>45059</c:v>
                </c:pt>
                <c:pt idx="3286">
                  <c:v>45059</c:v>
                </c:pt>
                <c:pt idx="3287">
                  <c:v>45059</c:v>
                </c:pt>
                <c:pt idx="3288">
                  <c:v>45060</c:v>
                </c:pt>
                <c:pt idx="3289">
                  <c:v>45060</c:v>
                </c:pt>
                <c:pt idx="3290">
                  <c:v>45060</c:v>
                </c:pt>
                <c:pt idx="3291">
                  <c:v>45060</c:v>
                </c:pt>
                <c:pt idx="3292">
                  <c:v>45060</c:v>
                </c:pt>
                <c:pt idx="3293">
                  <c:v>45060</c:v>
                </c:pt>
                <c:pt idx="3294">
                  <c:v>45060</c:v>
                </c:pt>
                <c:pt idx="3295">
                  <c:v>45060</c:v>
                </c:pt>
                <c:pt idx="3296">
                  <c:v>45060</c:v>
                </c:pt>
                <c:pt idx="3297">
                  <c:v>45060</c:v>
                </c:pt>
                <c:pt idx="3298">
                  <c:v>45060</c:v>
                </c:pt>
                <c:pt idx="3299">
                  <c:v>45060</c:v>
                </c:pt>
                <c:pt idx="3300">
                  <c:v>45060</c:v>
                </c:pt>
                <c:pt idx="3301">
                  <c:v>45060</c:v>
                </c:pt>
                <c:pt idx="3302">
                  <c:v>45060</c:v>
                </c:pt>
                <c:pt idx="3303">
                  <c:v>45060</c:v>
                </c:pt>
                <c:pt idx="3304">
                  <c:v>45060</c:v>
                </c:pt>
                <c:pt idx="3305">
                  <c:v>45060</c:v>
                </c:pt>
                <c:pt idx="3306">
                  <c:v>45060</c:v>
                </c:pt>
                <c:pt idx="3307">
                  <c:v>45060</c:v>
                </c:pt>
                <c:pt idx="3308">
                  <c:v>45060</c:v>
                </c:pt>
                <c:pt idx="3309">
                  <c:v>45060</c:v>
                </c:pt>
                <c:pt idx="3310">
                  <c:v>45060</c:v>
                </c:pt>
                <c:pt idx="3311">
                  <c:v>45060</c:v>
                </c:pt>
                <c:pt idx="3312">
                  <c:v>45061</c:v>
                </c:pt>
                <c:pt idx="3313">
                  <c:v>45061</c:v>
                </c:pt>
                <c:pt idx="3314">
                  <c:v>45061</c:v>
                </c:pt>
                <c:pt idx="3315">
                  <c:v>45061</c:v>
                </c:pt>
                <c:pt idx="3316">
                  <c:v>45061</c:v>
                </c:pt>
                <c:pt idx="3317">
                  <c:v>45061</c:v>
                </c:pt>
                <c:pt idx="3318">
                  <c:v>45061</c:v>
                </c:pt>
                <c:pt idx="3319">
                  <c:v>45061</c:v>
                </c:pt>
                <c:pt idx="3320">
                  <c:v>45061</c:v>
                </c:pt>
                <c:pt idx="3321">
                  <c:v>45061</c:v>
                </c:pt>
                <c:pt idx="3322">
                  <c:v>45061</c:v>
                </c:pt>
                <c:pt idx="3323">
                  <c:v>45061</c:v>
                </c:pt>
                <c:pt idx="3324">
                  <c:v>45061</c:v>
                </c:pt>
                <c:pt idx="3325">
                  <c:v>45061</c:v>
                </c:pt>
                <c:pt idx="3326">
                  <c:v>45061</c:v>
                </c:pt>
                <c:pt idx="3327">
                  <c:v>45061</c:v>
                </c:pt>
                <c:pt idx="3328">
                  <c:v>45061</c:v>
                </c:pt>
                <c:pt idx="3329">
                  <c:v>45061</c:v>
                </c:pt>
                <c:pt idx="3330">
                  <c:v>45061</c:v>
                </c:pt>
                <c:pt idx="3331">
                  <c:v>45061</c:v>
                </c:pt>
                <c:pt idx="3332">
                  <c:v>45061</c:v>
                </c:pt>
                <c:pt idx="3333">
                  <c:v>45061</c:v>
                </c:pt>
                <c:pt idx="3334">
                  <c:v>45061</c:v>
                </c:pt>
                <c:pt idx="3335">
                  <c:v>45061</c:v>
                </c:pt>
                <c:pt idx="3336">
                  <c:v>45062</c:v>
                </c:pt>
                <c:pt idx="3337">
                  <c:v>45062</c:v>
                </c:pt>
                <c:pt idx="3338">
                  <c:v>45062</c:v>
                </c:pt>
                <c:pt idx="3339">
                  <c:v>45062</c:v>
                </c:pt>
                <c:pt idx="3340">
                  <c:v>45062</c:v>
                </c:pt>
                <c:pt idx="3341">
                  <c:v>45062</c:v>
                </c:pt>
                <c:pt idx="3342">
                  <c:v>45062</c:v>
                </c:pt>
                <c:pt idx="3343">
                  <c:v>45062</c:v>
                </c:pt>
                <c:pt idx="3344">
                  <c:v>45062</c:v>
                </c:pt>
                <c:pt idx="3345">
                  <c:v>45062</c:v>
                </c:pt>
                <c:pt idx="3346">
                  <c:v>45062</c:v>
                </c:pt>
                <c:pt idx="3347">
                  <c:v>45062</c:v>
                </c:pt>
                <c:pt idx="3348">
                  <c:v>45062</c:v>
                </c:pt>
                <c:pt idx="3349">
                  <c:v>45062</c:v>
                </c:pt>
                <c:pt idx="3350">
                  <c:v>45062</c:v>
                </c:pt>
                <c:pt idx="3351">
                  <c:v>45062</c:v>
                </c:pt>
                <c:pt idx="3352">
                  <c:v>45062</c:v>
                </c:pt>
                <c:pt idx="3353">
                  <c:v>45062</c:v>
                </c:pt>
                <c:pt idx="3354">
                  <c:v>45062</c:v>
                </c:pt>
                <c:pt idx="3355">
                  <c:v>45062</c:v>
                </c:pt>
                <c:pt idx="3356">
                  <c:v>45062</c:v>
                </c:pt>
                <c:pt idx="3357">
                  <c:v>45062</c:v>
                </c:pt>
                <c:pt idx="3358">
                  <c:v>45062</c:v>
                </c:pt>
                <c:pt idx="3359">
                  <c:v>45062</c:v>
                </c:pt>
                <c:pt idx="3360">
                  <c:v>45063</c:v>
                </c:pt>
                <c:pt idx="3361">
                  <c:v>45063</c:v>
                </c:pt>
                <c:pt idx="3362">
                  <c:v>45063</c:v>
                </c:pt>
                <c:pt idx="3363">
                  <c:v>45063</c:v>
                </c:pt>
                <c:pt idx="3364">
                  <c:v>45063</c:v>
                </c:pt>
                <c:pt idx="3365">
                  <c:v>45063</c:v>
                </c:pt>
                <c:pt idx="3366">
                  <c:v>45063</c:v>
                </c:pt>
                <c:pt idx="3367">
                  <c:v>45063</c:v>
                </c:pt>
                <c:pt idx="3368">
                  <c:v>45063</c:v>
                </c:pt>
                <c:pt idx="3369">
                  <c:v>45063</c:v>
                </c:pt>
                <c:pt idx="3370">
                  <c:v>45063</c:v>
                </c:pt>
                <c:pt idx="3371">
                  <c:v>45063</c:v>
                </c:pt>
                <c:pt idx="3372">
                  <c:v>45063</c:v>
                </c:pt>
                <c:pt idx="3373">
                  <c:v>45063</c:v>
                </c:pt>
                <c:pt idx="3374">
                  <c:v>45063</c:v>
                </c:pt>
                <c:pt idx="3375">
                  <c:v>45063</c:v>
                </c:pt>
                <c:pt idx="3376">
                  <c:v>45063</c:v>
                </c:pt>
                <c:pt idx="3377">
                  <c:v>45063</c:v>
                </c:pt>
                <c:pt idx="3378">
                  <c:v>45063</c:v>
                </c:pt>
                <c:pt idx="3379">
                  <c:v>45063</c:v>
                </c:pt>
                <c:pt idx="3380">
                  <c:v>45063</c:v>
                </c:pt>
                <c:pt idx="3381">
                  <c:v>45063</c:v>
                </c:pt>
                <c:pt idx="3382">
                  <c:v>45063</c:v>
                </c:pt>
                <c:pt idx="3383">
                  <c:v>45063</c:v>
                </c:pt>
                <c:pt idx="3384">
                  <c:v>45064</c:v>
                </c:pt>
                <c:pt idx="3385">
                  <c:v>45064</c:v>
                </c:pt>
                <c:pt idx="3386">
                  <c:v>45064</c:v>
                </c:pt>
                <c:pt idx="3387">
                  <c:v>45064</c:v>
                </c:pt>
                <c:pt idx="3388">
                  <c:v>45064</c:v>
                </c:pt>
                <c:pt idx="3389">
                  <c:v>45064</c:v>
                </c:pt>
                <c:pt idx="3390">
                  <c:v>45064</c:v>
                </c:pt>
                <c:pt idx="3391">
                  <c:v>45064</c:v>
                </c:pt>
                <c:pt idx="3392">
                  <c:v>45064</c:v>
                </c:pt>
                <c:pt idx="3393">
                  <c:v>45064</c:v>
                </c:pt>
                <c:pt idx="3394">
                  <c:v>45064</c:v>
                </c:pt>
                <c:pt idx="3395">
                  <c:v>45064</c:v>
                </c:pt>
                <c:pt idx="3396">
                  <c:v>45064</c:v>
                </c:pt>
                <c:pt idx="3397">
                  <c:v>45064</c:v>
                </c:pt>
                <c:pt idx="3398">
                  <c:v>45064</c:v>
                </c:pt>
                <c:pt idx="3399">
                  <c:v>45064</c:v>
                </c:pt>
                <c:pt idx="3400">
                  <c:v>45064</c:v>
                </c:pt>
                <c:pt idx="3401">
                  <c:v>45064</c:v>
                </c:pt>
                <c:pt idx="3402">
                  <c:v>45064</c:v>
                </c:pt>
                <c:pt idx="3403">
                  <c:v>45064</c:v>
                </c:pt>
                <c:pt idx="3404">
                  <c:v>45064</c:v>
                </c:pt>
                <c:pt idx="3405">
                  <c:v>45064</c:v>
                </c:pt>
                <c:pt idx="3406">
                  <c:v>45064</c:v>
                </c:pt>
                <c:pt idx="3407">
                  <c:v>45064</c:v>
                </c:pt>
                <c:pt idx="3408">
                  <c:v>45065</c:v>
                </c:pt>
                <c:pt idx="3409">
                  <c:v>45065</c:v>
                </c:pt>
                <c:pt idx="3410">
                  <c:v>45065</c:v>
                </c:pt>
                <c:pt idx="3411">
                  <c:v>45065</c:v>
                </c:pt>
                <c:pt idx="3412">
                  <c:v>45065</c:v>
                </c:pt>
                <c:pt idx="3413">
                  <c:v>45065</c:v>
                </c:pt>
                <c:pt idx="3414">
                  <c:v>45065</c:v>
                </c:pt>
                <c:pt idx="3415">
                  <c:v>45065</c:v>
                </c:pt>
                <c:pt idx="3416">
                  <c:v>45065</c:v>
                </c:pt>
                <c:pt idx="3417">
                  <c:v>45065</c:v>
                </c:pt>
                <c:pt idx="3418">
                  <c:v>45065</c:v>
                </c:pt>
                <c:pt idx="3419">
                  <c:v>45065</c:v>
                </c:pt>
                <c:pt idx="3420">
                  <c:v>45065</c:v>
                </c:pt>
                <c:pt idx="3421">
                  <c:v>45065</c:v>
                </c:pt>
                <c:pt idx="3422">
                  <c:v>45065</c:v>
                </c:pt>
                <c:pt idx="3423">
                  <c:v>45065</c:v>
                </c:pt>
                <c:pt idx="3424">
                  <c:v>45065</c:v>
                </c:pt>
                <c:pt idx="3425">
                  <c:v>45065</c:v>
                </c:pt>
                <c:pt idx="3426">
                  <c:v>45065</c:v>
                </c:pt>
                <c:pt idx="3427">
                  <c:v>45065</c:v>
                </c:pt>
                <c:pt idx="3428">
                  <c:v>45065</c:v>
                </c:pt>
                <c:pt idx="3429">
                  <c:v>45065</c:v>
                </c:pt>
                <c:pt idx="3430">
                  <c:v>45065</c:v>
                </c:pt>
                <c:pt idx="3431">
                  <c:v>45065</c:v>
                </c:pt>
                <c:pt idx="3432">
                  <c:v>45066</c:v>
                </c:pt>
                <c:pt idx="3433">
                  <c:v>45066</c:v>
                </c:pt>
                <c:pt idx="3434">
                  <c:v>45066</c:v>
                </c:pt>
                <c:pt idx="3435">
                  <c:v>45066</c:v>
                </c:pt>
                <c:pt idx="3436">
                  <c:v>45066</c:v>
                </c:pt>
                <c:pt idx="3437">
                  <c:v>45066</c:v>
                </c:pt>
                <c:pt idx="3438">
                  <c:v>45066</c:v>
                </c:pt>
                <c:pt idx="3439">
                  <c:v>45066</c:v>
                </c:pt>
                <c:pt idx="3440">
                  <c:v>45066</c:v>
                </c:pt>
                <c:pt idx="3441">
                  <c:v>45066</c:v>
                </c:pt>
                <c:pt idx="3442">
                  <c:v>45066</c:v>
                </c:pt>
                <c:pt idx="3443">
                  <c:v>45066</c:v>
                </c:pt>
                <c:pt idx="3444">
                  <c:v>45066</c:v>
                </c:pt>
                <c:pt idx="3445">
                  <c:v>45066</c:v>
                </c:pt>
                <c:pt idx="3446">
                  <c:v>45066</c:v>
                </c:pt>
                <c:pt idx="3447">
                  <c:v>45066</c:v>
                </c:pt>
                <c:pt idx="3448">
                  <c:v>45066</c:v>
                </c:pt>
                <c:pt idx="3449">
                  <c:v>45066</c:v>
                </c:pt>
                <c:pt idx="3450">
                  <c:v>45066</c:v>
                </c:pt>
                <c:pt idx="3451">
                  <c:v>45066</c:v>
                </c:pt>
                <c:pt idx="3452">
                  <c:v>45066</c:v>
                </c:pt>
                <c:pt idx="3453">
                  <c:v>45066</c:v>
                </c:pt>
                <c:pt idx="3454">
                  <c:v>45066</c:v>
                </c:pt>
                <c:pt idx="3455">
                  <c:v>45066</c:v>
                </c:pt>
                <c:pt idx="3456">
                  <c:v>45067</c:v>
                </c:pt>
                <c:pt idx="3457">
                  <c:v>45067</c:v>
                </c:pt>
                <c:pt idx="3458">
                  <c:v>45067</c:v>
                </c:pt>
                <c:pt idx="3459">
                  <c:v>45067</c:v>
                </c:pt>
                <c:pt idx="3460">
                  <c:v>45067</c:v>
                </c:pt>
                <c:pt idx="3461">
                  <c:v>45067</c:v>
                </c:pt>
                <c:pt idx="3462">
                  <c:v>45067</c:v>
                </c:pt>
                <c:pt idx="3463">
                  <c:v>45067</c:v>
                </c:pt>
                <c:pt idx="3464">
                  <c:v>45067</c:v>
                </c:pt>
                <c:pt idx="3465">
                  <c:v>45067</c:v>
                </c:pt>
                <c:pt idx="3466">
                  <c:v>45067</c:v>
                </c:pt>
                <c:pt idx="3467">
                  <c:v>45067</c:v>
                </c:pt>
                <c:pt idx="3468">
                  <c:v>45067</c:v>
                </c:pt>
                <c:pt idx="3469">
                  <c:v>45067</c:v>
                </c:pt>
                <c:pt idx="3470">
                  <c:v>45067</c:v>
                </c:pt>
                <c:pt idx="3471">
                  <c:v>45067</c:v>
                </c:pt>
                <c:pt idx="3472">
                  <c:v>45067</c:v>
                </c:pt>
                <c:pt idx="3473">
                  <c:v>45067</c:v>
                </c:pt>
                <c:pt idx="3474">
                  <c:v>45067</c:v>
                </c:pt>
                <c:pt idx="3475">
                  <c:v>45067</c:v>
                </c:pt>
                <c:pt idx="3476">
                  <c:v>45067</c:v>
                </c:pt>
                <c:pt idx="3477">
                  <c:v>45067</c:v>
                </c:pt>
                <c:pt idx="3478">
                  <c:v>45067</c:v>
                </c:pt>
                <c:pt idx="3479">
                  <c:v>45067</c:v>
                </c:pt>
                <c:pt idx="3480">
                  <c:v>45068</c:v>
                </c:pt>
                <c:pt idx="3481">
                  <c:v>45068</c:v>
                </c:pt>
                <c:pt idx="3482">
                  <c:v>45068</c:v>
                </c:pt>
                <c:pt idx="3483">
                  <c:v>45068</c:v>
                </c:pt>
                <c:pt idx="3484">
                  <c:v>45068</c:v>
                </c:pt>
                <c:pt idx="3485">
                  <c:v>45068</c:v>
                </c:pt>
                <c:pt idx="3486">
                  <c:v>45068</c:v>
                </c:pt>
                <c:pt idx="3487">
                  <c:v>45068</c:v>
                </c:pt>
                <c:pt idx="3488">
                  <c:v>45068</c:v>
                </c:pt>
                <c:pt idx="3489">
                  <c:v>45068</c:v>
                </c:pt>
                <c:pt idx="3490">
                  <c:v>45068</c:v>
                </c:pt>
                <c:pt idx="3491">
                  <c:v>45068</c:v>
                </c:pt>
                <c:pt idx="3492">
                  <c:v>45068</c:v>
                </c:pt>
                <c:pt idx="3493">
                  <c:v>45068</c:v>
                </c:pt>
                <c:pt idx="3494">
                  <c:v>45068</c:v>
                </c:pt>
                <c:pt idx="3495">
                  <c:v>45068</c:v>
                </c:pt>
                <c:pt idx="3496">
                  <c:v>45068</c:v>
                </c:pt>
                <c:pt idx="3497">
                  <c:v>45068</c:v>
                </c:pt>
                <c:pt idx="3498">
                  <c:v>45068</c:v>
                </c:pt>
                <c:pt idx="3499">
                  <c:v>45068</c:v>
                </c:pt>
                <c:pt idx="3500">
                  <c:v>45068</c:v>
                </c:pt>
                <c:pt idx="3501">
                  <c:v>45068</c:v>
                </c:pt>
                <c:pt idx="3502">
                  <c:v>45068</c:v>
                </c:pt>
                <c:pt idx="3503">
                  <c:v>45068</c:v>
                </c:pt>
                <c:pt idx="3504">
                  <c:v>45069</c:v>
                </c:pt>
                <c:pt idx="3505">
                  <c:v>45069</c:v>
                </c:pt>
                <c:pt idx="3506">
                  <c:v>45069</c:v>
                </c:pt>
                <c:pt idx="3507">
                  <c:v>45069</c:v>
                </c:pt>
                <c:pt idx="3508">
                  <c:v>45069</c:v>
                </c:pt>
                <c:pt idx="3509">
                  <c:v>45069</c:v>
                </c:pt>
                <c:pt idx="3510">
                  <c:v>45069</c:v>
                </c:pt>
                <c:pt idx="3511">
                  <c:v>45069</c:v>
                </c:pt>
                <c:pt idx="3512">
                  <c:v>45069</c:v>
                </c:pt>
                <c:pt idx="3513">
                  <c:v>45069</c:v>
                </c:pt>
                <c:pt idx="3514">
                  <c:v>45069</c:v>
                </c:pt>
                <c:pt idx="3515">
                  <c:v>45069</c:v>
                </c:pt>
                <c:pt idx="3516">
                  <c:v>45069</c:v>
                </c:pt>
                <c:pt idx="3517">
                  <c:v>45069</c:v>
                </c:pt>
                <c:pt idx="3518">
                  <c:v>45069</c:v>
                </c:pt>
                <c:pt idx="3519">
                  <c:v>45069</c:v>
                </c:pt>
                <c:pt idx="3520">
                  <c:v>45069</c:v>
                </c:pt>
                <c:pt idx="3521">
                  <c:v>45069</c:v>
                </c:pt>
                <c:pt idx="3522">
                  <c:v>45069</c:v>
                </c:pt>
                <c:pt idx="3523">
                  <c:v>45069</c:v>
                </c:pt>
                <c:pt idx="3524">
                  <c:v>45069</c:v>
                </c:pt>
                <c:pt idx="3525">
                  <c:v>45069</c:v>
                </c:pt>
                <c:pt idx="3526">
                  <c:v>45069</c:v>
                </c:pt>
                <c:pt idx="3527">
                  <c:v>45069</c:v>
                </c:pt>
                <c:pt idx="3528">
                  <c:v>45070</c:v>
                </c:pt>
                <c:pt idx="3529">
                  <c:v>45070</c:v>
                </c:pt>
                <c:pt idx="3530">
                  <c:v>45070</c:v>
                </c:pt>
                <c:pt idx="3531">
                  <c:v>45070</c:v>
                </c:pt>
                <c:pt idx="3532">
                  <c:v>45070</c:v>
                </c:pt>
                <c:pt idx="3533">
                  <c:v>45070</c:v>
                </c:pt>
                <c:pt idx="3534">
                  <c:v>45070</c:v>
                </c:pt>
                <c:pt idx="3535">
                  <c:v>45070</c:v>
                </c:pt>
                <c:pt idx="3536">
                  <c:v>45070</c:v>
                </c:pt>
                <c:pt idx="3537">
                  <c:v>45070</c:v>
                </c:pt>
                <c:pt idx="3538">
                  <c:v>45070</c:v>
                </c:pt>
                <c:pt idx="3539">
                  <c:v>45070</c:v>
                </c:pt>
                <c:pt idx="3540">
                  <c:v>45070</c:v>
                </c:pt>
                <c:pt idx="3541">
                  <c:v>45070</c:v>
                </c:pt>
                <c:pt idx="3542">
                  <c:v>45070</c:v>
                </c:pt>
                <c:pt idx="3543">
                  <c:v>45070</c:v>
                </c:pt>
                <c:pt idx="3544">
                  <c:v>45070</c:v>
                </c:pt>
                <c:pt idx="3545">
                  <c:v>45070</c:v>
                </c:pt>
                <c:pt idx="3546">
                  <c:v>45070</c:v>
                </c:pt>
                <c:pt idx="3547">
                  <c:v>45070</c:v>
                </c:pt>
                <c:pt idx="3548">
                  <c:v>45070</c:v>
                </c:pt>
                <c:pt idx="3549">
                  <c:v>45070</c:v>
                </c:pt>
                <c:pt idx="3550">
                  <c:v>45070</c:v>
                </c:pt>
                <c:pt idx="3551">
                  <c:v>45070</c:v>
                </c:pt>
                <c:pt idx="3552">
                  <c:v>45071</c:v>
                </c:pt>
                <c:pt idx="3553">
                  <c:v>45071</c:v>
                </c:pt>
                <c:pt idx="3554">
                  <c:v>45071</c:v>
                </c:pt>
                <c:pt idx="3555">
                  <c:v>45071</c:v>
                </c:pt>
                <c:pt idx="3556">
                  <c:v>45071</c:v>
                </c:pt>
                <c:pt idx="3557">
                  <c:v>45071</c:v>
                </c:pt>
                <c:pt idx="3558">
                  <c:v>45071</c:v>
                </c:pt>
                <c:pt idx="3559">
                  <c:v>45071</c:v>
                </c:pt>
                <c:pt idx="3560">
                  <c:v>45071</c:v>
                </c:pt>
                <c:pt idx="3561">
                  <c:v>45071</c:v>
                </c:pt>
                <c:pt idx="3562">
                  <c:v>45071</c:v>
                </c:pt>
                <c:pt idx="3563">
                  <c:v>45071</c:v>
                </c:pt>
                <c:pt idx="3564">
                  <c:v>45071</c:v>
                </c:pt>
                <c:pt idx="3565">
                  <c:v>45071</c:v>
                </c:pt>
                <c:pt idx="3566">
                  <c:v>45071</c:v>
                </c:pt>
                <c:pt idx="3567">
                  <c:v>45071</c:v>
                </c:pt>
                <c:pt idx="3568">
                  <c:v>45071</c:v>
                </c:pt>
                <c:pt idx="3569">
                  <c:v>45071</c:v>
                </c:pt>
                <c:pt idx="3570">
                  <c:v>45071</c:v>
                </c:pt>
                <c:pt idx="3571">
                  <c:v>45071</c:v>
                </c:pt>
                <c:pt idx="3572">
                  <c:v>45071</c:v>
                </c:pt>
                <c:pt idx="3573">
                  <c:v>45071</c:v>
                </c:pt>
                <c:pt idx="3574">
                  <c:v>45071</c:v>
                </c:pt>
                <c:pt idx="3575">
                  <c:v>45071</c:v>
                </c:pt>
                <c:pt idx="3576">
                  <c:v>45072</c:v>
                </c:pt>
                <c:pt idx="3577">
                  <c:v>45072</c:v>
                </c:pt>
                <c:pt idx="3578">
                  <c:v>45072</c:v>
                </c:pt>
                <c:pt idx="3579">
                  <c:v>45072</c:v>
                </c:pt>
                <c:pt idx="3580">
                  <c:v>45072</c:v>
                </c:pt>
                <c:pt idx="3581">
                  <c:v>45072</c:v>
                </c:pt>
                <c:pt idx="3582">
                  <c:v>45072</c:v>
                </c:pt>
                <c:pt idx="3583">
                  <c:v>45072</c:v>
                </c:pt>
                <c:pt idx="3584">
                  <c:v>45072</c:v>
                </c:pt>
                <c:pt idx="3585">
                  <c:v>45072</c:v>
                </c:pt>
                <c:pt idx="3586">
                  <c:v>45072</c:v>
                </c:pt>
                <c:pt idx="3587">
                  <c:v>45072</c:v>
                </c:pt>
                <c:pt idx="3588">
                  <c:v>45072</c:v>
                </c:pt>
                <c:pt idx="3589">
                  <c:v>45072</c:v>
                </c:pt>
                <c:pt idx="3590">
                  <c:v>45072</c:v>
                </c:pt>
                <c:pt idx="3591">
                  <c:v>45072</c:v>
                </c:pt>
                <c:pt idx="3592">
                  <c:v>45072</c:v>
                </c:pt>
                <c:pt idx="3593">
                  <c:v>45072</c:v>
                </c:pt>
                <c:pt idx="3594">
                  <c:v>45072</c:v>
                </c:pt>
                <c:pt idx="3595">
                  <c:v>45072</c:v>
                </c:pt>
                <c:pt idx="3596">
                  <c:v>45072</c:v>
                </c:pt>
                <c:pt idx="3597">
                  <c:v>45072</c:v>
                </c:pt>
                <c:pt idx="3598">
                  <c:v>45072</c:v>
                </c:pt>
                <c:pt idx="3599">
                  <c:v>45072</c:v>
                </c:pt>
                <c:pt idx="3600">
                  <c:v>45073</c:v>
                </c:pt>
                <c:pt idx="3601">
                  <c:v>45073</c:v>
                </c:pt>
                <c:pt idx="3602">
                  <c:v>45073</c:v>
                </c:pt>
                <c:pt idx="3603">
                  <c:v>45073</c:v>
                </c:pt>
                <c:pt idx="3604">
                  <c:v>45073</c:v>
                </c:pt>
                <c:pt idx="3605">
                  <c:v>45073</c:v>
                </c:pt>
                <c:pt idx="3606">
                  <c:v>45073</c:v>
                </c:pt>
                <c:pt idx="3607">
                  <c:v>45073</c:v>
                </c:pt>
                <c:pt idx="3608">
                  <c:v>45073</c:v>
                </c:pt>
                <c:pt idx="3609">
                  <c:v>45073</c:v>
                </c:pt>
                <c:pt idx="3610">
                  <c:v>45073</c:v>
                </c:pt>
                <c:pt idx="3611">
                  <c:v>45073</c:v>
                </c:pt>
                <c:pt idx="3612">
                  <c:v>45073</c:v>
                </c:pt>
                <c:pt idx="3613">
                  <c:v>45073</c:v>
                </c:pt>
                <c:pt idx="3614">
                  <c:v>45073</c:v>
                </c:pt>
                <c:pt idx="3615">
                  <c:v>45073</c:v>
                </c:pt>
                <c:pt idx="3616">
                  <c:v>45073</c:v>
                </c:pt>
                <c:pt idx="3617">
                  <c:v>45073</c:v>
                </c:pt>
                <c:pt idx="3618">
                  <c:v>45073</c:v>
                </c:pt>
                <c:pt idx="3619">
                  <c:v>45073</c:v>
                </c:pt>
                <c:pt idx="3620">
                  <c:v>45073</c:v>
                </c:pt>
                <c:pt idx="3621">
                  <c:v>45073</c:v>
                </c:pt>
                <c:pt idx="3622">
                  <c:v>45073</c:v>
                </c:pt>
                <c:pt idx="3623">
                  <c:v>45073</c:v>
                </c:pt>
                <c:pt idx="3624">
                  <c:v>45074</c:v>
                </c:pt>
                <c:pt idx="3625">
                  <c:v>45074</c:v>
                </c:pt>
                <c:pt idx="3626">
                  <c:v>45074</c:v>
                </c:pt>
                <c:pt idx="3627">
                  <c:v>45074</c:v>
                </c:pt>
                <c:pt idx="3628">
                  <c:v>45074</c:v>
                </c:pt>
                <c:pt idx="3629">
                  <c:v>45074</c:v>
                </c:pt>
                <c:pt idx="3630">
                  <c:v>45074</c:v>
                </c:pt>
                <c:pt idx="3631">
                  <c:v>45074</c:v>
                </c:pt>
                <c:pt idx="3632">
                  <c:v>45074</c:v>
                </c:pt>
                <c:pt idx="3633">
                  <c:v>45074</c:v>
                </c:pt>
                <c:pt idx="3634">
                  <c:v>45074</c:v>
                </c:pt>
                <c:pt idx="3635">
                  <c:v>45074</c:v>
                </c:pt>
                <c:pt idx="3636">
                  <c:v>45074</c:v>
                </c:pt>
                <c:pt idx="3637">
                  <c:v>45074</c:v>
                </c:pt>
                <c:pt idx="3638">
                  <c:v>45074</c:v>
                </c:pt>
                <c:pt idx="3639">
                  <c:v>45074</c:v>
                </c:pt>
                <c:pt idx="3640">
                  <c:v>45074</c:v>
                </c:pt>
                <c:pt idx="3641">
                  <c:v>45074</c:v>
                </c:pt>
                <c:pt idx="3642">
                  <c:v>45074</c:v>
                </c:pt>
                <c:pt idx="3643">
                  <c:v>45074</c:v>
                </c:pt>
                <c:pt idx="3644">
                  <c:v>45074</c:v>
                </c:pt>
                <c:pt idx="3645">
                  <c:v>45074</c:v>
                </c:pt>
                <c:pt idx="3646">
                  <c:v>45074</c:v>
                </c:pt>
                <c:pt idx="3647">
                  <c:v>45074</c:v>
                </c:pt>
                <c:pt idx="3648">
                  <c:v>45075</c:v>
                </c:pt>
                <c:pt idx="3649">
                  <c:v>45075</c:v>
                </c:pt>
                <c:pt idx="3650">
                  <c:v>45075</c:v>
                </c:pt>
                <c:pt idx="3651">
                  <c:v>45075</c:v>
                </c:pt>
                <c:pt idx="3652">
                  <c:v>45075</c:v>
                </c:pt>
                <c:pt idx="3653">
                  <c:v>45075</c:v>
                </c:pt>
                <c:pt idx="3654">
                  <c:v>45075</c:v>
                </c:pt>
                <c:pt idx="3655">
                  <c:v>45075</c:v>
                </c:pt>
                <c:pt idx="3656">
                  <c:v>45075</c:v>
                </c:pt>
                <c:pt idx="3657">
                  <c:v>45075</c:v>
                </c:pt>
                <c:pt idx="3658">
                  <c:v>45075</c:v>
                </c:pt>
                <c:pt idx="3659">
                  <c:v>45075</c:v>
                </c:pt>
                <c:pt idx="3660">
                  <c:v>45075</c:v>
                </c:pt>
                <c:pt idx="3661">
                  <c:v>45075</c:v>
                </c:pt>
                <c:pt idx="3662">
                  <c:v>45075</c:v>
                </c:pt>
                <c:pt idx="3663">
                  <c:v>45075</c:v>
                </c:pt>
                <c:pt idx="3664">
                  <c:v>45075</c:v>
                </c:pt>
                <c:pt idx="3665">
                  <c:v>45075</c:v>
                </c:pt>
                <c:pt idx="3666">
                  <c:v>45075</c:v>
                </c:pt>
                <c:pt idx="3667">
                  <c:v>45075</c:v>
                </c:pt>
                <c:pt idx="3668">
                  <c:v>45075</c:v>
                </c:pt>
                <c:pt idx="3669">
                  <c:v>45075</c:v>
                </c:pt>
                <c:pt idx="3670">
                  <c:v>45075</c:v>
                </c:pt>
                <c:pt idx="3671">
                  <c:v>45075</c:v>
                </c:pt>
                <c:pt idx="3672">
                  <c:v>45076</c:v>
                </c:pt>
                <c:pt idx="3673">
                  <c:v>45076</c:v>
                </c:pt>
                <c:pt idx="3674">
                  <c:v>45076</c:v>
                </c:pt>
                <c:pt idx="3675">
                  <c:v>45076</c:v>
                </c:pt>
                <c:pt idx="3676">
                  <c:v>45076</c:v>
                </c:pt>
                <c:pt idx="3677">
                  <c:v>45076</c:v>
                </c:pt>
                <c:pt idx="3678">
                  <c:v>45076</c:v>
                </c:pt>
                <c:pt idx="3679">
                  <c:v>45076</c:v>
                </c:pt>
                <c:pt idx="3680">
                  <c:v>45076</c:v>
                </c:pt>
                <c:pt idx="3681">
                  <c:v>45076</c:v>
                </c:pt>
                <c:pt idx="3682">
                  <c:v>45076</c:v>
                </c:pt>
                <c:pt idx="3683">
                  <c:v>45076</c:v>
                </c:pt>
                <c:pt idx="3684">
                  <c:v>45076</c:v>
                </c:pt>
                <c:pt idx="3685">
                  <c:v>45076</c:v>
                </c:pt>
                <c:pt idx="3686">
                  <c:v>45076</c:v>
                </c:pt>
                <c:pt idx="3687">
                  <c:v>45076</c:v>
                </c:pt>
                <c:pt idx="3688">
                  <c:v>45076</c:v>
                </c:pt>
                <c:pt idx="3689">
                  <c:v>45076</c:v>
                </c:pt>
                <c:pt idx="3690">
                  <c:v>45076</c:v>
                </c:pt>
                <c:pt idx="3691">
                  <c:v>45076</c:v>
                </c:pt>
                <c:pt idx="3692">
                  <c:v>45076</c:v>
                </c:pt>
                <c:pt idx="3693">
                  <c:v>45076</c:v>
                </c:pt>
                <c:pt idx="3694">
                  <c:v>45076</c:v>
                </c:pt>
                <c:pt idx="3695">
                  <c:v>45076</c:v>
                </c:pt>
                <c:pt idx="3696">
                  <c:v>45077</c:v>
                </c:pt>
                <c:pt idx="3697">
                  <c:v>45077</c:v>
                </c:pt>
                <c:pt idx="3698">
                  <c:v>45077</c:v>
                </c:pt>
                <c:pt idx="3699">
                  <c:v>45077</c:v>
                </c:pt>
                <c:pt idx="3700">
                  <c:v>45077</c:v>
                </c:pt>
                <c:pt idx="3701">
                  <c:v>45077</c:v>
                </c:pt>
                <c:pt idx="3702">
                  <c:v>45077</c:v>
                </c:pt>
                <c:pt idx="3703">
                  <c:v>45077</c:v>
                </c:pt>
                <c:pt idx="3704">
                  <c:v>45077</c:v>
                </c:pt>
                <c:pt idx="3705">
                  <c:v>45077</c:v>
                </c:pt>
                <c:pt idx="3706">
                  <c:v>45077</c:v>
                </c:pt>
                <c:pt idx="3707">
                  <c:v>45077</c:v>
                </c:pt>
                <c:pt idx="3708">
                  <c:v>45077</c:v>
                </c:pt>
                <c:pt idx="3709">
                  <c:v>45077</c:v>
                </c:pt>
                <c:pt idx="3710">
                  <c:v>45077</c:v>
                </c:pt>
                <c:pt idx="3711">
                  <c:v>45077</c:v>
                </c:pt>
                <c:pt idx="3712">
                  <c:v>45077</c:v>
                </c:pt>
                <c:pt idx="3713">
                  <c:v>45077</c:v>
                </c:pt>
                <c:pt idx="3714">
                  <c:v>45077</c:v>
                </c:pt>
                <c:pt idx="3715">
                  <c:v>45077</c:v>
                </c:pt>
                <c:pt idx="3716">
                  <c:v>45077</c:v>
                </c:pt>
                <c:pt idx="3717">
                  <c:v>45077</c:v>
                </c:pt>
                <c:pt idx="3718">
                  <c:v>45077</c:v>
                </c:pt>
                <c:pt idx="3719">
                  <c:v>45077</c:v>
                </c:pt>
                <c:pt idx="3720">
                  <c:v>45078</c:v>
                </c:pt>
                <c:pt idx="3721">
                  <c:v>45078</c:v>
                </c:pt>
                <c:pt idx="3722">
                  <c:v>45078</c:v>
                </c:pt>
                <c:pt idx="3723">
                  <c:v>45078</c:v>
                </c:pt>
                <c:pt idx="3724">
                  <c:v>45078</c:v>
                </c:pt>
                <c:pt idx="3725">
                  <c:v>45078</c:v>
                </c:pt>
                <c:pt idx="3726">
                  <c:v>45078</c:v>
                </c:pt>
                <c:pt idx="3727">
                  <c:v>45078</c:v>
                </c:pt>
                <c:pt idx="3728">
                  <c:v>45078</c:v>
                </c:pt>
                <c:pt idx="3729">
                  <c:v>45078</c:v>
                </c:pt>
                <c:pt idx="3730">
                  <c:v>45078</c:v>
                </c:pt>
                <c:pt idx="3731">
                  <c:v>45078</c:v>
                </c:pt>
                <c:pt idx="3732">
                  <c:v>45078</c:v>
                </c:pt>
                <c:pt idx="3733">
                  <c:v>45078</c:v>
                </c:pt>
                <c:pt idx="3734">
                  <c:v>45078</c:v>
                </c:pt>
                <c:pt idx="3735">
                  <c:v>45078</c:v>
                </c:pt>
                <c:pt idx="3736">
                  <c:v>45078</c:v>
                </c:pt>
                <c:pt idx="3737">
                  <c:v>45078</c:v>
                </c:pt>
                <c:pt idx="3738">
                  <c:v>45078</c:v>
                </c:pt>
                <c:pt idx="3739">
                  <c:v>45078</c:v>
                </c:pt>
                <c:pt idx="3740">
                  <c:v>45078</c:v>
                </c:pt>
                <c:pt idx="3741">
                  <c:v>45078</c:v>
                </c:pt>
                <c:pt idx="3742">
                  <c:v>45078</c:v>
                </c:pt>
                <c:pt idx="3743">
                  <c:v>45078</c:v>
                </c:pt>
                <c:pt idx="3744">
                  <c:v>45079</c:v>
                </c:pt>
                <c:pt idx="3745">
                  <c:v>45079</c:v>
                </c:pt>
                <c:pt idx="3746">
                  <c:v>45079</c:v>
                </c:pt>
                <c:pt idx="3747">
                  <c:v>45079</c:v>
                </c:pt>
                <c:pt idx="3748">
                  <c:v>45079</c:v>
                </c:pt>
                <c:pt idx="3749">
                  <c:v>45079</c:v>
                </c:pt>
                <c:pt idx="3750">
                  <c:v>45079</c:v>
                </c:pt>
                <c:pt idx="3751">
                  <c:v>45079</c:v>
                </c:pt>
                <c:pt idx="3752">
                  <c:v>45079</c:v>
                </c:pt>
                <c:pt idx="3753">
                  <c:v>45079</c:v>
                </c:pt>
                <c:pt idx="3754">
                  <c:v>45079</c:v>
                </c:pt>
                <c:pt idx="3755">
                  <c:v>45079</c:v>
                </c:pt>
                <c:pt idx="3756">
                  <c:v>45079</c:v>
                </c:pt>
                <c:pt idx="3757">
                  <c:v>45079</c:v>
                </c:pt>
                <c:pt idx="3758">
                  <c:v>45079</c:v>
                </c:pt>
                <c:pt idx="3759">
                  <c:v>45079</c:v>
                </c:pt>
                <c:pt idx="3760">
                  <c:v>45079</c:v>
                </c:pt>
                <c:pt idx="3761">
                  <c:v>45079</c:v>
                </c:pt>
                <c:pt idx="3762">
                  <c:v>45079</c:v>
                </c:pt>
                <c:pt idx="3763">
                  <c:v>45079</c:v>
                </c:pt>
                <c:pt idx="3764">
                  <c:v>45079</c:v>
                </c:pt>
                <c:pt idx="3765">
                  <c:v>45079</c:v>
                </c:pt>
                <c:pt idx="3766">
                  <c:v>45079</c:v>
                </c:pt>
                <c:pt idx="3767">
                  <c:v>45079</c:v>
                </c:pt>
                <c:pt idx="3768">
                  <c:v>45080</c:v>
                </c:pt>
                <c:pt idx="3769">
                  <c:v>45080</c:v>
                </c:pt>
                <c:pt idx="3770">
                  <c:v>45080</c:v>
                </c:pt>
                <c:pt idx="3771">
                  <c:v>45080</c:v>
                </c:pt>
                <c:pt idx="3772">
                  <c:v>45080</c:v>
                </c:pt>
                <c:pt idx="3773">
                  <c:v>45080</c:v>
                </c:pt>
                <c:pt idx="3774">
                  <c:v>45080</c:v>
                </c:pt>
                <c:pt idx="3775">
                  <c:v>45080</c:v>
                </c:pt>
                <c:pt idx="3776">
                  <c:v>45080</c:v>
                </c:pt>
                <c:pt idx="3777">
                  <c:v>45080</c:v>
                </c:pt>
                <c:pt idx="3778">
                  <c:v>45080</c:v>
                </c:pt>
                <c:pt idx="3779">
                  <c:v>45080</c:v>
                </c:pt>
                <c:pt idx="3780">
                  <c:v>45080</c:v>
                </c:pt>
                <c:pt idx="3781">
                  <c:v>45080</c:v>
                </c:pt>
                <c:pt idx="3782">
                  <c:v>45080</c:v>
                </c:pt>
                <c:pt idx="3783">
                  <c:v>45080</c:v>
                </c:pt>
                <c:pt idx="3784">
                  <c:v>45080</c:v>
                </c:pt>
                <c:pt idx="3785">
                  <c:v>45080</c:v>
                </c:pt>
                <c:pt idx="3786">
                  <c:v>45080</c:v>
                </c:pt>
                <c:pt idx="3787">
                  <c:v>45080</c:v>
                </c:pt>
                <c:pt idx="3788">
                  <c:v>45080</c:v>
                </c:pt>
                <c:pt idx="3789">
                  <c:v>45080</c:v>
                </c:pt>
                <c:pt idx="3790">
                  <c:v>45080</c:v>
                </c:pt>
                <c:pt idx="3791">
                  <c:v>45080</c:v>
                </c:pt>
                <c:pt idx="3792">
                  <c:v>45081</c:v>
                </c:pt>
                <c:pt idx="3793">
                  <c:v>45081</c:v>
                </c:pt>
                <c:pt idx="3794">
                  <c:v>45081</c:v>
                </c:pt>
                <c:pt idx="3795">
                  <c:v>45081</c:v>
                </c:pt>
                <c:pt idx="3796">
                  <c:v>45081</c:v>
                </c:pt>
                <c:pt idx="3797">
                  <c:v>45081</c:v>
                </c:pt>
                <c:pt idx="3798">
                  <c:v>45081</c:v>
                </c:pt>
                <c:pt idx="3799">
                  <c:v>45081</c:v>
                </c:pt>
                <c:pt idx="3800">
                  <c:v>45081</c:v>
                </c:pt>
                <c:pt idx="3801">
                  <c:v>45081</c:v>
                </c:pt>
                <c:pt idx="3802">
                  <c:v>45081</c:v>
                </c:pt>
                <c:pt idx="3803">
                  <c:v>45081</c:v>
                </c:pt>
                <c:pt idx="3804">
                  <c:v>45081</c:v>
                </c:pt>
                <c:pt idx="3805">
                  <c:v>45081</c:v>
                </c:pt>
                <c:pt idx="3806">
                  <c:v>45081</c:v>
                </c:pt>
                <c:pt idx="3807">
                  <c:v>45081</c:v>
                </c:pt>
                <c:pt idx="3808">
                  <c:v>45081</c:v>
                </c:pt>
                <c:pt idx="3809">
                  <c:v>45081</c:v>
                </c:pt>
                <c:pt idx="3810">
                  <c:v>45081</c:v>
                </c:pt>
                <c:pt idx="3811">
                  <c:v>45081</c:v>
                </c:pt>
                <c:pt idx="3812">
                  <c:v>45081</c:v>
                </c:pt>
                <c:pt idx="3813">
                  <c:v>45081</c:v>
                </c:pt>
                <c:pt idx="3814">
                  <c:v>45081</c:v>
                </c:pt>
                <c:pt idx="3815">
                  <c:v>45081</c:v>
                </c:pt>
                <c:pt idx="3816">
                  <c:v>45082</c:v>
                </c:pt>
                <c:pt idx="3817">
                  <c:v>45082</c:v>
                </c:pt>
                <c:pt idx="3818">
                  <c:v>45082</c:v>
                </c:pt>
                <c:pt idx="3819">
                  <c:v>45082</c:v>
                </c:pt>
                <c:pt idx="3820">
                  <c:v>45082</c:v>
                </c:pt>
                <c:pt idx="3821">
                  <c:v>45082</c:v>
                </c:pt>
                <c:pt idx="3822">
                  <c:v>45082</c:v>
                </c:pt>
                <c:pt idx="3823">
                  <c:v>45082</c:v>
                </c:pt>
                <c:pt idx="3824">
                  <c:v>45082</c:v>
                </c:pt>
                <c:pt idx="3825">
                  <c:v>45082</c:v>
                </c:pt>
                <c:pt idx="3826">
                  <c:v>45082</c:v>
                </c:pt>
                <c:pt idx="3827">
                  <c:v>45082</c:v>
                </c:pt>
                <c:pt idx="3828">
                  <c:v>45082</c:v>
                </c:pt>
                <c:pt idx="3829">
                  <c:v>45082</c:v>
                </c:pt>
                <c:pt idx="3830">
                  <c:v>45082</c:v>
                </c:pt>
                <c:pt idx="3831">
                  <c:v>45082</c:v>
                </c:pt>
                <c:pt idx="3832">
                  <c:v>45082</c:v>
                </c:pt>
                <c:pt idx="3833">
                  <c:v>45082</c:v>
                </c:pt>
                <c:pt idx="3834">
                  <c:v>45082</c:v>
                </c:pt>
                <c:pt idx="3835">
                  <c:v>45082</c:v>
                </c:pt>
                <c:pt idx="3836">
                  <c:v>45082</c:v>
                </c:pt>
                <c:pt idx="3837">
                  <c:v>45082</c:v>
                </c:pt>
                <c:pt idx="3838">
                  <c:v>45082</c:v>
                </c:pt>
                <c:pt idx="3839">
                  <c:v>45082</c:v>
                </c:pt>
                <c:pt idx="3840">
                  <c:v>45083</c:v>
                </c:pt>
                <c:pt idx="3841">
                  <c:v>45083</c:v>
                </c:pt>
                <c:pt idx="3842">
                  <c:v>45083</c:v>
                </c:pt>
                <c:pt idx="3843">
                  <c:v>45083</c:v>
                </c:pt>
                <c:pt idx="3844">
                  <c:v>45083</c:v>
                </c:pt>
                <c:pt idx="3845">
                  <c:v>45083</c:v>
                </c:pt>
                <c:pt idx="3846">
                  <c:v>45083</c:v>
                </c:pt>
                <c:pt idx="3847">
                  <c:v>45083</c:v>
                </c:pt>
                <c:pt idx="3848">
                  <c:v>45083</c:v>
                </c:pt>
                <c:pt idx="3849">
                  <c:v>45083</c:v>
                </c:pt>
                <c:pt idx="3850">
                  <c:v>45083</c:v>
                </c:pt>
                <c:pt idx="3851">
                  <c:v>45083</c:v>
                </c:pt>
                <c:pt idx="3852">
                  <c:v>45083</c:v>
                </c:pt>
                <c:pt idx="3853">
                  <c:v>45083</c:v>
                </c:pt>
                <c:pt idx="3854">
                  <c:v>45083</c:v>
                </c:pt>
                <c:pt idx="3855">
                  <c:v>45083</c:v>
                </c:pt>
                <c:pt idx="3856">
                  <c:v>45083</c:v>
                </c:pt>
                <c:pt idx="3857">
                  <c:v>45083</c:v>
                </c:pt>
                <c:pt idx="3858">
                  <c:v>45083</c:v>
                </c:pt>
                <c:pt idx="3859">
                  <c:v>45083</c:v>
                </c:pt>
                <c:pt idx="3860">
                  <c:v>45083</c:v>
                </c:pt>
                <c:pt idx="3861">
                  <c:v>45083</c:v>
                </c:pt>
                <c:pt idx="3862">
                  <c:v>45083</c:v>
                </c:pt>
                <c:pt idx="3863">
                  <c:v>45083</c:v>
                </c:pt>
                <c:pt idx="3864">
                  <c:v>45084</c:v>
                </c:pt>
                <c:pt idx="3865">
                  <c:v>45084</c:v>
                </c:pt>
                <c:pt idx="3866">
                  <c:v>45084</c:v>
                </c:pt>
                <c:pt idx="3867">
                  <c:v>45084</c:v>
                </c:pt>
                <c:pt idx="3868">
                  <c:v>45084</c:v>
                </c:pt>
                <c:pt idx="3869">
                  <c:v>45084</c:v>
                </c:pt>
                <c:pt idx="3870">
                  <c:v>45084</c:v>
                </c:pt>
                <c:pt idx="3871">
                  <c:v>45084</c:v>
                </c:pt>
                <c:pt idx="3872">
                  <c:v>45084</c:v>
                </c:pt>
                <c:pt idx="3873">
                  <c:v>45084</c:v>
                </c:pt>
                <c:pt idx="3874">
                  <c:v>45084</c:v>
                </c:pt>
                <c:pt idx="3875">
                  <c:v>45084</c:v>
                </c:pt>
                <c:pt idx="3876">
                  <c:v>45084</c:v>
                </c:pt>
                <c:pt idx="3877">
                  <c:v>45084</c:v>
                </c:pt>
                <c:pt idx="3878">
                  <c:v>45084</c:v>
                </c:pt>
                <c:pt idx="3879">
                  <c:v>45084</c:v>
                </c:pt>
                <c:pt idx="3880">
                  <c:v>45084</c:v>
                </c:pt>
                <c:pt idx="3881">
                  <c:v>45084</c:v>
                </c:pt>
                <c:pt idx="3882">
                  <c:v>45084</c:v>
                </c:pt>
                <c:pt idx="3883">
                  <c:v>45084</c:v>
                </c:pt>
                <c:pt idx="3884">
                  <c:v>45084</c:v>
                </c:pt>
                <c:pt idx="3885">
                  <c:v>45084</c:v>
                </c:pt>
                <c:pt idx="3886">
                  <c:v>45084</c:v>
                </c:pt>
                <c:pt idx="3887">
                  <c:v>45084</c:v>
                </c:pt>
                <c:pt idx="3888">
                  <c:v>45085</c:v>
                </c:pt>
                <c:pt idx="3889">
                  <c:v>45085</c:v>
                </c:pt>
                <c:pt idx="3890">
                  <c:v>45085</c:v>
                </c:pt>
                <c:pt idx="3891">
                  <c:v>45085</c:v>
                </c:pt>
                <c:pt idx="3892">
                  <c:v>45085</c:v>
                </c:pt>
                <c:pt idx="3893">
                  <c:v>45085</c:v>
                </c:pt>
                <c:pt idx="3894">
                  <c:v>45085</c:v>
                </c:pt>
                <c:pt idx="3895">
                  <c:v>45085</c:v>
                </c:pt>
                <c:pt idx="3896">
                  <c:v>45085</c:v>
                </c:pt>
                <c:pt idx="3897">
                  <c:v>45085</c:v>
                </c:pt>
                <c:pt idx="3898">
                  <c:v>45085</c:v>
                </c:pt>
                <c:pt idx="3899">
                  <c:v>45085</c:v>
                </c:pt>
                <c:pt idx="3900">
                  <c:v>45085</c:v>
                </c:pt>
                <c:pt idx="3901">
                  <c:v>45085</c:v>
                </c:pt>
                <c:pt idx="3902">
                  <c:v>45085</c:v>
                </c:pt>
                <c:pt idx="3903">
                  <c:v>45085</c:v>
                </c:pt>
                <c:pt idx="3904">
                  <c:v>45085</c:v>
                </c:pt>
                <c:pt idx="3905">
                  <c:v>45085</c:v>
                </c:pt>
                <c:pt idx="3906">
                  <c:v>45085</c:v>
                </c:pt>
                <c:pt idx="3907">
                  <c:v>45085</c:v>
                </c:pt>
                <c:pt idx="3908">
                  <c:v>45085</c:v>
                </c:pt>
                <c:pt idx="3909">
                  <c:v>45085</c:v>
                </c:pt>
                <c:pt idx="3910">
                  <c:v>45085</c:v>
                </c:pt>
                <c:pt idx="3911">
                  <c:v>45085</c:v>
                </c:pt>
                <c:pt idx="3912">
                  <c:v>45086</c:v>
                </c:pt>
                <c:pt idx="3913">
                  <c:v>45086</c:v>
                </c:pt>
                <c:pt idx="3914">
                  <c:v>45086</c:v>
                </c:pt>
                <c:pt idx="3915">
                  <c:v>45086</c:v>
                </c:pt>
                <c:pt idx="3916">
                  <c:v>45086</c:v>
                </c:pt>
                <c:pt idx="3917">
                  <c:v>45086</c:v>
                </c:pt>
                <c:pt idx="3918">
                  <c:v>45086</c:v>
                </c:pt>
                <c:pt idx="3919">
                  <c:v>45086</c:v>
                </c:pt>
                <c:pt idx="3920">
                  <c:v>45086</c:v>
                </c:pt>
                <c:pt idx="3921">
                  <c:v>45086</c:v>
                </c:pt>
                <c:pt idx="3922">
                  <c:v>45086</c:v>
                </c:pt>
                <c:pt idx="3923">
                  <c:v>45086</c:v>
                </c:pt>
                <c:pt idx="3924">
                  <c:v>45086</c:v>
                </c:pt>
                <c:pt idx="3925">
                  <c:v>45086</c:v>
                </c:pt>
                <c:pt idx="3926">
                  <c:v>45086</c:v>
                </c:pt>
                <c:pt idx="3927">
                  <c:v>45086</c:v>
                </c:pt>
                <c:pt idx="3928">
                  <c:v>45086</c:v>
                </c:pt>
                <c:pt idx="3929">
                  <c:v>45086</c:v>
                </c:pt>
                <c:pt idx="3930">
                  <c:v>45086</c:v>
                </c:pt>
                <c:pt idx="3931">
                  <c:v>45086</c:v>
                </c:pt>
                <c:pt idx="3932">
                  <c:v>45086</c:v>
                </c:pt>
                <c:pt idx="3933">
                  <c:v>45086</c:v>
                </c:pt>
                <c:pt idx="3934">
                  <c:v>45086</c:v>
                </c:pt>
                <c:pt idx="3935">
                  <c:v>45086</c:v>
                </c:pt>
                <c:pt idx="3936">
                  <c:v>45087</c:v>
                </c:pt>
                <c:pt idx="3937">
                  <c:v>45087</c:v>
                </c:pt>
                <c:pt idx="3938">
                  <c:v>45087</c:v>
                </c:pt>
                <c:pt idx="3939">
                  <c:v>45087</c:v>
                </c:pt>
                <c:pt idx="3940">
                  <c:v>45087</c:v>
                </c:pt>
                <c:pt idx="3941">
                  <c:v>45087</c:v>
                </c:pt>
                <c:pt idx="3942">
                  <c:v>45087</c:v>
                </c:pt>
                <c:pt idx="3943">
                  <c:v>45087</c:v>
                </c:pt>
                <c:pt idx="3944">
                  <c:v>45087</c:v>
                </c:pt>
                <c:pt idx="3945">
                  <c:v>45087</c:v>
                </c:pt>
                <c:pt idx="3946">
                  <c:v>45087</c:v>
                </c:pt>
                <c:pt idx="3947">
                  <c:v>45087</c:v>
                </c:pt>
                <c:pt idx="3948">
                  <c:v>45087</c:v>
                </c:pt>
                <c:pt idx="3949">
                  <c:v>45087</c:v>
                </c:pt>
                <c:pt idx="3950">
                  <c:v>45087</c:v>
                </c:pt>
                <c:pt idx="3951">
                  <c:v>45087</c:v>
                </c:pt>
                <c:pt idx="3952">
                  <c:v>45087</c:v>
                </c:pt>
                <c:pt idx="3953">
                  <c:v>45087</c:v>
                </c:pt>
                <c:pt idx="3954">
                  <c:v>45087</c:v>
                </c:pt>
                <c:pt idx="3955">
                  <c:v>45087</c:v>
                </c:pt>
                <c:pt idx="3956">
                  <c:v>45087</c:v>
                </c:pt>
                <c:pt idx="3957">
                  <c:v>45087</c:v>
                </c:pt>
                <c:pt idx="3958">
                  <c:v>45087</c:v>
                </c:pt>
                <c:pt idx="3959">
                  <c:v>45087</c:v>
                </c:pt>
                <c:pt idx="3960">
                  <c:v>45088</c:v>
                </c:pt>
                <c:pt idx="3961">
                  <c:v>45088</c:v>
                </c:pt>
                <c:pt idx="3962">
                  <c:v>45088</c:v>
                </c:pt>
                <c:pt idx="3963">
                  <c:v>45088</c:v>
                </c:pt>
                <c:pt idx="3964">
                  <c:v>45088</c:v>
                </c:pt>
                <c:pt idx="3965">
                  <c:v>45088</c:v>
                </c:pt>
                <c:pt idx="3966">
                  <c:v>45088</c:v>
                </c:pt>
                <c:pt idx="3967">
                  <c:v>45088</c:v>
                </c:pt>
                <c:pt idx="3968">
                  <c:v>45088</c:v>
                </c:pt>
                <c:pt idx="3969">
                  <c:v>45088</c:v>
                </c:pt>
                <c:pt idx="3970">
                  <c:v>45088</c:v>
                </c:pt>
                <c:pt idx="3971">
                  <c:v>45088</c:v>
                </c:pt>
                <c:pt idx="3972">
                  <c:v>45088</c:v>
                </c:pt>
                <c:pt idx="3973">
                  <c:v>45088</c:v>
                </c:pt>
                <c:pt idx="3974">
                  <c:v>45088</c:v>
                </c:pt>
                <c:pt idx="3975">
                  <c:v>45088</c:v>
                </c:pt>
                <c:pt idx="3976">
                  <c:v>45088</c:v>
                </c:pt>
                <c:pt idx="3977">
                  <c:v>45088</c:v>
                </c:pt>
                <c:pt idx="3978">
                  <c:v>45088</c:v>
                </c:pt>
                <c:pt idx="3979">
                  <c:v>45088</c:v>
                </c:pt>
                <c:pt idx="3980">
                  <c:v>45088</c:v>
                </c:pt>
                <c:pt idx="3981">
                  <c:v>45088</c:v>
                </c:pt>
                <c:pt idx="3982">
                  <c:v>45088</c:v>
                </c:pt>
                <c:pt idx="3983">
                  <c:v>45088</c:v>
                </c:pt>
                <c:pt idx="3984">
                  <c:v>45089</c:v>
                </c:pt>
                <c:pt idx="3985">
                  <c:v>45089</c:v>
                </c:pt>
                <c:pt idx="3986">
                  <c:v>45089</c:v>
                </c:pt>
                <c:pt idx="3987">
                  <c:v>45089</c:v>
                </c:pt>
                <c:pt idx="3988">
                  <c:v>45089</c:v>
                </c:pt>
                <c:pt idx="3989">
                  <c:v>45089</c:v>
                </c:pt>
                <c:pt idx="3990">
                  <c:v>45089</c:v>
                </c:pt>
                <c:pt idx="3991">
                  <c:v>45089</c:v>
                </c:pt>
                <c:pt idx="3992">
                  <c:v>45089</c:v>
                </c:pt>
                <c:pt idx="3993">
                  <c:v>45089</c:v>
                </c:pt>
                <c:pt idx="3994">
                  <c:v>45089</c:v>
                </c:pt>
                <c:pt idx="3995">
                  <c:v>45089</c:v>
                </c:pt>
                <c:pt idx="3996">
                  <c:v>45089</c:v>
                </c:pt>
                <c:pt idx="3997">
                  <c:v>45089</c:v>
                </c:pt>
                <c:pt idx="3998">
                  <c:v>45089</c:v>
                </c:pt>
                <c:pt idx="3999">
                  <c:v>45089</c:v>
                </c:pt>
                <c:pt idx="4000">
                  <c:v>45089</c:v>
                </c:pt>
                <c:pt idx="4001">
                  <c:v>45089</c:v>
                </c:pt>
                <c:pt idx="4002">
                  <c:v>45089</c:v>
                </c:pt>
                <c:pt idx="4003">
                  <c:v>45089</c:v>
                </c:pt>
                <c:pt idx="4004">
                  <c:v>45089</c:v>
                </c:pt>
                <c:pt idx="4005">
                  <c:v>45089</c:v>
                </c:pt>
                <c:pt idx="4006">
                  <c:v>45089</c:v>
                </c:pt>
                <c:pt idx="4007">
                  <c:v>45089</c:v>
                </c:pt>
                <c:pt idx="4008">
                  <c:v>45090</c:v>
                </c:pt>
                <c:pt idx="4009">
                  <c:v>45090</c:v>
                </c:pt>
                <c:pt idx="4010">
                  <c:v>45090</c:v>
                </c:pt>
                <c:pt idx="4011">
                  <c:v>45090</c:v>
                </c:pt>
                <c:pt idx="4012">
                  <c:v>45090</c:v>
                </c:pt>
                <c:pt idx="4013">
                  <c:v>45090</c:v>
                </c:pt>
                <c:pt idx="4014">
                  <c:v>45090</c:v>
                </c:pt>
                <c:pt idx="4015">
                  <c:v>45090</c:v>
                </c:pt>
                <c:pt idx="4016">
                  <c:v>45090</c:v>
                </c:pt>
                <c:pt idx="4017">
                  <c:v>45090</c:v>
                </c:pt>
                <c:pt idx="4018">
                  <c:v>45090</c:v>
                </c:pt>
                <c:pt idx="4019">
                  <c:v>45090</c:v>
                </c:pt>
                <c:pt idx="4020">
                  <c:v>45090</c:v>
                </c:pt>
                <c:pt idx="4021">
                  <c:v>45090</c:v>
                </c:pt>
                <c:pt idx="4022">
                  <c:v>45090</c:v>
                </c:pt>
                <c:pt idx="4023">
                  <c:v>45090</c:v>
                </c:pt>
                <c:pt idx="4024">
                  <c:v>45090</c:v>
                </c:pt>
                <c:pt idx="4025">
                  <c:v>45090</c:v>
                </c:pt>
                <c:pt idx="4026">
                  <c:v>45090</c:v>
                </c:pt>
                <c:pt idx="4027">
                  <c:v>45090</c:v>
                </c:pt>
                <c:pt idx="4028">
                  <c:v>45090</c:v>
                </c:pt>
                <c:pt idx="4029">
                  <c:v>45090</c:v>
                </c:pt>
                <c:pt idx="4030">
                  <c:v>45090</c:v>
                </c:pt>
                <c:pt idx="4031">
                  <c:v>45090</c:v>
                </c:pt>
                <c:pt idx="4032">
                  <c:v>45091</c:v>
                </c:pt>
                <c:pt idx="4033">
                  <c:v>45091</c:v>
                </c:pt>
                <c:pt idx="4034">
                  <c:v>45091</c:v>
                </c:pt>
                <c:pt idx="4035">
                  <c:v>45091</c:v>
                </c:pt>
                <c:pt idx="4036">
                  <c:v>45091</c:v>
                </c:pt>
                <c:pt idx="4037">
                  <c:v>45091</c:v>
                </c:pt>
                <c:pt idx="4038">
                  <c:v>45091</c:v>
                </c:pt>
                <c:pt idx="4039">
                  <c:v>45091</c:v>
                </c:pt>
                <c:pt idx="4040">
                  <c:v>45091</c:v>
                </c:pt>
                <c:pt idx="4041">
                  <c:v>45091</c:v>
                </c:pt>
                <c:pt idx="4042">
                  <c:v>45091</c:v>
                </c:pt>
                <c:pt idx="4043">
                  <c:v>45091</c:v>
                </c:pt>
                <c:pt idx="4044">
                  <c:v>45091</c:v>
                </c:pt>
                <c:pt idx="4045">
                  <c:v>45091</c:v>
                </c:pt>
                <c:pt idx="4046">
                  <c:v>45091</c:v>
                </c:pt>
                <c:pt idx="4047">
                  <c:v>45091</c:v>
                </c:pt>
                <c:pt idx="4048">
                  <c:v>45091</c:v>
                </c:pt>
                <c:pt idx="4049">
                  <c:v>45091</c:v>
                </c:pt>
                <c:pt idx="4050">
                  <c:v>45091</c:v>
                </c:pt>
                <c:pt idx="4051">
                  <c:v>45091</c:v>
                </c:pt>
                <c:pt idx="4052">
                  <c:v>45091</c:v>
                </c:pt>
                <c:pt idx="4053">
                  <c:v>45091</c:v>
                </c:pt>
                <c:pt idx="4054">
                  <c:v>45091</c:v>
                </c:pt>
                <c:pt idx="4055">
                  <c:v>45091</c:v>
                </c:pt>
                <c:pt idx="4056">
                  <c:v>45092</c:v>
                </c:pt>
                <c:pt idx="4057">
                  <c:v>45092</c:v>
                </c:pt>
                <c:pt idx="4058">
                  <c:v>45092</c:v>
                </c:pt>
                <c:pt idx="4059">
                  <c:v>45092</c:v>
                </c:pt>
                <c:pt idx="4060">
                  <c:v>45092</c:v>
                </c:pt>
                <c:pt idx="4061">
                  <c:v>45092</c:v>
                </c:pt>
                <c:pt idx="4062">
                  <c:v>45092</c:v>
                </c:pt>
                <c:pt idx="4063">
                  <c:v>45092</c:v>
                </c:pt>
                <c:pt idx="4064">
                  <c:v>45092</c:v>
                </c:pt>
                <c:pt idx="4065">
                  <c:v>45092</c:v>
                </c:pt>
                <c:pt idx="4066">
                  <c:v>45092</c:v>
                </c:pt>
                <c:pt idx="4067">
                  <c:v>45092</c:v>
                </c:pt>
                <c:pt idx="4068">
                  <c:v>45092</c:v>
                </c:pt>
                <c:pt idx="4069">
                  <c:v>45092</c:v>
                </c:pt>
                <c:pt idx="4070">
                  <c:v>45092</c:v>
                </c:pt>
                <c:pt idx="4071">
                  <c:v>45092</c:v>
                </c:pt>
                <c:pt idx="4072">
                  <c:v>45092</c:v>
                </c:pt>
                <c:pt idx="4073">
                  <c:v>45092</c:v>
                </c:pt>
                <c:pt idx="4074">
                  <c:v>45092</c:v>
                </c:pt>
                <c:pt idx="4075">
                  <c:v>45092</c:v>
                </c:pt>
                <c:pt idx="4076">
                  <c:v>45092</c:v>
                </c:pt>
                <c:pt idx="4077">
                  <c:v>45092</c:v>
                </c:pt>
                <c:pt idx="4078">
                  <c:v>45092</c:v>
                </c:pt>
                <c:pt idx="4079">
                  <c:v>45092</c:v>
                </c:pt>
                <c:pt idx="4080">
                  <c:v>45093</c:v>
                </c:pt>
                <c:pt idx="4081">
                  <c:v>45093</c:v>
                </c:pt>
                <c:pt idx="4082">
                  <c:v>45093</c:v>
                </c:pt>
                <c:pt idx="4083">
                  <c:v>45093</c:v>
                </c:pt>
                <c:pt idx="4084">
                  <c:v>45093</c:v>
                </c:pt>
                <c:pt idx="4085">
                  <c:v>45093</c:v>
                </c:pt>
                <c:pt idx="4086">
                  <c:v>45093</c:v>
                </c:pt>
                <c:pt idx="4087">
                  <c:v>45093</c:v>
                </c:pt>
                <c:pt idx="4088">
                  <c:v>45093</c:v>
                </c:pt>
                <c:pt idx="4089">
                  <c:v>45093</c:v>
                </c:pt>
                <c:pt idx="4090">
                  <c:v>45093</c:v>
                </c:pt>
                <c:pt idx="4091">
                  <c:v>45093</c:v>
                </c:pt>
                <c:pt idx="4092">
                  <c:v>45093</c:v>
                </c:pt>
                <c:pt idx="4093">
                  <c:v>45093</c:v>
                </c:pt>
                <c:pt idx="4094">
                  <c:v>45093</c:v>
                </c:pt>
                <c:pt idx="4095">
                  <c:v>45093</c:v>
                </c:pt>
                <c:pt idx="4096">
                  <c:v>45093</c:v>
                </c:pt>
                <c:pt idx="4097">
                  <c:v>45093</c:v>
                </c:pt>
                <c:pt idx="4098">
                  <c:v>45093</c:v>
                </c:pt>
                <c:pt idx="4099">
                  <c:v>45093</c:v>
                </c:pt>
                <c:pt idx="4100">
                  <c:v>45093</c:v>
                </c:pt>
                <c:pt idx="4101">
                  <c:v>45093</c:v>
                </c:pt>
                <c:pt idx="4102">
                  <c:v>45093</c:v>
                </c:pt>
                <c:pt idx="4103">
                  <c:v>45093</c:v>
                </c:pt>
                <c:pt idx="4104">
                  <c:v>45094</c:v>
                </c:pt>
                <c:pt idx="4105">
                  <c:v>45094</c:v>
                </c:pt>
                <c:pt idx="4106">
                  <c:v>45094</c:v>
                </c:pt>
                <c:pt idx="4107">
                  <c:v>45094</c:v>
                </c:pt>
                <c:pt idx="4108">
                  <c:v>45094</c:v>
                </c:pt>
                <c:pt idx="4109">
                  <c:v>45094</c:v>
                </c:pt>
                <c:pt idx="4110">
                  <c:v>45094</c:v>
                </c:pt>
                <c:pt idx="4111">
                  <c:v>45094</c:v>
                </c:pt>
                <c:pt idx="4112">
                  <c:v>45094</c:v>
                </c:pt>
                <c:pt idx="4113">
                  <c:v>45094</c:v>
                </c:pt>
                <c:pt idx="4114">
                  <c:v>45094</c:v>
                </c:pt>
                <c:pt idx="4115">
                  <c:v>45094</c:v>
                </c:pt>
                <c:pt idx="4116">
                  <c:v>45094</c:v>
                </c:pt>
                <c:pt idx="4117">
                  <c:v>45094</c:v>
                </c:pt>
                <c:pt idx="4118">
                  <c:v>45094</c:v>
                </c:pt>
                <c:pt idx="4119">
                  <c:v>45094</c:v>
                </c:pt>
                <c:pt idx="4120">
                  <c:v>45094</c:v>
                </c:pt>
                <c:pt idx="4121">
                  <c:v>45094</c:v>
                </c:pt>
                <c:pt idx="4122">
                  <c:v>45094</c:v>
                </c:pt>
                <c:pt idx="4123">
                  <c:v>45094</c:v>
                </c:pt>
                <c:pt idx="4124">
                  <c:v>45094</c:v>
                </c:pt>
                <c:pt idx="4125">
                  <c:v>45094</c:v>
                </c:pt>
                <c:pt idx="4126">
                  <c:v>45094</c:v>
                </c:pt>
                <c:pt idx="4127">
                  <c:v>45094</c:v>
                </c:pt>
                <c:pt idx="4128">
                  <c:v>45095</c:v>
                </c:pt>
                <c:pt idx="4129">
                  <c:v>45095</c:v>
                </c:pt>
                <c:pt idx="4130">
                  <c:v>45095</c:v>
                </c:pt>
                <c:pt idx="4131">
                  <c:v>45095</c:v>
                </c:pt>
                <c:pt idx="4132">
                  <c:v>45095</c:v>
                </c:pt>
                <c:pt idx="4133">
                  <c:v>45095</c:v>
                </c:pt>
                <c:pt idx="4134">
                  <c:v>45095</c:v>
                </c:pt>
                <c:pt idx="4135">
                  <c:v>45095</c:v>
                </c:pt>
                <c:pt idx="4136">
                  <c:v>45095</c:v>
                </c:pt>
                <c:pt idx="4137">
                  <c:v>45095</c:v>
                </c:pt>
                <c:pt idx="4138">
                  <c:v>45095</c:v>
                </c:pt>
                <c:pt idx="4139">
                  <c:v>45095</c:v>
                </c:pt>
                <c:pt idx="4140">
                  <c:v>45095</c:v>
                </c:pt>
                <c:pt idx="4141">
                  <c:v>45095</c:v>
                </c:pt>
                <c:pt idx="4142">
                  <c:v>45095</c:v>
                </c:pt>
                <c:pt idx="4143">
                  <c:v>45095</c:v>
                </c:pt>
                <c:pt idx="4144">
                  <c:v>45095</c:v>
                </c:pt>
                <c:pt idx="4145">
                  <c:v>45095</c:v>
                </c:pt>
                <c:pt idx="4146">
                  <c:v>45095</c:v>
                </c:pt>
                <c:pt idx="4147">
                  <c:v>45095</c:v>
                </c:pt>
                <c:pt idx="4148">
                  <c:v>45095</c:v>
                </c:pt>
                <c:pt idx="4149">
                  <c:v>45095</c:v>
                </c:pt>
                <c:pt idx="4150">
                  <c:v>45095</c:v>
                </c:pt>
                <c:pt idx="4151">
                  <c:v>45095</c:v>
                </c:pt>
                <c:pt idx="4152">
                  <c:v>45096</c:v>
                </c:pt>
                <c:pt idx="4153">
                  <c:v>45096</c:v>
                </c:pt>
                <c:pt idx="4154">
                  <c:v>45096</c:v>
                </c:pt>
                <c:pt idx="4155">
                  <c:v>45096</c:v>
                </c:pt>
                <c:pt idx="4156">
                  <c:v>45096</c:v>
                </c:pt>
                <c:pt idx="4157">
                  <c:v>45096</c:v>
                </c:pt>
                <c:pt idx="4158">
                  <c:v>45096</c:v>
                </c:pt>
                <c:pt idx="4159">
                  <c:v>45096</c:v>
                </c:pt>
                <c:pt idx="4160">
                  <c:v>45096</c:v>
                </c:pt>
                <c:pt idx="4161">
                  <c:v>45096</c:v>
                </c:pt>
                <c:pt idx="4162">
                  <c:v>45096</c:v>
                </c:pt>
                <c:pt idx="4163">
                  <c:v>45096</c:v>
                </c:pt>
                <c:pt idx="4164">
                  <c:v>45096</c:v>
                </c:pt>
                <c:pt idx="4165">
                  <c:v>45096</c:v>
                </c:pt>
                <c:pt idx="4166">
                  <c:v>45096</c:v>
                </c:pt>
                <c:pt idx="4167">
                  <c:v>45096</c:v>
                </c:pt>
                <c:pt idx="4168">
                  <c:v>45096</c:v>
                </c:pt>
                <c:pt idx="4169">
                  <c:v>45096</c:v>
                </c:pt>
                <c:pt idx="4170">
                  <c:v>45096</c:v>
                </c:pt>
                <c:pt idx="4171">
                  <c:v>45096</c:v>
                </c:pt>
                <c:pt idx="4172">
                  <c:v>45096</c:v>
                </c:pt>
                <c:pt idx="4173">
                  <c:v>45096</c:v>
                </c:pt>
                <c:pt idx="4174">
                  <c:v>45096</c:v>
                </c:pt>
                <c:pt idx="4175">
                  <c:v>45096</c:v>
                </c:pt>
                <c:pt idx="4176">
                  <c:v>45097</c:v>
                </c:pt>
                <c:pt idx="4177">
                  <c:v>45097</c:v>
                </c:pt>
                <c:pt idx="4178">
                  <c:v>45097</c:v>
                </c:pt>
                <c:pt idx="4179">
                  <c:v>45097</c:v>
                </c:pt>
                <c:pt idx="4180">
                  <c:v>45097</c:v>
                </c:pt>
                <c:pt idx="4181">
                  <c:v>45097</c:v>
                </c:pt>
                <c:pt idx="4182">
                  <c:v>45097</c:v>
                </c:pt>
                <c:pt idx="4183">
                  <c:v>45097</c:v>
                </c:pt>
                <c:pt idx="4184">
                  <c:v>45097</c:v>
                </c:pt>
                <c:pt idx="4185">
                  <c:v>45097</c:v>
                </c:pt>
                <c:pt idx="4186">
                  <c:v>45097</c:v>
                </c:pt>
                <c:pt idx="4187">
                  <c:v>45097</c:v>
                </c:pt>
                <c:pt idx="4188">
                  <c:v>45097</c:v>
                </c:pt>
                <c:pt idx="4189">
                  <c:v>45097</c:v>
                </c:pt>
                <c:pt idx="4190">
                  <c:v>45097</c:v>
                </c:pt>
                <c:pt idx="4191">
                  <c:v>45097</c:v>
                </c:pt>
                <c:pt idx="4192">
                  <c:v>45097</c:v>
                </c:pt>
                <c:pt idx="4193">
                  <c:v>45097</c:v>
                </c:pt>
                <c:pt idx="4194">
                  <c:v>45097</c:v>
                </c:pt>
                <c:pt idx="4195">
                  <c:v>45097</c:v>
                </c:pt>
                <c:pt idx="4196">
                  <c:v>45097</c:v>
                </c:pt>
                <c:pt idx="4197">
                  <c:v>45097</c:v>
                </c:pt>
                <c:pt idx="4198">
                  <c:v>45097</c:v>
                </c:pt>
                <c:pt idx="4199">
                  <c:v>45097</c:v>
                </c:pt>
                <c:pt idx="4200">
                  <c:v>45098</c:v>
                </c:pt>
                <c:pt idx="4201">
                  <c:v>45098</c:v>
                </c:pt>
                <c:pt idx="4202">
                  <c:v>45098</c:v>
                </c:pt>
                <c:pt idx="4203">
                  <c:v>45098</c:v>
                </c:pt>
                <c:pt idx="4204">
                  <c:v>45098</c:v>
                </c:pt>
                <c:pt idx="4205">
                  <c:v>45098</c:v>
                </c:pt>
                <c:pt idx="4206">
                  <c:v>45098</c:v>
                </c:pt>
                <c:pt idx="4207">
                  <c:v>45098</c:v>
                </c:pt>
                <c:pt idx="4208">
                  <c:v>45098</c:v>
                </c:pt>
                <c:pt idx="4209">
                  <c:v>45098</c:v>
                </c:pt>
                <c:pt idx="4210">
                  <c:v>45098</c:v>
                </c:pt>
                <c:pt idx="4211">
                  <c:v>45098</c:v>
                </c:pt>
                <c:pt idx="4212">
                  <c:v>45098</c:v>
                </c:pt>
                <c:pt idx="4213">
                  <c:v>45098</c:v>
                </c:pt>
                <c:pt idx="4214">
                  <c:v>45098</c:v>
                </c:pt>
                <c:pt idx="4215">
                  <c:v>45098</c:v>
                </c:pt>
                <c:pt idx="4216">
                  <c:v>45098</c:v>
                </c:pt>
                <c:pt idx="4217">
                  <c:v>45098</c:v>
                </c:pt>
                <c:pt idx="4218">
                  <c:v>45098</c:v>
                </c:pt>
                <c:pt idx="4219">
                  <c:v>45098</c:v>
                </c:pt>
                <c:pt idx="4220">
                  <c:v>45098</c:v>
                </c:pt>
                <c:pt idx="4221">
                  <c:v>45098</c:v>
                </c:pt>
                <c:pt idx="4222">
                  <c:v>45098</c:v>
                </c:pt>
                <c:pt idx="4223">
                  <c:v>45098</c:v>
                </c:pt>
                <c:pt idx="4224">
                  <c:v>45099</c:v>
                </c:pt>
                <c:pt idx="4225">
                  <c:v>45099</c:v>
                </c:pt>
                <c:pt idx="4226">
                  <c:v>45099</c:v>
                </c:pt>
                <c:pt idx="4227">
                  <c:v>45099</c:v>
                </c:pt>
                <c:pt idx="4228">
                  <c:v>45099</c:v>
                </c:pt>
                <c:pt idx="4229">
                  <c:v>45099</c:v>
                </c:pt>
                <c:pt idx="4230">
                  <c:v>45099</c:v>
                </c:pt>
                <c:pt idx="4231">
                  <c:v>45099</c:v>
                </c:pt>
                <c:pt idx="4232">
                  <c:v>45099</c:v>
                </c:pt>
                <c:pt idx="4233">
                  <c:v>45099</c:v>
                </c:pt>
                <c:pt idx="4234">
                  <c:v>45099</c:v>
                </c:pt>
                <c:pt idx="4235">
                  <c:v>45099</c:v>
                </c:pt>
                <c:pt idx="4236">
                  <c:v>45099</c:v>
                </c:pt>
                <c:pt idx="4237">
                  <c:v>45099</c:v>
                </c:pt>
                <c:pt idx="4238">
                  <c:v>45099</c:v>
                </c:pt>
                <c:pt idx="4239">
                  <c:v>45099</c:v>
                </c:pt>
                <c:pt idx="4240">
                  <c:v>45099</c:v>
                </c:pt>
                <c:pt idx="4241">
                  <c:v>45099</c:v>
                </c:pt>
                <c:pt idx="4242">
                  <c:v>45099</c:v>
                </c:pt>
                <c:pt idx="4243">
                  <c:v>45099</c:v>
                </c:pt>
                <c:pt idx="4244">
                  <c:v>45099</c:v>
                </c:pt>
                <c:pt idx="4245">
                  <c:v>45099</c:v>
                </c:pt>
                <c:pt idx="4246">
                  <c:v>45099</c:v>
                </c:pt>
                <c:pt idx="4247">
                  <c:v>45099</c:v>
                </c:pt>
                <c:pt idx="4248">
                  <c:v>45100</c:v>
                </c:pt>
                <c:pt idx="4249">
                  <c:v>45100</c:v>
                </c:pt>
                <c:pt idx="4250">
                  <c:v>45100</c:v>
                </c:pt>
                <c:pt idx="4251">
                  <c:v>45100</c:v>
                </c:pt>
                <c:pt idx="4252">
                  <c:v>45100</c:v>
                </c:pt>
                <c:pt idx="4253">
                  <c:v>45100</c:v>
                </c:pt>
                <c:pt idx="4254">
                  <c:v>45100</c:v>
                </c:pt>
                <c:pt idx="4255">
                  <c:v>45100</c:v>
                </c:pt>
                <c:pt idx="4256">
                  <c:v>45100</c:v>
                </c:pt>
                <c:pt idx="4257">
                  <c:v>45100</c:v>
                </c:pt>
                <c:pt idx="4258">
                  <c:v>45100</c:v>
                </c:pt>
                <c:pt idx="4259">
                  <c:v>45100</c:v>
                </c:pt>
                <c:pt idx="4260">
                  <c:v>45100</c:v>
                </c:pt>
                <c:pt idx="4261">
                  <c:v>45100</c:v>
                </c:pt>
                <c:pt idx="4262">
                  <c:v>45100</c:v>
                </c:pt>
                <c:pt idx="4263">
                  <c:v>45100</c:v>
                </c:pt>
                <c:pt idx="4264">
                  <c:v>45100</c:v>
                </c:pt>
                <c:pt idx="4265">
                  <c:v>45100</c:v>
                </c:pt>
                <c:pt idx="4266">
                  <c:v>45100</c:v>
                </c:pt>
                <c:pt idx="4267">
                  <c:v>45100</c:v>
                </c:pt>
                <c:pt idx="4268">
                  <c:v>45100</c:v>
                </c:pt>
                <c:pt idx="4269">
                  <c:v>45100</c:v>
                </c:pt>
                <c:pt idx="4270">
                  <c:v>45100</c:v>
                </c:pt>
                <c:pt idx="4271">
                  <c:v>45100</c:v>
                </c:pt>
                <c:pt idx="4272">
                  <c:v>45101</c:v>
                </c:pt>
                <c:pt idx="4273">
                  <c:v>45101</c:v>
                </c:pt>
                <c:pt idx="4274">
                  <c:v>45101</c:v>
                </c:pt>
                <c:pt idx="4275">
                  <c:v>45101</c:v>
                </c:pt>
                <c:pt idx="4276">
                  <c:v>45101</c:v>
                </c:pt>
                <c:pt idx="4277">
                  <c:v>45101</c:v>
                </c:pt>
                <c:pt idx="4278">
                  <c:v>45101</c:v>
                </c:pt>
                <c:pt idx="4279">
                  <c:v>45101</c:v>
                </c:pt>
                <c:pt idx="4280">
                  <c:v>45101</c:v>
                </c:pt>
                <c:pt idx="4281">
                  <c:v>45101</c:v>
                </c:pt>
                <c:pt idx="4282">
                  <c:v>45101</c:v>
                </c:pt>
                <c:pt idx="4283">
                  <c:v>45101</c:v>
                </c:pt>
                <c:pt idx="4284">
                  <c:v>45101</c:v>
                </c:pt>
                <c:pt idx="4285">
                  <c:v>45101</c:v>
                </c:pt>
                <c:pt idx="4286">
                  <c:v>45101</c:v>
                </c:pt>
                <c:pt idx="4287">
                  <c:v>45101</c:v>
                </c:pt>
                <c:pt idx="4288">
                  <c:v>45101</c:v>
                </c:pt>
                <c:pt idx="4289">
                  <c:v>45101</c:v>
                </c:pt>
                <c:pt idx="4290">
                  <c:v>45101</c:v>
                </c:pt>
                <c:pt idx="4291">
                  <c:v>45101</c:v>
                </c:pt>
                <c:pt idx="4292">
                  <c:v>45101</c:v>
                </c:pt>
                <c:pt idx="4293">
                  <c:v>45101</c:v>
                </c:pt>
                <c:pt idx="4294">
                  <c:v>45101</c:v>
                </c:pt>
                <c:pt idx="4295">
                  <c:v>45101</c:v>
                </c:pt>
                <c:pt idx="4296">
                  <c:v>45102</c:v>
                </c:pt>
                <c:pt idx="4297">
                  <c:v>45102</c:v>
                </c:pt>
                <c:pt idx="4298">
                  <c:v>45102</c:v>
                </c:pt>
                <c:pt idx="4299">
                  <c:v>45102</c:v>
                </c:pt>
                <c:pt idx="4300">
                  <c:v>45102</c:v>
                </c:pt>
                <c:pt idx="4301">
                  <c:v>45102</c:v>
                </c:pt>
                <c:pt idx="4302">
                  <c:v>45102</c:v>
                </c:pt>
                <c:pt idx="4303">
                  <c:v>45102</c:v>
                </c:pt>
                <c:pt idx="4304">
                  <c:v>45102</c:v>
                </c:pt>
                <c:pt idx="4305">
                  <c:v>45102</c:v>
                </c:pt>
                <c:pt idx="4306">
                  <c:v>45102</c:v>
                </c:pt>
                <c:pt idx="4307">
                  <c:v>45102</c:v>
                </c:pt>
                <c:pt idx="4308">
                  <c:v>45102</c:v>
                </c:pt>
                <c:pt idx="4309">
                  <c:v>45102</c:v>
                </c:pt>
                <c:pt idx="4310">
                  <c:v>45102</c:v>
                </c:pt>
                <c:pt idx="4311">
                  <c:v>45102</c:v>
                </c:pt>
                <c:pt idx="4312">
                  <c:v>45102</c:v>
                </c:pt>
                <c:pt idx="4313">
                  <c:v>45102</c:v>
                </c:pt>
                <c:pt idx="4314">
                  <c:v>45102</c:v>
                </c:pt>
                <c:pt idx="4315">
                  <c:v>45102</c:v>
                </c:pt>
                <c:pt idx="4316">
                  <c:v>45102</c:v>
                </c:pt>
                <c:pt idx="4317">
                  <c:v>45102</c:v>
                </c:pt>
                <c:pt idx="4318">
                  <c:v>45102</c:v>
                </c:pt>
                <c:pt idx="4319">
                  <c:v>45102</c:v>
                </c:pt>
                <c:pt idx="4320">
                  <c:v>45103</c:v>
                </c:pt>
                <c:pt idx="4321">
                  <c:v>45103</c:v>
                </c:pt>
                <c:pt idx="4322">
                  <c:v>45103</c:v>
                </c:pt>
                <c:pt idx="4323">
                  <c:v>45103</c:v>
                </c:pt>
                <c:pt idx="4324">
                  <c:v>45103</c:v>
                </c:pt>
                <c:pt idx="4325">
                  <c:v>45103</c:v>
                </c:pt>
                <c:pt idx="4326">
                  <c:v>45103</c:v>
                </c:pt>
                <c:pt idx="4327">
                  <c:v>45103</c:v>
                </c:pt>
                <c:pt idx="4328">
                  <c:v>45103</c:v>
                </c:pt>
                <c:pt idx="4329">
                  <c:v>45103</c:v>
                </c:pt>
                <c:pt idx="4330">
                  <c:v>45103</c:v>
                </c:pt>
                <c:pt idx="4331">
                  <c:v>45103</c:v>
                </c:pt>
                <c:pt idx="4332">
                  <c:v>45103</c:v>
                </c:pt>
                <c:pt idx="4333">
                  <c:v>45103</c:v>
                </c:pt>
                <c:pt idx="4334">
                  <c:v>45103</c:v>
                </c:pt>
                <c:pt idx="4335">
                  <c:v>45103</c:v>
                </c:pt>
                <c:pt idx="4336">
                  <c:v>45103</c:v>
                </c:pt>
                <c:pt idx="4337">
                  <c:v>45103</c:v>
                </c:pt>
                <c:pt idx="4338">
                  <c:v>45103</c:v>
                </c:pt>
                <c:pt idx="4339">
                  <c:v>45103</c:v>
                </c:pt>
                <c:pt idx="4340">
                  <c:v>45103</c:v>
                </c:pt>
                <c:pt idx="4341">
                  <c:v>45103</c:v>
                </c:pt>
                <c:pt idx="4342">
                  <c:v>45103</c:v>
                </c:pt>
                <c:pt idx="4343">
                  <c:v>45103</c:v>
                </c:pt>
                <c:pt idx="4344">
                  <c:v>45104</c:v>
                </c:pt>
                <c:pt idx="4345">
                  <c:v>45104</c:v>
                </c:pt>
                <c:pt idx="4346">
                  <c:v>45104</c:v>
                </c:pt>
                <c:pt idx="4347">
                  <c:v>45104</c:v>
                </c:pt>
                <c:pt idx="4348">
                  <c:v>45104</c:v>
                </c:pt>
                <c:pt idx="4349">
                  <c:v>45104</c:v>
                </c:pt>
                <c:pt idx="4350">
                  <c:v>45104</c:v>
                </c:pt>
                <c:pt idx="4351">
                  <c:v>45104</c:v>
                </c:pt>
                <c:pt idx="4352">
                  <c:v>45104</c:v>
                </c:pt>
                <c:pt idx="4353">
                  <c:v>45104</c:v>
                </c:pt>
                <c:pt idx="4354">
                  <c:v>45104</c:v>
                </c:pt>
                <c:pt idx="4355">
                  <c:v>45104</c:v>
                </c:pt>
                <c:pt idx="4356">
                  <c:v>45104</c:v>
                </c:pt>
                <c:pt idx="4357">
                  <c:v>45104</c:v>
                </c:pt>
                <c:pt idx="4358">
                  <c:v>45104</c:v>
                </c:pt>
                <c:pt idx="4359">
                  <c:v>45104</c:v>
                </c:pt>
                <c:pt idx="4360">
                  <c:v>45104</c:v>
                </c:pt>
                <c:pt idx="4361">
                  <c:v>45104</c:v>
                </c:pt>
                <c:pt idx="4362">
                  <c:v>45104</c:v>
                </c:pt>
                <c:pt idx="4363">
                  <c:v>45104</c:v>
                </c:pt>
                <c:pt idx="4364">
                  <c:v>45104</c:v>
                </c:pt>
                <c:pt idx="4365">
                  <c:v>45104</c:v>
                </c:pt>
                <c:pt idx="4366">
                  <c:v>45104</c:v>
                </c:pt>
                <c:pt idx="4367">
                  <c:v>45104</c:v>
                </c:pt>
                <c:pt idx="4368">
                  <c:v>45105</c:v>
                </c:pt>
                <c:pt idx="4369">
                  <c:v>45105</c:v>
                </c:pt>
                <c:pt idx="4370">
                  <c:v>45105</c:v>
                </c:pt>
                <c:pt idx="4371">
                  <c:v>45105</c:v>
                </c:pt>
                <c:pt idx="4372">
                  <c:v>45105</c:v>
                </c:pt>
                <c:pt idx="4373">
                  <c:v>45105</c:v>
                </c:pt>
                <c:pt idx="4374">
                  <c:v>45105</c:v>
                </c:pt>
                <c:pt idx="4375">
                  <c:v>45105</c:v>
                </c:pt>
                <c:pt idx="4376">
                  <c:v>45105</c:v>
                </c:pt>
                <c:pt idx="4377">
                  <c:v>45105</c:v>
                </c:pt>
                <c:pt idx="4378">
                  <c:v>45105</c:v>
                </c:pt>
                <c:pt idx="4379">
                  <c:v>45105</c:v>
                </c:pt>
                <c:pt idx="4380">
                  <c:v>45105</c:v>
                </c:pt>
                <c:pt idx="4381">
                  <c:v>45105</c:v>
                </c:pt>
                <c:pt idx="4382">
                  <c:v>45105</c:v>
                </c:pt>
                <c:pt idx="4383">
                  <c:v>45105</c:v>
                </c:pt>
                <c:pt idx="4384">
                  <c:v>45105</c:v>
                </c:pt>
                <c:pt idx="4385">
                  <c:v>45105</c:v>
                </c:pt>
                <c:pt idx="4386">
                  <c:v>45105</c:v>
                </c:pt>
                <c:pt idx="4387">
                  <c:v>45105</c:v>
                </c:pt>
                <c:pt idx="4388">
                  <c:v>45105</c:v>
                </c:pt>
                <c:pt idx="4389">
                  <c:v>45105</c:v>
                </c:pt>
                <c:pt idx="4390">
                  <c:v>45105</c:v>
                </c:pt>
                <c:pt idx="4391">
                  <c:v>45105</c:v>
                </c:pt>
                <c:pt idx="4392">
                  <c:v>45106</c:v>
                </c:pt>
                <c:pt idx="4393">
                  <c:v>45106</c:v>
                </c:pt>
                <c:pt idx="4394">
                  <c:v>45106</c:v>
                </c:pt>
                <c:pt idx="4395">
                  <c:v>45106</c:v>
                </c:pt>
                <c:pt idx="4396">
                  <c:v>45106</c:v>
                </c:pt>
                <c:pt idx="4397">
                  <c:v>45106</c:v>
                </c:pt>
                <c:pt idx="4398">
                  <c:v>45106</c:v>
                </c:pt>
                <c:pt idx="4399">
                  <c:v>45106</c:v>
                </c:pt>
                <c:pt idx="4400">
                  <c:v>45106</c:v>
                </c:pt>
                <c:pt idx="4401">
                  <c:v>45106</c:v>
                </c:pt>
                <c:pt idx="4402">
                  <c:v>45106</c:v>
                </c:pt>
                <c:pt idx="4403">
                  <c:v>45106</c:v>
                </c:pt>
                <c:pt idx="4404">
                  <c:v>45106</c:v>
                </c:pt>
                <c:pt idx="4405">
                  <c:v>45106</c:v>
                </c:pt>
                <c:pt idx="4406">
                  <c:v>45106</c:v>
                </c:pt>
                <c:pt idx="4407">
                  <c:v>45106</c:v>
                </c:pt>
                <c:pt idx="4408">
                  <c:v>45106</c:v>
                </c:pt>
                <c:pt idx="4409">
                  <c:v>45106</c:v>
                </c:pt>
                <c:pt idx="4410">
                  <c:v>45106</c:v>
                </c:pt>
                <c:pt idx="4411">
                  <c:v>45106</c:v>
                </c:pt>
                <c:pt idx="4412">
                  <c:v>45106</c:v>
                </c:pt>
                <c:pt idx="4413">
                  <c:v>45106</c:v>
                </c:pt>
                <c:pt idx="4414">
                  <c:v>45106</c:v>
                </c:pt>
                <c:pt idx="4415">
                  <c:v>45106</c:v>
                </c:pt>
                <c:pt idx="4416">
                  <c:v>45107</c:v>
                </c:pt>
                <c:pt idx="4417">
                  <c:v>45107</c:v>
                </c:pt>
                <c:pt idx="4418">
                  <c:v>45107</c:v>
                </c:pt>
                <c:pt idx="4419">
                  <c:v>45107</c:v>
                </c:pt>
                <c:pt idx="4420">
                  <c:v>45107</c:v>
                </c:pt>
                <c:pt idx="4421">
                  <c:v>45107</c:v>
                </c:pt>
                <c:pt idx="4422">
                  <c:v>45107</c:v>
                </c:pt>
                <c:pt idx="4423">
                  <c:v>45107</c:v>
                </c:pt>
                <c:pt idx="4424">
                  <c:v>45107</c:v>
                </c:pt>
                <c:pt idx="4425">
                  <c:v>45107</c:v>
                </c:pt>
                <c:pt idx="4426">
                  <c:v>45107</c:v>
                </c:pt>
                <c:pt idx="4427">
                  <c:v>45107</c:v>
                </c:pt>
                <c:pt idx="4428">
                  <c:v>45107</c:v>
                </c:pt>
                <c:pt idx="4429">
                  <c:v>45107</c:v>
                </c:pt>
                <c:pt idx="4430">
                  <c:v>45107</c:v>
                </c:pt>
                <c:pt idx="4431">
                  <c:v>45107</c:v>
                </c:pt>
                <c:pt idx="4432">
                  <c:v>45107</c:v>
                </c:pt>
                <c:pt idx="4433">
                  <c:v>45107</c:v>
                </c:pt>
                <c:pt idx="4434">
                  <c:v>45107</c:v>
                </c:pt>
                <c:pt idx="4435">
                  <c:v>45107</c:v>
                </c:pt>
                <c:pt idx="4436">
                  <c:v>45107</c:v>
                </c:pt>
                <c:pt idx="4437">
                  <c:v>45107</c:v>
                </c:pt>
                <c:pt idx="4438">
                  <c:v>45107</c:v>
                </c:pt>
                <c:pt idx="4439">
                  <c:v>45107</c:v>
                </c:pt>
                <c:pt idx="4440">
                  <c:v>45108</c:v>
                </c:pt>
                <c:pt idx="4441">
                  <c:v>45108</c:v>
                </c:pt>
                <c:pt idx="4442">
                  <c:v>45108</c:v>
                </c:pt>
                <c:pt idx="4443">
                  <c:v>45108</c:v>
                </c:pt>
                <c:pt idx="4444">
                  <c:v>45108</c:v>
                </c:pt>
                <c:pt idx="4445">
                  <c:v>45108</c:v>
                </c:pt>
                <c:pt idx="4446">
                  <c:v>45108</c:v>
                </c:pt>
                <c:pt idx="4447">
                  <c:v>45108</c:v>
                </c:pt>
                <c:pt idx="4448">
                  <c:v>45108</c:v>
                </c:pt>
                <c:pt idx="4449">
                  <c:v>45108</c:v>
                </c:pt>
                <c:pt idx="4450">
                  <c:v>45108</c:v>
                </c:pt>
                <c:pt idx="4451">
                  <c:v>45108</c:v>
                </c:pt>
                <c:pt idx="4452">
                  <c:v>45108</c:v>
                </c:pt>
                <c:pt idx="4453">
                  <c:v>45108</c:v>
                </c:pt>
                <c:pt idx="4454">
                  <c:v>45108</c:v>
                </c:pt>
                <c:pt idx="4455">
                  <c:v>45108</c:v>
                </c:pt>
                <c:pt idx="4456">
                  <c:v>45108</c:v>
                </c:pt>
                <c:pt idx="4457">
                  <c:v>45108</c:v>
                </c:pt>
                <c:pt idx="4458">
                  <c:v>45108</c:v>
                </c:pt>
                <c:pt idx="4459">
                  <c:v>45108</c:v>
                </c:pt>
                <c:pt idx="4460">
                  <c:v>45108</c:v>
                </c:pt>
                <c:pt idx="4461">
                  <c:v>45108</c:v>
                </c:pt>
                <c:pt idx="4462">
                  <c:v>45108</c:v>
                </c:pt>
                <c:pt idx="4463">
                  <c:v>45108</c:v>
                </c:pt>
                <c:pt idx="4464">
                  <c:v>45109</c:v>
                </c:pt>
                <c:pt idx="4465">
                  <c:v>45109</c:v>
                </c:pt>
                <c:pt idx="4466">
                  <c:v>45109</c:v>
                </c:pt>
                <c:pt idx="4467">
                  <c:v>45109</c:v>
                </c:pt>
                <c:pt idx="4468">
                  <c:v>45109</c:v>
                </c:pt>
                <c:pt idx="4469">
                  <c:v>45109</c:v>
                </c:pt>
                <c:pt idx="4470">
                  <c:v>45109</c:v>
                </c:pt>
                <c:pt idx="4471">
                  <c:v>45109</c:v>
                </c:pt>
                <c:pt idx="4472">
                  <c:v>45109</c:v>
                </c:pt>
                <c:pt idx="4473">
                  <c:v>45109</c:v>
                </c:pt>
                <c:pt idx="4474">
                  <c:v>45109</c:v>
                </c:pt>
                <c:pt idx="4475">
                  <c:v>45109</c:v>
                </c:pt>
                <c:pt idx="4476">
                  <c:v>45109</c:v>
                </c:pt>
                <c:pt idx="4477">
                  <c:v>45109</c:v>
                </c:pt>
                <c:pt idx="4478">
                  <c:v>45109</c:v>
                </c:pt>
                <c:pt idx="4479">
                  <c:v>45109</c:v>
                </c:pt>
                <c:pt idx="4480">
                  <c:v>45109</c:v>
                </c:pt>
                <c:pt idx="4481">
                  <c:v>45109</c:v>
                </c:pt>
                <c:pt idx="4482">
                  <c:v>45109</c:v>
                </c:pt>
                <c:pt idx="4483">
                  <c:v>45109</c:v>
                </c:pt>
                <c:pt idx="4484">
                  <c:v>45109</c:v>
                </c:pt>
                <c:pt idx="4485">
                  <c:v>45109</c:v>
                </c:pt>
                <c:pt idx="4486">
                  <c:v>45109</c:v>
                </c:pt>
                <c:pt idx="4487">
                  <c:v>45109</c:v>
                </c:pt>
                <c:pt idx="4488">
                  <c:v>45110</c:v>
                </c:pt>
                <c:pt idx="4489">
                  <c:v>45110</c:v>
                </c:pt>
                <c:pt idx="4490">
                  <c:v>45110</c:v>
                </c:pt>
                <c:pt idx="4491">
                  <c:v>45110</c:v>
                </c:pt>
                <c:pt idx="4492">
                  <c:v>45110</c:v>
                </c:pt>
                <c:pt idx="4493">
                  <c:v>45110</c:v>
                </c:pt>
                <c:pt idx="4494">
                  <c:v>45110</c:v>
                </c:pt>
                <c:pt idx="4495">
                  <c:v>45110</c:v>
                </c:pt>
                <c:pt idx="4496">
                  <c:v>45110</c:v>
                </c:pt>
                <c:pt idx="4497">
                  <c:v>45110</c:v>
                </c:pt>
                <c:pt idx="4498">
                  <c:v>45110</c:v>
                </c:pt>
                <c:pt idx="4499">
                  <c:v>45110</c:v>
                </c:pt>
                <c:pt idx="4500">
                  <c:v>45110</c:v>
                </c:pt>
                <c:pt idx="4501">
                  <c:v>45110</c:v>
                </c:pt>
                <c:pt idx="4502">
                  <c:v>45110</c:v>
                </c:pt>
                <c:pt idx="4503">
                  <c:v>45110</c:v>
                </c:pt>
                <c:pt idx="4504">
                  <c:v>45110</c:v>
                </c:pt>
                <c:pt idx="4505">
                  <c:v>45110</c:v>
                </c:pt>
                <c:pt idx="4506">
                  <c:v>45110</c:v>
                </c:pt>
                <c:pt idx="4507">
                  <c:v>45110</c:v>
                </c:pt>
                <c:pt idx="4508">
                  <c:v>45110</c:v>
                </c:pt>
                <c:pt idx="4509">
                  <c:v>45110</c:v>
                </c:pt>
                <c:pt idx="4510">
                  <c:v>45110</c:v>
                </c:pt>
                <c:pt idx="4511">
                  <c:v>45110</c:v>
                </c:pt>
                <c:pt idx="4512">
                  <c:v>45111</c:v>
                </c:pt>
                <c:pt idx="4513">
                  <c:v>45111</c:v>
                </c:pt>
                <c:pt idx="4514">
                  <c:v>45111</c:v>
                </c:pt>
                <c:pt idx="4515">
                  <c:v>45111</c:v>
                </c:pt>
                <c:pt idx="4516">
                  <c:v>45111</c:v>
                </c:pt>
                <c:pt idx="4517">
                  <c:v>45111</c:v>
                </c:pt>
                <c:pt idx="4518">
                  <c:v>45111</c:v>
                </c:pt>
                <c:pt idx="4519">
                  <c:v>45111</c:v>
                </c:pt>
                <c:pt idx="4520">
                  <c:v>45111</c:v>
                </c:pt>
                <c:pt idx="4521">
                  <c:v>45111</c:v>
                </c:pt>
                <c:pt idx="4522">
                  <c:v>45111</c:v>
                </c:pt>
                <c:pt idx="4523">
                  <c:v>45111</c:v>
                </c:pt>
                <c:pt idx="4524">
                  <c:v>45111</c:v>
                </c:pt>
                <c:pt idx="4525">
                  <c:v>45111</c:v>
                </c:pt>
                <c:pt idx="4526">
                  <c:v>45111</c:v>
                </c:pt>
                <c:pt idx="4527">
                  <c:v>45111</c:v>
                </c:pt>
                <c:pt idx="4528">
                  <c:v>45111</c:v>
                </c:pt>
                <c:pt idx="4529">
                  <c:v>45111</c:v>
                </c:pt>
                <c:pt idx="4530">
                  <c:v>45111</c:v>
                </c:pt>
                <c:pt idx="4531">
                  <c:v>45111</c:v>
                </c:pt>
                <c:pt idx="4532">
                  <c:v>45111</c:v>
                </c:pt>
                <c:pt idx="4533">
                  <c:v>45111</c:v>
                </c:pt>
                <c:pt idx="4534">
                  <c:v>45111</c:v>
                </c:pt>
                <c:pt idx="4535">
                  <c:v>45111</c:v>
                </c:pt>
                <c:pt idx="4536">
                  <c:v>45112</c:v>
                </c:pt>
                <c:pt idx="4537">
                  <c:v>45112</c:v>
                </c:pt>
                <c:pt idx="4538">
                  <c:v>45112</c:v>
                </c:pt>
                <c:pt idx="4539">
                  <c:v>45112</c:v>
                </c:pt>
                <c:pt idx="4540">
                  <c:v>45112</c:v>
                </c:pt>
                <c:pt idx="4541">
                  <c:v>45112</c:v>
                </c:pt>
                <c:pt idx="4542">
                  <c:v>45112</c:v>
                </c:pt>
                <c:pt idx="4543">
                  <c:v>45112</c:v>
                </c:pt>
                <c:pt idx="4544">
                  <c:v>45112</c:v>
                </c:pt>
                <c:pt idx="4545">
                  <c:v>45112</c:v>
                </c:pt>
                <c:pt idx="4546">
                  <c:v>45112</c:v>
                </c:pt>
                <c:pt idx="4547">
                  <c:v>45112</c:v>
                </c:pt>
                <c:pt idx="4548">
                  <c:v>45112</c:v>
                </c:pt>
                <c:pt idx="4549">
                  <c:v>45112</c:v>
                </c:pt>
                <c:pt idx="4550">
                  <c:v>45112</c:v>
                </c:pt>
                <c:pt idx="4551">
                  <c:v>45112</c:v>
                </c:pt>
                <c:pt idx="4552">
                  <c:v>45112</c:v>
                </c:pt>
                <c:pt idx="4553">
                  <c:v>45112</c:v>
                </c:pt>
                <c:pt idx="4554">
                  <c:v>45112</c:v>
                </c:pt>
                <c:pt idx="4555">
                  <c:v>45112</c:v>
                </c:pt>
                <c:pt idx="4556">
                  <c:v>45112</c:v>
                </c:pt>
                <c:pt idx="4557">
                  <c:v>45112</c:v>
                </c:pt>
                <c:pt idx="4558">
                  <c:v>45112</c:v>
                </c:pt>
                <c:pt idx="4559">
                  <c:v>45112</c:v>
                </c:pt>
                <c:pt idx="4560">
                  <c:v>45113</c:v>
                </c:pt>
                <c:pt idx="4561">
                  <c:v>45113</c:v>
                </c:pt>
                <c:pt idx="4562">
                  <c:v>45113</c:v>
                </c:pt>
                <c:pt idx="4563">
                  <c:v>45113</c:v>
                </c:pt>
                <c:pt idx="4564">
                  <c:v>45113</c:v>
                </c:pt>
                <c:pt idx="4565">
                  <c:v>45113</c:v>
                </c:pt>
                <c:pt idx="4566">
                  <c:v>45113</c:v>
                </c:pt>
                <c:pt idx="4567">
                  <c:v>45113</c:v>
                </c:pt>
                <c:pt idx="4568">
                  <c:v>45113</c:v>
                </c:pt>
                <c:pt idx="4569">
                  <c:v>45113</c:v>
                </c:pt>
                <c:pt idx="4570">
                  <c:v>45113</c:v>
                </c:pt>
                <c:pt idx="4571">
                  <c:v>45113</c:v>
                </c:pt>
                <c:pt idx="4572">
                  <c:v>45113</c:v>
                </c:pt>
                <c:pt idx="4573">
                  <c:v>45113</c:v>
                </c:pt>
                <c:pt idx="4574">
                  <c:v>45113</c:v>
                </c:pt>
                <c:pt idx="4575">
                  <c:v>45113</c:v>
                </c:pt>
                <c:pt idx="4576">
                  <c:v>45113</c:v>
                </c:pt>
                <c:pt idx="4577">
                  <c:v>45113</c:v>
                </c:pt>
                <c:pt idx="4578">
                  <c:v>45113</c:v>
                </c:pt>
                <c:pt idx="4579">
                  <c:v>45113</c:v>
                </c:pt>
                <c:pt idx="4580">
                  <c:v>45113</c:v>
                </c:pt>
                <c:pt idx="4581">
                  <c:v>45113</c:v>
                </c:pt>
                <c:pt idx="4582">
                  <c:v>45113</c:v>
                </c:pt>
                <c:pt idx="4583">
                  <c:v>45113</c:v>
                </c:pt>
                <c:pt idx="4584">
                  <c:v>45114</c:v>
                </c:pt>
                <c:pt idx="4585">
                  <c:v>45114</c:v>
                </c:pt>
                <c:pt idx="4586">
                  <c:v>45114</c:v>
                </c:pt>
                <c:pt idx="4587">
                  <c:v>45114</c:v>
                </c:pt>
                <c:pt idx="4588">
                  <c:v>45114</c:v>
                </c:pt>
                <c:pt idx="4589">
                  <c:v>45114</c:v>
                </c:pt>
                <c:pt idx="4590">
                  <c:v>45114</c:v>
                </c:pt>
                <c:pt idx="4591">
                  <c:v>45114</c:v>
                </c:pt>
                <c:pt idx="4592">
                  <c:v>45114</c:v>
                </c:pt>
                <c:pt idx="4593">
                  <c:v>45114</c:v>
                </c:pt>
                <c:pt idx="4594">
                  <c:v>45114</c:v>
                </c:pt>
                <c:pt idx="4595">
                  <c:v>45114</c:v>
                </c:pt>
                <c:pt idx="4596">
                  <c:v>45114</c:v>
                </c:pt>
                <c:pt idx="4597">
                  <c:v>45114</c:v>
                </c:pt>
                <c:pt idx="4598">
                  <c:v>45114</c:v>
                </c:pt>
                <c:pt idx="4599">
                  <c:v>45114</c:v>
                </c:pt>
                <c:pt idx="4600">
                  <c:v>45114</c:v>
                </c:pt>
                <c:pt idx="4601">
                  <c:v>45114</c:v>
                </c:pt>
                <c:pt idx="4602">
                  <c:v>45114</c:v>
                </c:pt>
                <c:pt idx="4603">
                  <c:v>45114</c:v>
                </c:pt>
                <c:pt idx="4604">
                  <c:v>45114</c:v>
                </c:pt>
                <c:pt idx="4605">
                  <c:v>45114</c:v>
                </c:pt>
                <c:pt idx="4606">
                  <c:v>45114</c:v>
                </c:pt>
                <c:pt idx="4607">
                  <c:v>45114</c:v>
                </c:pt>
                <c:pt idx="4608">
                  <c:v>45115</c:v>
                </c:pt>
                <c:pt idx="4609">
                  <c:v>45115</c:v>
                </c:pt>
                <c:pt idx="4610">
                  <c:v>45115</c:v>
                </c:pt>
                <c:pt idx="4611">
                  <c:v>45115</c:v>
                </c:pt>
                <c:pt idx="4612">
                  <c:v>45115</c:v>
                </c:pt>
                <c:pt idx="4613">
                  <c:v>45115</c:v>
                </c:pt>
                <c:pt idx="4614">
                  <c:v>45115</c:v>
                </c:pt>
                <c:pt idx="4615">
                  <c:v>45115</c:v>
                </c:pt>
                <c:pt idx="4616">
                  <c:v>45115</c:v>
                </c:pt>
                <c:pt idx="4617">
                  <c:v>45115</c:v>
                </c:pt>
                <c:pt idx="4618">
                  <c:v>45115</c:v>
                </c:pt>
                <c:pt idx="4619">
                  <c:v>45115</c:v>
                </c:pt>
                <c:pt idx="4620">
                  <c:v>45115</c:v>
                </c:pt>
                <c:pt idx="4621">
                  <c:v>45115</c:v>
                </c:pt>
                <c:pt idx="4622">
                  <c:v>45115</c:v>
                </c:pt>
                <c:pt idx="4623">
                  <c:v>45115</c:v>
                </c:pt>
                <c:pt idx="4624">
                  <c:v>45115</c:v>
                </c:pt>
                <c:pt idx="4625">
                  <c:v>45115</c:v>
                </c:pt>
                <c:pt idx="4626">
                  <c:v>45115</c:v>
                </c:pt>
                <c:pt idx="4627">
                  <c:v>45115</c:v>
                </c:pt>
                <c:pt idx="4628">
                  <c:v>45115</c:v>
                </c:pt>
                <c:pt idx="4629">
                  <c:v>45115</c:v>
                </c:pt>
                <c:pt idx="4630">
                  <c:v>45115</c:v>
                </c:pt>
                <c:pt idx="4631">
                  <c:v>45115</c:v>
                </c:pt>
                <c:pt idx="4632">
                  <c:v>45116</c:v>
                </c:pt>
                <c:pt idx="4633">
                  <c:v>45116</c:v>
                </c:pt>
                <c:pt idx="4634">
                  <c:v>45116</c:v>
                </c:pt>
                <c:pt idx="4635">
                  <c:v>45116</c:v>
                </c:pt>
                <c:pt idx="4636">
                  <c:v>45116</c:v>
                </c:pt>
                <c:pt idx="4637">
                  <c:v>45116</c:v>
                </c:pt>
                <c:pt idx="4638">
                  <c:v>45116</c:v>
                </c:pt>
                <c:pt idx="4639">
                  <c:v>45116</c:v>
                </c:pt>
                <c:pt idx="4640">
                  <c:v>45116</c:v>
                </c:pt>
                <c:pt idx="4641">
                  <c:v>45116</c:v>
                </c:pt>
                <c:pt idx="4642">
                  <c:v>45116</c:v>
                </c:pt>
                <c:pt idx="4643">
                  <c:v>45116</c:v>
                </c:pt>
                <c:pt idx="4644">
                  <c:v>45116</c:v>
                </c:pt>
                <c:pt idx="4645">
                  <c:v>45116</c:v>
                </c:pt>
                <c:pt idx="4646">
                  <c:v>45116</c:v>
                </c:pt>
                <c:pt idx="4647">
                  <c:v>45116</c:v>
                </c:pt>
                <c:pt idx="4648">
                  <c:v>45116</c:v>
                </c:pt>
                <c:pt idx="4649">
                  <c:v>45116</c:v>
                </c:pt>
                <c:pt idx="4650">
                  <c:v>45116</c:v>
                </c:pt>
                <c:pt idx="4651">
                  <c:v>45116</c:v>
                </c:pt>
                <c:pt idx="4652">
                  <c:v>45116</c:v>
                </c:pt>
                <c:pt idx="4653">
                  <c:v>45116</c:v>
                </c:pt>
                <c:pt idx="4654">
                  <c:v>45116</c:v>
                </c:pt>
                <c:pt idx="4655">
                  <c:v>45116</c:v>
                </c:pt>
                <c:pt idx="4656">
                  <c:v>45117</c:v>
                </c:pt>
                <c:pt idx="4657">
                  <c:v>45117</c:v>
                </c:pt>
                <c:pt idx="4658">
                  <c:v>45117</c:v>
                </c:pt>
                <c:pt idx="4659">
                  <c:v>45117</c:v>
                </c:pt>
                <c:pt idx="4660">
                  <c:v>45117</c:v>
                </c:pt>
                <c:pt idx="4661">
                  <c:v>45117</c:v>
                </c:pt>
                <c:pt idx="4662">
                  <c:v>45117</c:v>
                </c:pt>
                <c:pt idx="4663">
                  <c:v>45117</c:v>
                </c:pt>
                <c:pt idx="4664">
                  <c:v>45117</c:v>
                </c:pt>
                <c:pt idx="4665">
                  <c:v>45117</c:v>
                </c:pt>
                <c:pt idx="4666">
                  <c:v>45117</c:v>
                </c:pt>
                <c:pt idx="4667">
                  <c:v>45117</c:v>
                </c:pt>
                <c:pt idx="4668">
                  <c:v>45117</c:v>
                </c:pt>
                <c:pt idx="4669">
                  <c:v>45117</c:v>
                </c:pt>
                <c:pt idx="4670">
                  <c:v>45117</c:v>
                </c:pt>
                <c:pt idx="4671">
                  <c:v>45117</c:v>
                </c:pt>
                <c:pt idx="4672">
                  <c:v>45117</c:v>
                </c:pt>
                <c:pt idx="4673">
                  <c:v>45117</c:v>
                </c:pt>
                <c:pt idx="4674">
                  <c:v>45117</c:v>
                </c:pt>
                <c:pt idx="4675">
                  <c:v>45117</c:v>
                </c:pt>
                <c:pt idx="4676">
                  <c:v>45117</c:v>
                </c:pt>
                <c:pt idx="4677">
                  <c:v>45117</c:v>
                </c:pt>
                <c:pt idx="4678">
                  <c:v>45117</c:v>
                </c:pt>
                <c:pt idx="4679">
                  <c:v>45117</c:v>
                </c:pt>
                <c:pt idx="4680">
                  <c:v>45118</c:v>
                </c:pt>
                <c:pt idx="4681">
                  <c:v>45118</c:v>
                </c:pt>
                <c:pt idx="4682">
                  <c:v>45118</c:v>
                </c:pt>
                <c:pt idx="4683">
                  <c:v>45118</c:v>
                </c:pt>
                <c:pt idx="4684">
                  <c:v>45118</c:v>
                </c:pt>
                <c:pt idx="4685">
                  <c:v>45118</c:v>
                </c:pt>
                <c:pt idx="4686">
                  <c:v>45118</c:v>
                </c:pt>
                <c:pt idx="4687">
                  <c:v>45118</c:v>
                </c:pt>
                <c:pt idx="4688">
                  <c:v>45118</c:v>
                </c:pt>
                <c:pt idx="4689">
                  <c:v>45118</c:v>
                </c:pt>
                <c:pt idx="4690">
                  <c:v>45118</c:v>
                </c:pt>
                <c:pt idx="4691">
                  <c:v>45118</c:v>
                </c:pt>
                <c:pt idx="4692">
                  <c:v>45118</c:v>
                </c:pt>
                <c:pt idx="4693">
                  <c:v>45118</c:v>
                </c:pt>
                <c:pt idx="4694">
                  <c:v>45118</c:v>
                </c:pt>
                <c:pt idx="4695">
                  <c:v>45118</c:v>
                </c:pt>
                <c:pt idx="4696">
                  <c:v>45118</c:v>
                </c:pt>
                <c:pt idx="4697">
                  <c:v>45118</c:v>
                </c:pt>
                <c:pt idx="4698">
                  <c:v>45118</c:v>
                </c:pt>
                <c:pt idx="4699">
                  <c:v>45118</c:v>
                </c:pt>
                <c:pt idx="4700">
                  <c:v>45118</c:v>
                </c:pt>
                <c:pt idx="4701">
                  <c:v>45118</c:v>
                </c:pt>
                <c:pt idx="4702">
                  <c:v>45118</c:v>
                </c:pt>
                <c:pt idx="4703">
                  <c:v>45118</c:v>
                </c:pt>
                <c:pt idx="4704">
                  <c:v>45119</c:v>
                </c:pt>
                <c:pt idx="4705">
                  <c:v>45119</c:v>
                </c:pt>
                <c:pt idx="4706">
                  <c:v>45119</c:v>
                </c:pt>
                <c:pt idx="4707">
                  <c:v>45119</c:v>
                </c:pt>
                <c:pt idx="4708">
                  <c:v>45119</c:v>
                </c:pt>
                <c:pt idx="4709">
                  <c:v>45119</c:v>
                </c:pt>
                <c:pt idx="4710">
                  <c:v>45119</c:v>
                </c:pt>
                <c:pt idx="4711">
                  <c:v>45119</c:v>
                </c:pt>
                <c:pt idx="4712">
                  <c:v>45119</c:v>
                </c:pt>
                <c:pt idx="4713">
                  <c:v>45119</c:v>
                </c:pt>
                <c:pt idx="4714">
                  <c:v>45119</c:v>
                </c:pt>
                <c:pt idx="4715">
                  <c:v>45119</c:v>
                </c:pt>
                <c:pt idx="4716">
                  <c:v>45119</c:v>
                </c:pt>
                <c:pt idx="4717">
                  <c:v>45119</c:v>
                </c:pt>
                <c:pt idx="4718">
                  <c:v>45119</c:v>
                </c:pt>
                <c:pt idx="4719">
                  <c:v>45119</c:v>
                </c:pt>
                <c:pt idx="4720">
                  <c:v>45119</c:v>
                </c:pt>
                <c:pt idx="4721">
                  <c:v>45119</c:v>
                </c:pt>
                <c:pt idx="4722">
                  <c:v>45119</c:v>
                </c:pt>
                <c:pt idx="4723">
                  <c:v>45119</c:v>
                </c:pt>
                <c:pt idx="4724">
                  <c:v>45119</c:v>
                </c:pt>
                <c:pt idx="4725">
                  <c:v>45119</c:v>
                </c:pt>
                <c:pt idx="4726">
                  <c:v>45119</c:v>
                </c:pt>
                <c:pt idx="4727">
                  <c:v>45119</c:v>
                </c:pt>
                <c:pt idx="4728">
                  <c:v>45120</c:v>
                </c:pt>
                <c:pt idx="4729">
                  <c:v>45120</c:v>
                </c:pt>
                <c:pt idx="4730">
                  <c:v>45120</c:v>
                </c:pt>
                <c:pt idx="4731">
                  <c:v>45120</c:v>
                </c:pt>
                <c:pt idx="4732">
                  <c:v>45120</c:v>
                </c:pt>
                <c:pt idx="4733">
                  <c:v>45120</c:v>
                </c:pt>
                <c:pt idx="4734">
                  <c:v>45120</c:v>
                </c:pt>
                <c:pt idx="4735">
                  <c:v>45120</c:v>
                </c:pt>
                <c:pt idx="4736">
                  <c:v>45120</c:v>
                </c:pt>
                <c:pt idx="4737">
                  <c:v>45120</c:v>
                </c:pt>
                <c:pt idx="4738">
                  <c:v>45120</c:v>
                </c:pt>
                <c:pt idx="4739">
                  <c:v>45120</c:v>
                </c:pt>
                <c:pt idx="4740">
                  <c:v>45120</c:v>
                </c:pt>
                <c:pt idx="4741">
                  <c:v>45120</c:v>
                </c:pt>
                <c:pt idx="4742">
                  <c:v>45120</c:v>
                </c:pt>
                <c:pt idx="4743">
                  <c:v>45120</c:v>
                </c:pt>
                <c:pt idx="4744">
                  <c:v>45120</c:v>
                </c:pt>
                <c:pt idx="4745">
                  <c:v>45120</c:v>
                </c:pt>
                <c:pt idx="4746">
                  <c:v>45120</c:v>
                </c:pt>
                <c:pt idx="4747">
                  <c:v>45120</c:v>
                </c:pt>
                <c:pt idx="4748">
                  <c:v>45120</c:v>
                </c:pt>
                <c:pt idx="4749">
                  <c:v>45120</c:v>
                </c:pt>
                <c:pt idx="4750">
                  <c:v>45120</c:v>
                </c:pt>
                <c:pt idx="4751">
                  <c:v>45120</c:v>
                </c:pt>
                <c:pt idx="4752">
                  <c:v>45121</c:v>
                </c:pt>
                <c:pt idx="4753">
                  <c:v>45121</c:v>
                </c:pt>
                <c:pt idx="4754">
                  <c:v>45121</c:v>
                </c:pt>
                <c:pt idx="4755">
                  <c:v>45121</c:v>
                </c:pt>
                <c:pt idx="4756">
                  <c:v>45121</c:v>
                </c:pt>
                <c:pt idx="4757">
                  <c:v>45121</c:v>
                </c:pt>
                <c:pt idx="4758">
                  <c:v>45121</c:v>
                </c:pt>
                <c:pt idx="4759">
                  <c:v>45121</c:v>
                </c:pt>
                <c:pt idx="4760">
                  <c:v>45121</c:v>
                </c:pt>
                <c:pt idx="4761">
                  <c:v>45121</c:v>
                </c:pt>
                <c:pt idx="4762">
                  <c:v>45121</c:v>
                </c:pt>
                <c:pt idx="4763">
                  <c:v>45121</c:v>
                </c:pt>
                <c:pt idx="4764">
                  <c:v>45121</c:v>
                </c:pt>
                <c:pt idx="4765">
                  <c:v>45121</c:v>
                </c:pt>
                <c:pt idx="4766">
                  <c:v>45121</c:v>
                </c:pt>
                <c:pt idx="4767">
                  <c:v>45121</c:v>
                </c:pt>
                <c:pt idx="4768">
                  <c:v>45121</c:v>
                </c:pt>
                <c:pt idx="4769">
                  <c:v>45121</c:v>
                </c:pt>
                <c:pt idx="4770">
                  <c:v>45121</c:v>
                </c:pt>
                <c:pt idx="4771">
                  <c:v>45121</c:v>
                </c:pt>
                <c:pt idx="4772">
                  <c:v>45121</c:v>
                </c:pt>
                <c:pt idx="4773">
                  <c:v>45121</c:v>
                </c:pt>
                <c:pt idx="4774">
                  <c:v>45121</c:v>
                </c:pt>
                <c:pt idx="4775">
                  <c:v>45121</c:v>
                </c:pt>
                <c:pt idx="4776">
                  <c:v>45122</c:v>
                </c:pt>
                <c:pt idx="4777">
                  <c:v>45122</c:v>
                </c:pt>
                <c:pt idx="4778">
                  <c:v>45122</c:v>
                </c:pt>
                <c:pt idx="4779">
                  <c:v>45122</c:v>
                </c:pt>
                <c:pt idx="4780">
                  <c:v>45122</c:v>
                </c:pt>
                <c:pt idx="4781">
                  <c:v>45122</c:v>
                </c:pt>
                <c:pt idx="4782">
                  <c:v>45122</c:v>
                </c:pt>
                <c:pt idx="4783">
                  <c:v>45122</c:v>
                </c:pt>
                <c:pt idx="4784">
                  <c:v>45122</c:v>
                </c:pt>
                <c:pt idx="4785">
                  <c:v>45122</c:v>
                </c:pt>
                <c:pt idx="4786">
                  <c:v>45122</c:v>
                </c:pt>
                <c:pt idx="4787">
                  <c:v>45122</c:v>
                </c:pt>
                <c:pt idx="4788">
                  <c:v>45122</c:v>
                </c:pt>
                <c:pt idx="4789">
                  <c:v>45122</c:v>
                </c:pt>
                <c:pt idx="4790">
                  <c:v>45122</c:v>
                </c:pt>
                <c:pt idx="4791">
                  <c:v>45122</c:v>
                </c:pt>
                <c:pt idx="4792">
                  <c:v>45122</c:v>
                </c:pt>
                <c:pt idx="4793">
                  <c:v>45122</c:v>
                </c:pt>
                <c:pt idx="4794">
                  <c:v>45122</c:v>
                </c:pt>
                <c:pt idx="4795">
                  <c:v>45122</c:v>
                </c:pt>
                <c:pt idx="4796">
                  <c:v>45122</c:v>
                </c:pt>
                <c:pt idx="4797">
                  <c:v>45122</c:v>
                </c:pt>
                <c:pt idx="4798">
                  <c:v>45122</c:v>
                </c:pt>
                <c:pt idx="4799">
                  <c:v>45122</c:v>
                </c:pt>
                <c:pt idx="4800">
                  <c:v>45123</c:v>
                </c:pt>
                <c:pt idx="4801">
                  <c:v>45123</c:v>
                </c:pt>
                <c:pt idx="4802">
                  <c:v>45123</c:v>
                </c:pt>
                <c:pt idx="4803">
                  <c:v>45123</c:v>
                </c:pt>
                <c:pt idx="4804">
                  <c:v>45123</c:v>
                </c:pt>
                <c:pt idx="4805">
                  <c:v>45123</c:v>
                </c:pt>
                <c:pt idx="4806">
                  <c:v>45123</c:v>
                </c:pt>
                <c:pt idx="4807">
                  <c:v>45123</c:v>
                </c:pt>
                <c:pt idx="4808">
                  <c:v>45123</c:v>
                </c:pt>
                <c:pt idx="4809">
                  <c:v>45123</c:v>
                </c:pt>
                <c:pt idx="4810">
                  <c:v>45123</c:v>
                </c:pt>
                <c:pt idx="4811">
                  <c:v>45123</c:v>
                </c:pt>
                <c:pt idx="4812">
                  <c:v>45123</c:v>
                </c:pt>
                <c:pt idx="4813">
                  <c:v>45123</c:v>
                </c:pt>
                <c:pt idx="4814">
                  <c:v>45123</c:v>
                </c:pt>
                <c:pt idx="4815">
                  <c:v>45123</c:v>
                </c:pt>
                <c:pt idx="4816">
                  <c:v>45123</c:v>
                </c:pt>
                <c:pt idx="4817">
                  <c:v>45123</c:v>
                </c:pt>
                <c:pt idx="4818">
                  <c:v>45123</c:v>
                </c:pt>
                <c:pt idx="4819">
                  <c:v>45123</c:v>
                </c:pt>
                <c:pt idx="4820">
                  <c:v>45123</c:v>
                </c:pt>
                <c:pt idx="4821">
                  <c:v>45123</c:v>
                </c:pt>
                <c:pt idx="4822">
                  <c:v>45123</c:v>
                </c:pt>
                <c:pt idx="4823">
                  <c:v>45123</c:v>
                </c:pt>
                <c:pt idx="4824">
                  <c:v>45124</c:v>
                </c:pt>
                <c:pt idx="4825">
                  <c:v>45124</c:v>
                </c:pt>
                <c:pt idx="4826">
                  <c:v>45124</c:v>
                </c:pt>
                <c:pt idx="4827">
                  <c:v>45124</c:v>
                </c:pt>
                <c:pt idx="4828">
                  <c:v>45124</c:v>
                </c:pt>
                <c:pt idx="4829">
                  <c:v>45124</c:v>
                </c:pt>
                <c:pt idx="4830">
                  <c:v>45124</c:v>
                </c:pt>
                <c:pt idx="4831">
                  <c:v>45124</c:v>
                </c:pt>
                <c:pt idx="4832">
                  <c:v>45124</c:v>
                </c:pt>
                <c:pt idx="4833">
                  <c:v>45124</c:v>
                </c:pt>
                <c:pt idx="4834">
                  <c:v>45124</c:v>
                </c:pt>
                <c:pt idx="4835">
                  <c:v>45124</c:v>
                </c:pt>
                <c:pt idx="4836">
                  <c:v>45124</c:v>
                </c:pt>
                <c:pt idx="4837">
                  <c:v>45124</c:v>
                </c:pt>
                <c:pt idx="4838">
                  <c:v>45124</c:v>
                </c:pt>
                <c:pt idx="4839">
                  <c:v>45124</c:v>
                </c:pt>
                <c:pt idx="4840">
                  <c:v>45124</c:v>
                </c:pt>
                <c:pt idx="4841">
                  <c:v>45124</c:v>
                </c:pt>
                <c:pt idx="4842">
                  <c:v>45124</c:v>
                </c:pt>
                <c:pt idx="4843">
                  <c:v>45124</c:v>
                </c:pt>
                <c:pt idx="4844">
                  <c:v>45124</c:v>
                </c:pt>
                <c:pt idx="4845">
                  <c:v>45124</c:v>
                </c:pt>
                <c:pt idx="4846">
                  <c:v>45124</c:v>
                </c:pt>
                <c:pt idx="4847">
                  <c:v>45124</c:v>
                </c:pt>
                <c:pt idx="4848">
                  <c:v>45125</c:v>
                </c:pt>
                <c:pt idx="4849">
                  <c:v>45125</c:v>
                </c:pt>
                <c:pt idx="4850">
                  <c:v>45125</c:v>
                </c:pt>
                <c:pt idx="4851">
                  <c:v>45125</c:v>
                </c:pt>
                <c:pt idx="4852">
                  <c:v>45125</c:v>
                </c:pt>
                <c:pt idx="4853">
                  <c:v>45125</c:v>
                </c:pt>
                <c:pt idx="4854">
                  <c:v>45125</c:v>
                </c:pt>
                <c:pt idx="4855">
                  <c:v>45125</c:v>
                </c:pt>
                <c:pt idx="4856">
                  <c:v>45125</c:v>
                </c:pt>
                <c:pt idx="4857">
                  <c:v>45125</c:v>
                </c:pt>
                <c:pt idx="4858">
                  <c:v>45125</c:v>
                </c:pt>
                <c:pt idx="4859">
                  <c:v>45125</c:v>
                </c:pt>
                <c:pt idx="4860">
                  <c:v>45125</c:v>
                </c:pt>
                <c:pt idx="4861">
                  <c:v>45125</c:v>
                </c:pt>
                <c:pt idx="4862">
                  <c:v>45125</c:v>
                </c:pt>
                <c:pt idx="4863">
                  <c:v>45125</c:v>
                </c:pt>
                <c:pt idx="4864">
                  <c:v>45125</c:v>
                </c:pt>
                <c:pt idx="4865">
                  <c:v>45125</c:v>
                </c:pt>
                <c:pt idx="4866">
                  <c:v>45125</c:v>
                </c:pt>
                <c:pt idx="4867">
                  <c:v>45125</c:v>
                </c:pt>
                <c:pt idx="4868">
                  <c:v>45125</c:v>
                </c:pt>
                <c:pt idx="4869">
                  <c:v>45125</c:v>
                </c:pt>
                <c:pt idx="4870">
                  <c:v>45125</c:v>
                </c:pt>
                <c:pt idx="4871">
                  <c:v>45125</c:v>
                </c:pt>
                <c:pt idx="4872">
                  <c:v>45126</c:v>
                </c:pt>
                <c:pt idx="4873">
                  <c:v>45126</c:v>
                </c:pt>
                <c:pt idx="4874">
                  <c:v>45126</c:v>
                </c:pt>
                <c:pt idx="4875">
                  <c:v>45126</c:v>
                </c:pt>
                <c:pt idx="4876">
                  <c:v>45126</c:v>
                </c:pt>
                <c:pt idx="4877">
                  <c:v>45126</c:v>
                </c:pt>
                <c:pt idx="4878">
                  <c:v>45126</c:v>
                </c:pt>
                <c:pt idx="4879">
                  <c:v>45126</c:v>
                </c:pt>
                <c:pt idx="4880">
                  <c:v>45126</c:v>
                </c:pt>
                <c:pt idx="4881">
                  <c:v>45126</c:v>
                </c:pt>
                <c:pt idx="4882">
                  <c:v>45126</c:v>
                </c:pt>
                <c:pt idx="4883">
                  <c:v>45126</c:v>
                </c:pt>
                <c:pt idx="4884">
                  <c:v>45126</c:v>
                </c:pt>
                <c:pt idx="4885">
                  <c:v>45126</c:v>
                </c:pt>
                <c:pt idx="4886">
                  <c:v>45126</c:v>
                </c:pt>
                <c:pt idx="4887">
                  <c:v>45126</c:v>
                </c:pt>
                <c:pt idx="4888">
                  <c:v>45126</c:v>
                </c:pt>
                <c:pt idx="4889">
                  <c:v>45126</c:v>
                </c:pt>
                <c:pt idx="4890">
                  <c:v>45126</c:v>
                </c:pt>
                <c:pt idx="4891">
                  <c:v>45126</c:v>
                </c:pt>
                <c:pt idx="4892">
                  <c:v>45126</c:v>
                </c:pt>
                <c:pt idx="4893">
                  <c:v>45126</c:v>
                </c:pt>
                <c:pt idx="4894">
                  <c:v>45126</c:v>
                </c:pt>
                <c:pt idx="4895">
                  <c:v>45126</c:v>
                </c:pt>
                <c:pt idx="4896">
                  <c:v>45127</c:v>
                </c:pt>
                <c:pt idx="4897">
                  <c:v>45127</c:v>
                </c:pt>
                <c:pt idx="4898">
                  <c:v>45127</c:v>
                </c:pt>
                <c:pt idx="4899">
                  <c:v>45127</c:v>
                </c:pt>
                <c:pt idx="4900">
                  <c:v>45127</c:v>
                </c:pt>
                <c:pt idx="4901">
                  <c:v>45127</c:v>
                </c:pt>
                <c:pt idx="4902">
                  <c:v>45127</c:v>
                </c:pt>
                <c:pt idx="4903">
                  <c:v>45127</c:v>
                </c:pt>
                <c:pt idx="4904">
                  <c:v>45127</c:v>
                </c:pt>
                <c:pt idx="4905">
                  <c:v>45127</c:v>
                </c:pt>
                <c:pt idx="4906">
                  <c:v>45127</c:v>
                </c:pt>
                <c:pt idx="4907">
                  <c:v>45127</c:v>
                </c:pt>
                <c:pt idx="4908">
                  <c:v>45127</c:v>
                </c:pt>
                <c:pt idx="4909">
                  <c:v>45127</c:v>
                </c:pt>
                <c:pt idx="4910">
                  <c:v>45127</c:v>
                </c:pt>
                <c:pt idx="4911">
                  <c:v>45127</c:v>
                </c:pt>
                <c:pt idx="4912">
                  <c:v>45127</c:v>
                </c:pt>
                <c:pt idx="4913">
                  <c:v>45127</c:v>
                </c:pt>
                <c:pt idx="4914">
                  <c:v>45127</c:v>
                </c:pt>
                <c:pt idx="4915">
                  <c:v>45127</c:v>
                </c:pt>
                <c:pt idx="4916">
                  <c:v>45127</c:v>
                </c:pt>
                <c:pt idx="4917">
                  <c:v>45127</c:v>
                </c:pt>
                <c:pt idx="4918">
                  <c:v>45127</c:v>
                </c:pt>
                <c:pt idx="4919">
                  <c:v>45127</c:v>
                </c:pt>
                <c:pt idx="4920">
                  <c:v>45128</c:v>
                </c:pt>
                <c:pt idx="4921">
                  <c:v>45128</c:v>
                </c:pt>
                <c:pt idx="4922">
                  <c:v>45128</c:v>
                </c:pt>
                <c:pt idx="4923">
                  <c:v>45128</c:v>
                </c:pt>
                <c:pt idx="4924">
                  <c:v>45128</c:v>
                </c:pt>
                <c:pt idx="4925">
                  <c:v>45128</c:v>
                </c:pt>
                <c:pt idx="4926">
                  <c:v>45128</c:v>
                </c:pt>
                <c:pt idx="4927">
                  <c:v>45128</c:v>
                </c:pt>
                <c:pt idx="4928">
                  <c:v>45128</c:v>
                </c:pt>
                <c:pt idx="4929">
                  <c:v>45128</c:v>
                </c:pt>
                <c:pt idx="4930">
                  <c:v>45128</c:v>
                </c:pt>
                <c:pt idx="4931">
                  <c:v>45128</c:v>
                </c:pt>
                <c:pt idx="4932">
                  <c:v>45128</c:v>
                </c:pt>
                <c:pt idx="4933">
                  <c:v>45128</c:v>
                </c:pt>
                <c:pt idx="4934">
                  <c:v>45128</c:v>
                </c:pt>
                <c:pt idx="4935">
                  <c:v>45128</c:v>
                </c:pt>
                <c:pt idx="4936">
                  <c:v>45128</c:v>
                </c:pt>
                <c:pt idx="4937">
                  <c:v>45128</c:v>
                </c:pt>
                <c:pt idx="4938">
                  <c:v>45128</c:v>
                </c:pt>
                <c:pt idx="4939">
                  <c:v>45128</c:v>
                </c:pt>
                <c:pt idx="4940">
                  <c:v>45128</c:v>
                </c:pt>
                <c:pt idx="4941">
                  <c:v>45128</c:v>
                </c:pt>
                <c:pt idx="4942">
                  <c:v>45128</c:v>
                </c:pt>
                <c:pt idx="4943">
                  <c:v>45128</c:v>
                </c:pt>
                <c:pt idx="4944">
                  <c:v>45129</c:v>
                </c:pt>
                <c:pt idx="4945">
                  <c:v>45129</c:v>
                </c:pt>
                <c:pt idx="4946">
                  <c:v>45129</c:v>
                </c:pt>
                <c:pt idx="4947">
                  <c:v>45129</c:v>
                </c:pt>
                <c:pt idx="4948">
                  <c:v>45129</c:v>
                </c:pt>
                <c:pt idx="4949">
                  <c:v>45129</c:v>
                </c:pt>
                <c:pt idx="4950">
                  <c:v>45129</c:v>
                </c:pt>
                <c:pt idx="4951">
                  <c:v>45129</c:v>
                </c:pt>
                <c:pt idx="4952">
                  <c:v>45129</c:v>
                </c:pt>
                <c:pt idx="4953">
                  <c:v>45129</c:v>
                </c:pt>
                <c:pt idx="4954">
                  <c:v>45129</c:v>
                </c:pt>
                <c:pt idx="4955">
                  <c:v>45129</c:v>
                </c:pt>
                <c:pt idx="4956">
                  <c:v>45129</c:v>
                </c:pt>
                <c:pt idx="4957">
                  <c:v>45129</c:v>
                </c:pt>
                <c:pt idx="4958">
                  <c:v>45129</c:v>
                </c:pt>
                <c:pt idx="4959">
                  <c:v>45129</c:v>
                </c:pt>
                <c:pt idx="4960">
                  <c:v>45129</c:v>
                </c:pt>
                <c:pt idx="4961">
                  <c:v>45129</c:v>
                </c:pt>
                <c:pt idx="4962">
                  <c:v>45129</c:v>
                </c:pt>
                <c:pt idx="4963">
                  <c:v>45129</c:v>
                </c:pt>
                <c:pt idx="4964">
                  <c:v>45129</c:v>
                </c:pt>
                <c:pt idx="4965">
                  <c:v>45129</c:v>
                </c:pt>
                <c:pt idx="4966">
                  <c:v>45129</c:v>
                </c:pt>
                <c:pt idx="4967">
                  <c:v>45129</c:v>
                </c:pt>
                <c:pt idx="4968">
                  <c:v>45130</c:v>
                </c:pt>
                <c:pt idx="4969">
                  <c:v>45130</c:v>
                </c:pt>
                <c:pt idx="4970">
                  <c:v>45130</c:v>
                </c:pt>
                <c:pt idx="4971">
                  <c:v>45130</c:v>
                </c:pt>
                <c:pt idx="4972">
                  <c:v>45130</c:v>
                </c:pt>
                <c:pt idx="4973">
                  <c:v>45130</c:v>
                </c:pt>
                <c:pt idx="4974">
                  <c:v>45130</c:v>
                </c:pt>
                <c:pt idx="4975">
                  <c:v>45130</c:v>
                </c:pt>
                <c:pt idx="4976">
                  <c:v>45130</c:v>
                </c:pt>
                <c:pt idx="4977">
                  <c:v>45130</c:v>
                </c:pt>
                <c:pt idx="4978">
                  <c:v>45130</c:v>
                </c:pt>
                <c:pt idx="4979">
                  <c:v>45130</c:v>
                </c:pt>
                <c:pt idx="4980">
                  <c:v>45130</c:v>
                </c:pt>
                <c:pt idx="4981">
                  <c:v>45130</c:v>
                </c:pt>
                <c:pt idx="4982">
                  <c:v>45130</c:v>
                </c:pt>
                <c:pt idx="4983">
                  <c:v>45130</c:v>
                </c:pt>
                <c:pt idx="4984">
                  <c:v>45130</c:v>
                </c:pt>
                <c:pt idx="4985">
                  <c:v>45130</c:v>
                </c:pt>
                <c:pt idx="4986">
                  <c:v>45130</c:v>
                </c:pt>
                <c:pt idx="4987">
                  <c:v>45130</c:v>
                </c:pt>
                <c:pt idx="4988">
                  <c:v>45130</c:v>
                </c:pt>
                <c:pt idx="4989">
                  <c:v>45130</c:v>
                </c:pt>
                <c:pt idx="4990">
                  <c:v>45130</c:v>
                </c:pt>
                <c:pt idx="4991">
                  <c:v>45130</c:v>
                </c:pt>
                <c:pt idx="4992">
                  <c:v>45131</c:v>
                </c:pt>
                <c:pt idx="4993">
                  <c:v>45131</c:v>
                </c:pt>
                <c:pt idx="4994">
                  <c:v>45131</c:v>
                </c:pt>
                <c:pt idx="4995">
                  <c:v>45131</c:v>
                </c:pt>
                <c:pt idx="4996">
                  <c:v>45131</c:v>
                </c:pt>
                <c:pt idx="4997">
                  <c:v>45131</c:v>
                </c:pt>
                <c:pt idx="4998">
                  <c:v>45131</c:v>
                </c:pt>
                <c:pt idx="4999">
                  <c:v>45131</c:v>
                </c:pt>
                <c:pt idx="5000">
                  <c:v>45131</c:v>
                </c:pt>
                <c:pt idx="5001">
                  <c:v>45131</c:v>
                </c:pt>
                <c:pt idx="5002">
                  <c:v>45131</c:v>
                </c:pt>
                <c:pt idx="5003">
                  <c:v>45131</c:v>
                </c:pt>
                <c:pt idx="5004">
                  <c:v>45131</c:v>
                </c:pt>
                <c:pt idx="5005">
                  <c:v>45131</c:v>
                </c:pt>
                <c:pt idx="5006">
                  <c:v>45131</c:v>
                </c:pt>
                <c:pt idx="5007">
                  <c:v>45131</c:v>
                </c:pt>
                <c:pt idx="5008">
                  <c:v>45131</c:v>
                </c:pt>
                <c:pt idx="5009">
                  <c:v>45131</c:v>
                </c:pt>
                <c:pt idx="5010">
                  <c:v>45131</c:v>
                </c:pt>
                <c:pt idx="5011">
                  <c:v>45131</c:v>
                </c:pt>
                <c:pt idx="5012">
                  <c:v>45131</c:v>
                </c:pt>
                <c:pt idx="5013">
                  <c:v>45131</c:v>
                </c:pt>
                <c:pt idx="5014">
                  <c:v>45131</c:v>
                </c:pt>
                <c:pt idx="5015">
                  <c:v>45131</c:v>
                </c:pt>
                <c:pt idx="5016">
                  <c:v>45132</c:v>
                </c:pt>
                <c:pt idx="5017">
                  <c:v>45132</c:v>
                </c:pt>
                <c:pt idx="5018">
                  <c:v>45132</c:v>
                </c:pt>
                <c:pt idx="5019">
                  <c:v>45132</c:v>
                </c:pt>
                <c:pt idx="5020">
                  <c:v>45132</c:v>
                </c:pt>
                <c:pt idx="5021">
                  <c:v>45132</c:v>
                </c:pt>
                <c:pt idx="5022">
                  <c:v>45132</c:v>
                </c:pt>
                <c:pt idx="5023">
                  <c:v>45132</c:v>
                </c:pt>
                <c:pt idx="5024">
                  <c:v>45132</c:v>
                </c:pt>
                <c:pt idx="5025">
                  <c:v>45132</c:v>
                </c:pt>
                <c:pt idx="5026">
                  <c:v>45132</c:v>
                </c:pt>
                <c:pt idx="5027">
                  <c:v>45132</c:v>
                </c:pt>
                <c:pt idx="5028">
                  <c:v>45132</c:v>
                </c:pt>
                <c:pt idx="5029">
                  <c:v>45132</c:v>
                </c:pt>
                <c:pt idx="5030">
                  <c:v>45132</c:v>
                </c:pt>
                <c:pt idx="5031">
                  <c:v>45132</c:v>
                </c:pt>
                <c:pt idx="5032">
                  <c:v>45132</c:v>
                </c:pt>
                <c:pt idx="5033">
                  <c:v>45132</c:v>
                </c:pt>
                <c:pt idx="5034">
                  <c:v>45132</c:v>
                </c:pt>
                <c:pt idx="5035">
                  <c:v>45132</c:v>
                </c:pt>
                <c:pt idx="5036">
                  <c:v>45132</c:v>
                </c:pt>
                <c:pt idx="5037">
                  <c:v>45132</c:v>
                </c:pt>
                <c:pt idx="5038">
                  <c:v>45132</c:v>
                </c:pt>
                <c:pt idx="5039">
                  <c:v>45132</c:v>
                </c:pt>
                <c:pt idx="5040">
                  <c:v>45133</c:v>
                </c:pt>
                <c:pt idx="5041">
                  <c:v>45133</c:v>
                </c:pt>
                <c:pt idx="5042">
                  <c:v>45133</c:v>
                </c:pt>
                <c:pt idx="5043">
                  <c:v>45133</c:v>
                </c:pt>
                <c:pt idx="5044">
                  <c:v>45133</c:v>
                </c:pt>
                <c:pt idx="5045">
                  <c:v>45133</c:v>
                </c:pt>
                <c:pt idx="5046">
                  <c:v>45133</c:v>
                </c:pt>
                <c:pt idx="5047">
                  <c:v>45133</c:v>
                </c:pt>
                <c:pt idx="5048">
                  <c:v>45133</c:v>
                </c:pt>
                <c:pt idx="5049">
                  <c:v>45133</c:v>
                </c:pt>
                <c:pt idx="5050">
                  <c:v>45133</c:v>
                </c:pt>
                <c:pt idx="5051">
                  <c:v>45133</c:v>
                </c:pt>
                <c:pt idx="5052">
                  <c:v>45133</c:v>
                </c:pt>
                <c:pt idx="5053">
                  <c:v>45133</c:v>
                </c:pt>
                <c:pt idx="5054">
                  <c:v>45133</c:v>
                </c:pt>
                <c:pt idx="5055">
                  <c:v>45133</c:v>
                </c:pt>
                <c:pt idx="5056">
                  <c:v>45133</c:v>
                </c:pt>
                <c:pt idx="5057">
                  <c:v>45133</c:v>
                </c:pt>
                <c:pt idx="5058">
                  <c:v>45133</c:v>
                </c:pt>
                <c:pt idx="5059">
                  <c:v>45133</c:v>
                </c:pt>
                <c:pt idx="5060">
                  <c:v>45133</c:v>
                </c:pt>
                <c:pt idx="5061">
                  <c:v>45133</c:v>
                </c:pt>
                <c:pt idx="5062">
                  <c:v>45133</c:v>
                </c:pt>
                <c:pt idx="5063">
                  <c:v>45133</c:v>
                </c:pt>
                <c:pt idx="5064">
                  <c:v>45134</c:v>
                </c:pt>
                <c:pt idx="5065">
                  <c:v>45134</c:v>
                </c:pt>
                <c:pt idx="5066">
                  <c:v>45134</c:v>
                </c:pt>
                <c:pt idx="5067">
                  <c:v>45134</c:v>
                </c:pt>
                <c:pt idx="5068">
                  <c:v>45134</c:v>
                </c:pt>
                <c:pt idx="5069">
                  <c:v>45134</c:v>
                </c:pt>
                <c:pt idx="5070">
                  <c:v>45134</c:v>
                </c:pt>
                <c:pt idx="5071">
                  <c:v>45134</c:v>
                </c:pt>
                <c:pt idx="5072">
                  <c:v>45134</c:v>
                </c:pt>
                <c:pt idx="5073">
                  <c:v>45134</c:v>
                </c:pt>
                <c:pt idx="5074">
                  <c:v>45134</c:v>
                </c:pt>
                <c:pt idx="5075">
                  <c:v>45134</c:v>
                </c:pt>
                <c:pt idx="5076">
                  <c:v>45134</c:v>
                </c:pt>
                <c:pt idx="5077">
                  <c:v>45134</c:v>
                </c:pt>
                <c:pt idx="5078">
                  <c:v>45134</c:v>
                </c:pt>
                <c:pt idx="5079">
                  <c:v>45134</c:v>
                </c:pt>
                <c:pt idx="5080">
                  <c:v>45134</c:v>
                </c:pt>
                <c:pt idx="5081">
                  <c:v>45134</c:v>
                </c:pt>
                <c:pt idx="5082">
                  <c:v>45134</c:v>
                </c:pt>
                <c:pt idx="5083">
                  <c:v>45134</c:v>
                </c:pt>
                <c:pt idx="5084">
                  <c:v>45134</c:v>
                </c:pt>
                <c:pt idx="5085">
                  <c:v>45134</c:v>
                </c:pt>
                <c:pt idx="5086">
                  <c:v>45134</c:v>
                </c:pt>
                <c:pt idx="5087">
                  <c:v>45134</c:v>
                </c:pt>
                <c:pt idx="5088">
                  <c:v>45135</c:v>
                </c:pt>
                <c:pt idx="5089">
                  <c:v>45135</c:v>
                </c:pt>
                <c:pt idx="5090">
                  <c:v>45135</c:v>
                </c:pt>
                <c:pt idx="5091">
                  <c:v>45135</c:v>
                </c:pt>
                <c:pt idx="5092">
                  <c:v>45135</c:v>
                </c:pt>
                <c:pt idx="5093">
                  <c:v>45135</c:v>
                </c:pt>
                <c:pt idx="5094">
                  <c:v>45135</c:v>
                </c:pt>
                <c:pt idx="5095">
                  <c:v>45135</c:v>
                </c:pt>
                <c:pt idx="5096">
                  <c:v>45135</c:v>
                </c:pt>
                <c:pt idx="5097">
                  <c:v>45135</c:v>
                </c:pt>
                <c:pt idx="5098">
                  <c:v>45135</c:v>
                </c:pt>
                <c:pt idx="5099">
                  <c:v>45135</c:v>
                </c:pt>
                <c:pt idx="5100">
                  <c:v>45135</c:v>
                </c:pt>
                <c:pt idx="5101">
                  <c:v>45135</c:v>
                </c:pt>
                <c:pt idx="5102">
                  <c:v>45135</c:v>
                </c:pt>
                <c:pt idx="5103">
                  <c:v>45135</c:v>
                </c:pt>
                <c:pt idx="5104">
                  <c:v>45135</c:v>
                </c:pt>
                <c:pt idx="5105">
                  <c:v>45135</c:v>
                </c:pt>
                <c:pt idx="5106">
                  <c:v>45135</c:v>
                </c:pt>
                <c:pt idx="5107">
                  <c:v>45135</c:v>
                </c:pt>
                <c:pt idx="5108">
                  <c:v>45135</c:v>
                </c:pt>
                <c:pt idx="5109">
                  <c:v>45135</c:v>
                </c:pt>
                <c:pt idx="5110">
                  <c:v>45135</c:v>
                </c:pt>
                <c:pt idx="5111">
                  <c:v>45135</c:v>
                </c:pt>
                <c:pt idx="5112">
                  <c:v>45136</c:v>
                </c:pt>
                <c:pt idx="5113">
                  <c:v>45136</c:v>
                </c:pt>
                <c:pt idx="5114">
                  <c:v>45136</c:v>
                </c:pt>
                <c:pt idx="5115">
                  <c:v>45136</c:v>
                </c:pt>
                <c:pt idx="5116">
                  <c:v>45136</c:v>
                </c:pt>
                <c:pt idx="5117">
                  <c:v>45136</c:v>
                </c:pt>
                <c:pt idx="5118">
                  <c:v>45136</c:v>
                </c:pt>
                <c:pt idx="5119">
                  <c:v>45136</c:v>
                </c:pt>
                <c:pt idx="5120">
                  <c:v>45136</c:v>
                </c:pt>
                <c:pt idx="5121">
                  <c:v>45136</c:v>
                </c:pt>
                <c:pt idx="5122">
                  <c:v>45136</c:v>
                </c:pt>
                <c:pt idx="5123">
                  <c:v>45136</c:v>
                </c:pt>
                <c:pt idx="5124">
                  <c:v>45136</c:v>
                </c:pt>
                <c:pt idx="5125">
                  <c:v>45136</c:v>
                </c:pt>
                <c:pt idx="5126">
                  <c:v>45136</c:v>
                </c:pt>
                <c:pt idx="5127">
                  <c:v>45136</c:v>
                </c:pt>
                <c:pt idx="5128">
                  <c:v>45136</c:v>
                </c:pt>
                <c:pt idx="5129">
                  <c:v>45136</c:v>
                </c:pt>
                <c:pt idx="5130">
                  <c:v>45136</c:v>
                </c:pt>
                <c:pt idx="5131">
                  <c:v>45136</c:v>
                </c:pt>
                <c:pt idx="5132">
                  <c:v>45136</c:v>
                </c:pt>
                <c:pt idx="5133">
                  <c:v>45136</c:v>
                </c:pt>
                <c:pt idx="5134">
                  <c:v>45136</c:v>
                </c:pt>
                <c:pt idx="5135">
                  <c:v>45136</c:v>
                </c:pt>
                <c:pt idx="5136">
                  <c:v>45137</c:v>
                </c:pt>
                <c:pt idx="5137">
                  <c:v>45137</c:v>
                </c:pt>
                <c:pt idx="5138">
                  <c:v>45137</c:v>
                </c:pt>
                <c:pt idx="5139">
                  <c:v>45137</c:v>
                </c:pt>
                <c:pt idx="5140">
                  <c:v>45137</c:v>
                </c:pt>
                <c:pt idx="5141">
                  <c:v>45137</c:v>
                </c:pt>
                <c:pt idx="5142">
                  <c:v>45137</c:v>
                </c:pt>
                <c:pt idx="5143">
                  <c:v>45137</c:v>
                </c:pt>
                <c:pt idx="5144">
                  <c:v>45137</c:v>
                </c:pt>
                <c:pt idx="5145">
                  <c:v>45137</c:v>
                </c:pt>
                <c:pt idx="5146">
                  <c:v>45137</c:v>
                </c:pt>
                <c:pt idx="5147">
                  <c:v>45137</c:v>
                </c:pt>
                <c:pt idx="5148">
                  <c:v>45137</c:v>
                </c:pt>
                <c:pt idx="5149">
                  <c:v>45137</c:v>
                </c:pt>
                <c:pt idx="5150">
                  <c:v>45137</c:v>
                </c:pt>
                <c:pt idx="5151">
                  <c:v>45137</c:v>
                </c:pt>
                <c:pt idx="5152">
                  <c:v>45137</c:v>
                </c:pt>
                <c:pt idx="5153">
                  <c:v>45137</c:v>
                </c:pt>
                <c:pt idx="5154">
                  <c:v>45137</c:v>
                </c:pt>
                <c:pt idx="5155">
                  <c:v>45137</c:v>
                </c:pt>
                <c:pt idx="5156">
                  <c:v>45137</c:v>
                </c:pt>
                <c:pt idx="5157">
                  <c:v>45137</c:v>
                </c:pt>
                <c:pt idx="5158">
                  <c:v>45137</c:v>
                </c:pt>
                <c:pt idx="5159">
                  <c:v>45137</c:v>
                </c:pt>
                <c:pt idx="5160">
                  <c:v>45138</c:v>
                </c:pt>
                <c:pt idx="5161">
                  <c:v>45138</c:v>
                </c:pt>
                <c:pt idx="5162">
                  <c:v>45138</c:v>
                </c:pt>
                <c:pt idx="5163">
                  <c:v>45138</c:v>
                </c:pt>
                <c:pt idx="5164">
                  <c:v>45138</c:v>
                </c:pt>
                <c:pt idx="5165">
                  <c:v>45138</c:v>
                </c:pt>
                <c:pt idx="5166">
                  <c:v>45138</c:v>
                </c:pt>
                <c:pt idx="5167">
                  <c:v>45138</c:v>
                </c:pt>
                <c:pt idx="5168">
                  <c:v>45138</c:v>
                </c:pt>
                <c:pt idx="5169">
                  <c:v>45138</c:v>
                </c:pt>
                <c:pt idx="5170">
                  <c:v>45138</c:v>
                </c:pt>
                <c:pt idx="5171">
                  <c:v>45138</c:v>
                </c:pt>
                <c:pt idx="5172">
                  <c:v>45138</c:v>
                </c:pt>
                <c:pt idx="5173">
                  <c:v>45138</c:v>
                </c:pt>
                <c:pt idx="5174">
                  <c:v>45138</c:v>
                </c:pt>
                <c:pt idx="5175">
                  <c:v>45138</c:v>
                </c:pt>
                <c:pt idx="5176">
                  <c:v>45138</c:v>
                </c:pt>
                <c:pt idx="5177">
                  <c:v>45138</c:v>
                </c:pt>
                <c:pt idx="5178">
                  <c:v>45138</c:v>
                </c:pt>
                <c:pt idx="5179">
                  <c:v>45138</c:v>
                </c:pt>
                <c:pt idx="5180">
                  <c:v>45138</c:v>
                </c:pt>
                <c:pt idx="5181">
                  <c:v>45138</c:v>
                </c:pt>
                <c:pt idx="5182">
                  <c:v>45138</c:v>
                </c:pt>
                <c:pt idx="5183">
                  <c:v>45138</c:v>
                </c:pt>
                <c:pt idx="5184">
                  <c:v>45139</c:v>
                </c:pt>
                <c:pt idx="5185">
                  <c:v>45139</c:v>
                </c:pt>
                <c:pt idx="5186">
                  <c:v>45139</c:v>
                </c:pt>
                <c:pt idx="5187">
                  <c:v>45139</c:v>
                </c:pt>
                <c:pt idx="5188">
                  <c:v>45139</c:v>
                </c:pt>
                <c:pt idx="5189">
                  <c:v>45139</c:v>
                </c:pt>
                <c:pt idx="5190">
                  <c:v>45139</c:v>
                </c:pt>
                <c:pt idx="5191">
                  <c:v>45139</c:v>
                </c:pt>
                <c:pt idx="5192">
                  <c:v>45139</c:v>
                </c:pt>
                <c:pt idx="5193">
                  <c:v>45139</c:v>
                </c:pt>
                <c:pt idx="5194">
                  <c:v>45139</c:v>
                </c:pt>
                <c:pt idx="5195">
                  <c:v>45139</c:v>
                </c:pt>
                <c:pt idx="5196">
                  <c:v>45139</c:v>
                </c:pt>
                <c:pt idx="5197">
                  <c:v>45139</c:v>
                </c:pt>
                <c:pt idx="5198">
                  <c:v>45139</c:v>
                </c:pt>
                <c:pt idx="5199">
                  <c:v>45139</c:v>
                </c:pt>
                <c:pt idx="5200">
                  <c:v>45139</c:v>
                </c:pt>
                <c:pt idx="5201">
                  <c:v>45139</c:v>
                </c:pt>
                <c:pt idx="5202">
                  <c:v>45139</c:v>
                </c:pt>
                <c:pt idx="5203">
                  <c:v>45139</c:v>
                </c:pt>
                <c:pt idx="5204">
                  <c:v>45139</c:v>
                </c:pt>
                <c:pt idx="5205">
                  <c:v>45139</c:v>
                </c:pt>
                <c:pt idx="5206">
                  <c:v>45139</c:v>
                </c:pt>
                <c:pt idx="5207">
                  <c:v>45139</c:v>
                </c:pt>
                <c:pt idx="5208">
                  <c:v>45140</c:v>
                </c:pt>
                <c:pt idx="5209">
                  <c:v>45140</c:v>
                </c:pt>
                <c:pt idx="5210">
                  <c:v>45140</c:v>
                </c:pt>
                <c:pt idx="5211">
                  <c:v>45140</c:v>
                </c:pt>
                <c:pt idx="5212">
                  <c:v>45140</c:v>
                </c:pt>
                <c:pt idx="5213">
                  <c:v>45140</c:v>
                </c:pt>
                <c:pt idx="5214">
                  <c:v>45140</c:v>
                </c:pt>
                <c:pt idx="5215">
                  <c:v>45140</c:v>
                </c:pt>
                <c:pt idx="5216">
                  <c:v>45140</c:v>
                </c:pt>
                <c:pt idx="5217">
                  <c:v>45140</c:v>
                </c:pt>
                <c:pt idx="5218">
                  <c:v>45140</c:v>
                </c:pt>
                <c:pt idx="5219">
                  <c:v>45140</c:v>
                </c:pt>
                <c:pt idx="5220">
                  <c:v>45140</c:v>
                </c:pt>
                <c:pt idx="5221">
                  <c:v>45140</c:v>
                </c:pt>
                <c:pt idx="5222">
                  <c:v>45140</c:v>
                </c:pt>
                <c:pt idx="5223">
                  <c:v>45140</c:v>
                </c:pt>
                <c:pt idx="5224">
                  <c:v>45140</c:v>
                </c:pt>
                <c:pt idx="5225">
                  <c:v>45140</c:v>
                </c:pt>
                <c:pt idx="5226">
                  <c:v>45140</c:v>
                </c:pt>
                <c:pt idx="5227">
                  <c:v>45140</c:v>
                </c:pt>
                <c:pt idx="5228">
                  <c:v>45140</c:v>
                </c:pt>
                <c:pt idx="5229">
                  <c:v>45140</c:v>
                </c:pt>
                <c:pt idx="5230">
                  <c:v>45140</c:v>
                </c:pt>
                <c:pt idx="5231">
                  <c:v>45140</c:v>
                </c:pt>
                <c:pt idx="5232">
                  <c:v>45141</c:v>
                </c:pt>
                <c:pt idx="5233">
                  <c:v>45141</c:v>
                </c:pt>
                <c:pt idx="5234">
                  <c:v>45141</c:v>
                </c:pt>
                <c:pt idx="5235">
                  <c:v>45141</c:v>
                </c:pt>
                <c:pt idx="5236">
                  <c:v>45141</c:v>
                </c:pt>
                <c:pt idx="5237">
                  <c:v>45141</c:v>
                </c:pt>
                <c:pt idx="5238">
                  <c:v>45141</c:v>
                </c:pt>
                <c:pt idx="5239">
                  <c:v>45141</c:v>
                </c:pt>
                <c:pt idx="5240">
                  <c:v>45141</c:v>
                </c:pt>
                <c:pt idx="5241">
                  <c:v>45141</c:v>
                </c:pt>
                <c:pt idx="5242">
                  <c:v>45141</c:v>
                </c:pt>
                <c:pt idx="5243">
                  <c:v>45141</c:v>
                </c:pt>
                <c:pt idx="5244">
                  <c:v>45141</c:v>
                </c:pt>
                <c:pt idx="5245">
                  <c:v>45141</c:v>
                </c:pt>
                <c:pt idx="5246">
                  <c:v>45141</c:v>
                </c:pt>
                <c:pt idx="5247">
                  <c:v>45141</c:v>
                </c:pt>
                <c:pt idx="5248">
                  <c:v>45141</c:v>
                </c:pt>
                <c:pt idx="5249">
                  <c:v>45141</c:v>
                </c:pt>
                <c:pt idx="5250">
                  <c:v>45141</c:v>
                </c:pt>
                <c:pt idx="5251">
                  <c:v>45141</c:v>
                </c:pt>
                <c:pt idx="5252">
                  <c:v>45141</c:v>
                </c:pt>
                <c:pt idx="5253">
                  <c:v>45141</c:v>
                </c:pt>
                <c:pt idx="5254">
                  <c:v>45141</c:v>
                </c:pt>
                <c:pt idx="5255">
                  <c:v>45141</c:v>
                </c:pt>
                <c:pt idx="5256">
                  <c:v>45142</c:v>
                </c:pt>
                <c:pt idx="5257">
                  <c:v>45142</c:v>
                </c:pt>
                <c:pt idx="5258">
                  <c:v>45142</c:v>
                </c:pt>
                <c:pt idx="5259">
                  <c:v>45142</c:v>
                </c:pt>
                <c:pt idx="5260">
                  <c:v>45142</c:v>
                </c:pt>
                <c:pt idx="5261">
                  <c:v>45142</c:v>
                </c:pt>
                <c:pt idx="5262">
                  <c:v>45142</c:v>
                </c:pt>
                <c:pt idx="5263">
                  <c:v>45142</c:v>
                </c:pt>
                <c:pt idx="5264">
                  <c:v>45142</c:v>
                </c:pt>
                <c:pt idx="5265">
                  <c:v>45142</c:v>
                </c:pt>
                <c:pt idx="5266">
                  <c:v>45142</c:v>
                </c:pt>
                <c:pt idx="5267">
                  <c:v>45142</c:v>
                </c:pt>
                <c:pt idx="5268">
                  <c:v>45142</c:v>
                </c:pt>
                <c:pt idx="5269">
                  <c:v>45142</c:v>
                </c:pt>
                <c:pt idx="5270">
                  <c:v>45142</c:v>
                </c:pt>
                <c:pt idx="5271">
                  <c:v>45142</c:v>
                </c:pt>
                <c:pt idx="5272">
                  <c:v>45142</c:v>
                </c:pt>
                <c:pt idx="5273">
                  <c:v>45142</c:v>
                </c:pt>
                <c:pt idx="5274">
                  <c:v>45142</c:v>
                </c:pt>
                <c:pt idx="5275">
                  <c:v>45142</c:v>
                </c:pt>
                <c:pt idx="5276">
                  <c:v>45142</c:v>
                </c:pt>
                <c:pt idx="5277">
                  <c:v>45142</c:v>
                </c:pt>
                <c:pt idx="5278">
                  <c:v>45142</c:v>
                </c:pt>
                <c:pt idx="5279">
                  <c:v>45142</c:v>
                </c:pt>
                <c:pt idx="5280">
                  <c:v>45143</c:v>
                </c:pt>
                <c:pt idx="5281">
                  <c:v>45143</c:v>
                </c:pt>
                <c:pt idx="5282">
                  <c:v>45143</c:v>
                </c:pt>
                <c:pt idx="5283">
                  <c:v>45143</c:v>
                </c:pt>
                <c:pt idx="5284">
                  <c:v>45143</c:v>
                </c:pt>
                <c:pt idx="5285">
                  <c:v>45143</c:v>
                </c:pt>
                <c:pt idx="5286">
                  <c:v>45143</c:v>
                </c:pt>
                <c:pt idx="5287">
                  <c:v>45143</c:v>
                </c:pt>
                <c:pt idx="5288">
                  <c:v>45143</c:v>
                </c:pt>
                <c:pt idx="5289">
                  <c:v>45143</c:v>
                </c:pt>
                <c:pt idx="5290">
                  <c:v>45143</c:v>
                </c:pt>
                <c:pt idx="5291">
                  <c:v>45143</c:v>
                </c:pt>
                <c:pt idx="5292">
                  <c:v>45143</c:v>
                </c:pt>
                <c:pt idx="5293">
                  <c:v>45143</c:v>
                </c:pt>
                <c:pt idx="5294">
                  <c:v>45143</c:v>
                </c:pt>
                <c:pt idx="5295">
                  <c:v>45143</c:v>
                </c:pt>
                <c:pt idx="5296">
                  <c:v>45143</c:v>
                </c:pt>
                <c:pt idx="5297">
                  <c:v>45143</c:v>
                </c:pt>
                <c:pt idx="5298">
                  <c:v>45143</c:v>
                </c:pt>
                <c:pt idx="5299">
                  <c:v>45143</c:v>
                </c:pt>
                <c:pt idx="5300">
                  <c:v>45143</c:v>
                </c:pt>
                <c:pt idx="5301">
                  <c:v>45143</c:v>
                </c:pt>
                <c:pt idx="5302">
                  <c:v>45143</c:v>
                </c:pt>
                <c:pt idx="5303">
                  <c:v>45143</c:v>
                </c:pt>
                <c:pt idx="5304">
                  <c:v>45144</c:v>
                </c:pt>
                <c:pt idx="5305">
                  <c:v>45144</c:v>
                </c:pt>
                <c:pt idx="5306">
                  <c:v>45144</c:v>
                </c:pt>
                <c:pt idx="5307">
                  <c:v>45144</c:v>
                </c:pt>
                <c:pt idx="5308">
                  <c:v>45144</c:v>
                </c:pt>
                <c:pt idx="5309">
                  <c:v>45144</c:v>
                </c:pt>
                <c:pt idx="5310">
                  <c:v>45144</c:v>
                </c:pt>
                <c:pt idx="5311">
                  <c:v>45144</c:v>
                </c:pt>
                <c:pt idx="5312">
                  <c:v>45144</c:v>
                </c:pt>
                <c:pt idx="5313">
                  <c:v>45144</c:v>
                </c:pt>
                <c:pt idx="5314">
                  <c:v>45144</c:v>
                </c:pt>
                <c:pt idx="5315">
                  <c:v>45144</c:v>
                </c:pt>
                <c:pt idx="5316">
                  <c:v>45144</c:v>
                </c:pt>
                <c:pt idx="5317">
                  <c:v>45144</c:v>
                </c:pt>
                <c:pt idx="5318">
                  <c:v>45144</c:v>
                </c:pt>
                <c:pt idx="5319">
                  <c:v>45144</c:v>
                </c:pt>
                <c:pt idx="5320">
                  <c:v>45144</c:v>
                </c:pt>
                <c:pt idx="5321">
                  <c:v>45144</c:v>
                </c:pt>
                <c:pt idx="5322">
                  <c:v>45144</c:v>
                </c:pt>
                <c:pt idx="5323">
                  <c:v>45144</c:v>
                </c:pt>
                <c:pt idx="5324">
                  <c:v>45144</c:v>
                </c:pt>
                <c:pt idx="5325">
                  <c:v>45144</c:v>
                </c:pt>
                <c:pt idx="5326">
                  <c:v>45144</c:v>
                </c:pt>
                <c:pt idx="5327">
                  <c:v>45144</c:v>
                </c:pt>
                <c:pt idx="5328">
                  <c:v>45145</c:v>
                </c:pt>
                <c:pt idx="5329">
                  <c:v>45145</c:v>
                </c:pt>
                <c:pt idx="5330">
                  <c:v>45145</c:v>
                </c:pt>
                <c:pt idx="5331">
                  <c:v>45145</c:v>
                </c:pt>
                <c:pt idx="5332">
                  <c:v>45145</c:v>
                </c:pt>
                <c:pt idx="5333">
                  <c:v>45145</c:v>
                </c:pt>
                <c:pt idx="5334">
                  <c:v>45145</c:v>
                </c:pt>
                <c:pt idx="5335">
                  <c:v>45145</c:v>
                </c:pt>
                <c:pt idx="5336">
                  <c:v>45145</c:v>
                </c:pt>
                <c:pt idx="5337">
                  <c:v>45145</c:v>
                </c:pt>
                <c:pt idx="5338">
                  <c:v>45145</c:v>
                </c:pt>
                <c:pt idx="5339">
                  <c:v>45145</c:v>
                </c:pt>
                <c:pt idx="5340">
                  <c:v>45145</c:v>
                </c:pt>
                <c:pt idx="5341">
                  <c:v>45145</c:v>
                </c:pt>
                <c:pt idx="5342">
                  <c:v>45145</c:v>
                </c:pt>
                <c:pt idx="5343">
                  <c:v>45145</c:v>
                </c:pt>
                <c:pt idx="5344">
                  <c:v>45145</c:v>
                </c:pt>
                <c:pt idx="5345">
                  <c:v>45145</c:v>
                </c:pt>
                <c:pt idx="5346">
                  <c:v>45145</c:v>
                </c:pt>
                <c:pt idx="5347">
                  <c:v>45145</c:v>
                </c:pt>
                <c:pt idx="5348">
                  <c:v>45145</c:v>
                </c:pt>
                <c:pt idx="5349">
                  <c:v>45145</c:v>
                </c:pt>
                <c:pt idx="5350">
                  <c:v>45145</c:v>
                </c:pt>
                <c:pt idx="5351">
                  <c:v>45145</c:v>
                </c:pt>
                <c:pt idx="5352">
                  <c:v>45146</c:v>
                </c:pt>
                <c:pt idx="5353">
                  <c:v>45146</c:v>
                </c:pt>
                <c:pt idx="5354">
                  <c:v>45146</c:v>
                </c:pt>
                <c:pt idx="5355">
                  <c:v>45146</c:v>
                </c:pt>
                <c:pt idx="5356">
                  <c:v>45146</c:v>
                </c:pt>
                <c:pt idx="5357">
                  <c:v>45146</c:v>
                </c:pt>
                <c:pt idx="5358">
                  <c:v>45146</c:v>
                </c:pt>
                <c:pt idx="5359">
                  <c:v>45146</c:v>
                </c:pt>
                <c:pt idx="5360">
                  <c:v>45146</c:v>
                </c:pt>
                <c:pt idx="5361">
                  <c:v>45146</c:v>
                </c:pt>
                <c:pt idx="5362">
                  <c:v>45146</c:v>
                </c:pt>
                <c:pt idx="5363">
                  <c:v>45146</c:v>
                </c:pt>
                <c:pt idx="5364">
                  <c:v>45146</c:v>
                </c:pt>
                <c:pt idx="5365">
                  <c:v>45146</c:v>
                </c:pt>
                <c:pt idx="5366">
                  <c:v>45146</c:v>
                </c:pt>
                <c:pt idx="5367">
                  <c:v>45146</c:v>
                </c:pt>
                <c:pt idx="5368">
                  <c:v>45146</c:v>
                </c:pt>
                <c:pt idx="5369">
                  <c:v>45146</c:v>
                </c:pt>
                <c:pt idx="5370">
                  <c:v>45146</c:v>
                </c:pt>
                <c:pt idx="5371">
                  <c:v>45146</c:v>
                </c:pt>
                <c:pt idx="5372">
                  <c:v>45146</c:v>
                </c:pt>
                <c:pt idx="5373">
                  <c:v>45146</c:v>
                </c:pt>
                <c:pt idx="5374">
                  <c:v>45146</c:v>
                </c:pt>
                <c:pt idx="5375">
                  <c:v>45146</c:v>
                </c:pt>
                <c:pt idx="5376">
                  <c:v>45147</c:v>
                </c:pt>
                <c:pt idx="5377">
                  <c:v>45147</c:v>
                </c:pt>
                <c:pt idx="5378">
                  <c:v>45147</c:v>
                </c:pt>
                <c:pt idx="5379">
                  <c:v>45147</c:v>
                </c:pt>
                <c:pt idx="5380">
                  <c:v>45147</c:v>
                </c:pt>
                <c:pt idx="5381">
                  <c:v>45147</c:v>
                </c:pt>
                <c:pt idx="5382">
                  <c:v>45147</c:v>
                </c:pt>
                <c:pt idx="5383">
                  <c:v>45147</c:v>
                </c:pt>
                <c:pt idx="5384">
                  <c:v>45147</c:v>
                </c:pt>
                <c:pt idx="5385">
                  <c:v>45147</c:v>
                </c:pt>
                <c:pt idx="5386">
                  <c:v>45147</c:v>
                </c:pt>
                <c:pt idx="5387">
                  <c:v>45147</c:v>
                </c:pt>
                <c:pt idx="5388">
                  <c:v>45147</c:v>
                </c:pt>
                <c:pt idx="5389">
                  <c:v>45147</c:v>
                </c:pt>
                <c:pt idx="5390">
                  <c:v>45147</c:v>
                </c:pt>
                <c:pt idx="5391">
                  <c:v>45147</c:v>
                </c:pt>
                <c:pt idx="5392">
                  <c:v>45147</c:v>
                </c:pt>
                <c:pt idx="5393">
                  <c:v>45147</c:v>
                </c:pt>
                <c:pt idx="5394">
                  <c:v>45147</c:v>
                </c:pt>
                <c:pt idx="5395">
                  <c:v>45147</c:v>
                </c:pt>
                <c:pt idx="5396">
                  <c:v>45147</c:v>
                </c:pt>
                <c:pt idx="5397">
                  <c:v>45147</c:v>
                </c:pt>
                <c:pt idx="5398">
                  <c:v>45147</c:v>
                </c:pt>
                <c:pt idx="5399">
                  <c:v>45147</c:v>
                </c:pt>
                <c:pt idx="5400">
                  <c:v>45148</c:v>
                </c:pt>
                <c:pt idx="5401">
                  <c:v>45148</c:v>
                </c:pt>
                <c:pt idx="5402">
                  <c:v>45148</c:v>
                </c:pt>
                <c:pt idx="5403">
                  <c:v>45148</c:v>
                </c:pt>
                <c:pt idx="5404">
                  <c:v>45148</c:v>
                </c:pt>
                <c:pt idx="5405">
                  <c:v>45148</c:v>
                </c:pt>
                <c:pt idx="5406">
                  <c:v>45148</c:v>
                </c:pt>
                <c:pt idx="5407">
                  <c:v>45148</c:v>
                </c:pt>
                <c:pt idx="5408">
                  <c:v>45148</c:v>
                </c:pt>
                <c:pt idx="5409">
                  <c:v>45148</c:v>
                </c:pt>
                <c:pt idx="5410">
                  <c:v>45148</c:v>
                </c:pt>
                <c:pt idx="5411">
                  <c:v>45148</c:v>
                </c:pt>
                <c:pt idx="5412">
                  <c:v>45148</c:v>
                </c:pt>
                <c:pt idx="5413">
                  <c:v>45148</c:v>
                </c:pt>
                <c:pt idx="5414">
                  <c:v>45148</c:v>
                </c:pt>
                <c:pt idx="5415">
                  <c:v>45148</c:v>
                </c:pt>
                <c:pt idx="5416">
                  <c:v>45148</c:v>
                </c:pt>
                <c:pt idx="5417">
                  <c:v>45148</c:v>
                </c:pt>
                <c:pt idx="5418">
                  <c:v>45148</c:v>
                </c:pt>
                <c:pt idx="5419">
                  <c:v>45148</c:v>
                </c:pt>
                <c:pt idx="5420">
                  <c:v>45148</c:v>
                </c:pt>
                <c:pt idx="5421">
                  <c:v>45148</c:v>
                </c:pt>
                <c:pt idx="5422">
                  <c:v>45148</c:v>
                </c:pt>
                <c:pt idx="5423">
                  <c:v>45148</c:v>
                </c:pt>
                <c:pt idx="5424">
                  <c:v>45149</c:v>
                </c:pt>
                <c:pt idx="5425">
                  <c:v>45149</c:v>
                </c:pt>
                <c:pt idx="5426">
                  <c:v>45149</c:v>
                </c:pt>
                <c:pt idx="5427">
                  <c:v>45149</c:v>
                </c:pt>
                <c:pt idx="5428">
                  <c:v>45149</c:v>
                </c:pt>
                <c:pt idx="5429">
                  <c:v>45149</c:v>
                </c:pt>
                <c:pt idx="5430">
                  <c:v>45149</c:v>
                </c:pt>
                <c:pt idx="5431">
                  <c:v>45149</c:v>
                </c:pt>
                <c:pt idx="5432">
                  <c:v>45149</c:v>
                </c:pt>
                <c:pt idx="5433">
                  <c:v>45149</c:v>
                </c:pt>
                <c:pt idx="5434">
                  <c:v>45149</c:v>
                </c:pt>
                <c:pt idx="5435">
                  <c:v>45149</c:v>
                </c:pt>
                <c:pt idx="5436">
                  <c:v>45149</c:v>
                </c:pt>
                <c:pt idx="5437">
                  <c:v>45149</c:v>
                </c:pt>
                <c:pt idx="5438">
                  <c:v>45149</c:v>
                </c:pt>
                <c:pt idx="5439">
                  <c:v>45149</c:v>
                </c:pt>
                <c:pt idx="5440">
                  <c:v>45149</c:v>
                </c:pt>
                <c:pt idx="5441">
                  <c:v>45149</c:v>
                </c:pt>
                <c:pt idx="5442">
                  <c:v>45149</c:v>
                </c:pt>
                <c:pt idx="5443">
                  <c:v>45149</c:v>
                </c:pt>
                <c:pt idx="5444">
                  <c:v>45149</c:v>
                </c:pt>
                <c:pt idx="5445">
                  <c:v>45149</c:v>
                </c:pt>
                <c:pt idx="5446">
                  <c:v>45149</c:v>
                </c:pt>
                <c:pt idx="5447">
                  <c:v>45149</c:v>
                </c:pt>
                <c:pt idx="5448">
                  <c:v>45150</c:v>
                </c:pt>
                <c:pt idx="5449">
                  <c:v>45150</c:v>
                </c:pt>
                <c:pt idx="5450">
                  <c:v>45150</c:v>
                </c:pt>
                <c:pt idx="5451">
                  <c:v>45150</c:v>
                </c:pt>
                <c:pt idx="5452">
                  <c:v>45150</c:v>
                </c:pt>
                <c:pt idx="5453">
                  <c:v>45150</c:v>
                </c:pt>
                <c:pt idx="5454">
                  <c:v>45150</c:v>
                </c:pt>
                <c:pt idx="5455">
                  <c:v>45150</c:v>
                </c:pt>
                <c:pt idx="5456">
                  <c:v>45150</c:v>
                </c:pt>
                <c:pt idx="5457">
                  <c:v>45150</c:v>
                </c:pt>
                <c:pt idx="5458">
                  <c:v>45150</c:v>
                </c:pt>
                <c:pt idx="5459">
                  <c:v>45150</c:v>
                </c:pt>
                <c:pt idx="5460">
                  <c:v>45150</c:v>
                </c:pt>
                <c:pt idx="5461">
                  <c:v>45150</c:v>
                </c:pt>
                <c:pt idx="5462">
                  <c:v>45150</c:v>
                </c:pt>
                <c:pt idx="5463">
                  <c:v>45150</c:v>
                </c:pt>
                <c:pt idx="5464">
                  <c:v>45150</c:v>
                </c:pt>
                <c:pt idx="5465">
                  <c:v>45150</c:v>
                </c:pt>
                <c:pt idx="5466">
                  <c:v>45150</c:v>
                </c:pt>
                <c:pt idx="5467">
                  <c:v>45150</c:v>
                </c:pt>
                <c:pt idx="5468">
                  <c:v>45150</c:v>
                </c:pt>
                <c:pt idx="5469">
                  <c:v>45150</c:v>
                </c:pt>
                <c:pt idx="5470">
                  <c:v>45150</c:v>
                </c:pt>
                <c:pt idx="5471">
                  <c:v>45150</c:v>
                </c:pt>
                <c:pt idx="5472">
                  <c:v>45151</c:v>
                </c:pt>
                <c:pt idx="5473">
                  <c:v>45151</c:v>
                </c:pt>
                <c:pt idx="5474">
                  <c:v>45151</c:v>
                </c:pt>
                <c:pt idx="5475">
                  <c:v>45151</c:v>
                </c:pt>
                <c:pt idx="5476">
                  <c:v>45151</c:v>
                </c:pt>
                <c:pt idx="5477">
                  <c:v>45151</c:v>
                </c:pt>
                <c:pt idx="5478">
                  <c:v>45151</c:v>
                </c:pt>
                <c:pt idx="5479">
                  <c:v>45151</c:v>
                </c:pt>
                <c:pt idx="5480">
                  <c:v>45151</c:v>
                </c:pt>
                <c:pt idx="5481">
                  <c:v>45151</c:v>
                </c:pt>
                <c:pt idx="5482">
                  <c:v>45151</c:v>
                </c:pt>
                <c:pt idx="5483">
                  <c:v>45151</c:v>
                </c:pt>
                <c:pt idx="5484">
                  <c:v>45151</c:v>
                </c:pt>
                <c:pt idx="5485">
                  <c:v>45151</c:v>
                </c:pt>
                <c:pt idx="5486">
                  <c:v>45151</c:v>
                </c:pt>
                <c:pt idx="5487">
                  <c:v>45151</c:v>
                </c:pt>
                <c:pt idx="5488">
                  <c:v>45151</c:v>
                </c:pt>
                <c:pt idx="5489">
                  <c:v>45151</c:v>
                </c:pt>
                <c:pt idx="5490">
                  <c:v>45151</c:v>
                </c:pt>
                <c:pt idx="5491">
                  <c:v>45151</c:v>
                </c:pt>
                <c:pt idx="5492">
                  <c:v>45151</c:v>
                </c:pt>
                <c:pt idx="5493">
                  <c:v>45151</c:v>
                </c:pt>
                <c:pt idx="5494">
                  <c:v>45151</c:v>
                </c:pt>
                <c:pt idx="5495">
                  <c:v>45151</c:v>
                </c:pt>
                <c:pt idx="5496">
                  <c:v>45152</c:v>
                </c:pt>
                <c:pt idx="5497">
                  <c:v>45152</c:v>
                </c:pt>
                <c:pt idx="5498">
                  <c:v>45152</c:v>
                </c:pt>
                <c:pt idx="5499">
                  <c:v>45152</c:v>
                </c:pt>
                <c:pt idx="5500">
                  <c:v>45152</c:v>
                </c:pt>
                <c:pt idx="5501">
                  <c:v>45152</c:v>
                </c:pt>
                <c:pt idx="5502">
                  <c:v>45152</c:v>
                </c:pt>
                <c:pt idx="5503">
                  <c:v>45152</c:v>
                </c:pt>
                <c:pt idx="5504">
                  <c:v>45152</c:v>
                </c:pt>
                <c:pt idx="5505">
                  <c:v>45152</c:v>
                </c:pt>
                <c:pt idx="5506">
                  <c:v>45152</c:v>
                </c:pt>
                <c:pt idx="5507">
                  <c:v>45152</c:v>
                </c:pt>
                <c:pt idx="5508">
                  <c:v>45152</c:v>
                </c:pt>
                <c:pt idx="5509">
                  <c:v>45152</c:v>
                </c:pt>
                <c:pt idx="5510">
                  <c:v>45152</c:v>
                </c:pt>
                <c:pt idx="5511">
                  <c:v>45152</c:v>
                </c:pt>
                <c:pt idx="5512">
                  <c:v>45152</c:v>
                </c:pt>
                <c:pt idx="5513">
                  <c:v>45152</c:v>
                </c:pt>
                <c:pt idx="5514">
                  <c:v>45152</c:v>
                </c:pt>
                <c:pt idx="5515">
                  <c:v>45152</c:v>
                </c:pt>
                <c:pt idx="5516">
                  <c:v>45152</c:v>
                </c:pt>
                <c:pt idx="5517">
                  <c:v>45152</c:v>
                </c:pt>
                <c:pt idx="5518">
                  <c:v>45152</c:v>
                </c:pt>
                <c:pt idx="5519">
                  <c:v>45152</c:v>
                </c:pt>
                <c:pt idx="5520">
                  <c:v>45153</c:v>
                </c:pt>
                <c:pt idx="5521">
                  <c:v>45153</c:v>
                </c:pt>
                <c:pt idx="5522">
                  <c:v>45153</c:v>
                </c:pt>
                <c:pt idx="5523">
                  <c:v>45153</c:v>
                </c:pt>
                <c:pt idx="5524">
                  <c:v>45153</c:v>
                </c:pt>
                <c:pt idx="5525">
                  <c:v>45153</c:v>
                </c:pt>
                <c:pt idx="5526">
                  <c:v>45153</c:v>
                </c:pt>
                <c:pt idx="5527">
                  <c:v>45153</c:v>
                </c:pt>
                <c:pt idx="5528">
                  <c:v>45153</c:v>
                </c:pt>
                <c:pt idx="5529">
                  <c:v>45153</c:v>
                </c:pt>
                <c:pt idx="5530">
                  <c:v>45153</c:v>
                </c:pt>
                <c:pt idx="5531">
                  <c:v>45153</c:v>
                </c:pt>
                <c:pt idx="5532">
                  <c:v>45153</c:v>
                </c:pt>
                <c:pt idx="5533">
                  <c:v>45153</c:v>
                </c:pt>
                <c:pt idx="5534">
                  <c:v>45153</c:v>
                </c:pt>
                <c:pt idx="5535">
                  <c:v>45153</c:v>
                </c:pt>
                <c:pt idx="5536">
                  <c:v>45153</c:v>
                </c:pt>
                <c:pt idx="5537">
                  <c:v>45153</c:v>
                </c:pt>
                <c:pt idx="5538">
                  <c:v>45153</c:v>
                </c:pt>
                <c:pt idx="5539">
                  <c:v>45153</c:v>
                </c:pt>
                <c:pt idx="5540">
                  <c:v>45153</c:v>
                </c:pt>
                <c:pt idx="5541">
                  <c:v>45153</c:v>
                </c:pt>
                <c:pt idx="5542">
                  <c:v>45153</c:v>
                </c:pt>
                <c:pt idx="5543">
                  <c:v>45153</c:v>
                </c:pt>
                <c:pt idx="5544">
                  <c:v>45154</c:v>
                </c:pt>
                <c:pt idx="5545">
                  <c:v>45154</c:v>
                </c:pt>
                <c:pt idx="5546">
                  <c:v>45154</c:v>
                </c:pt>
                <c:pt idx="5547">
                  <c:v>45154</c:v>
                </c:pt>
                <c:pt idx="5548">
                  <c:v>45154</c:v>
                </c:pt>
                <c:pt idx="5549">
                  <c:v>45154</c:v>
                </c:pt>
                <c:pt idx="5550">
                  <c:v>45154</c:v>
                </c:pt>
                <c:pt idx="5551">
                  <c:v>45154</c:v>
                </c:pt>
                <c:pt idx="5552">
                  <c:v>45154</c:v>
                </c:pt>
                <c:pt idx="5553">
                  <c:v>45154</c:v>
                </c:pt>
                <c:pt idx="5554">
                  <c:v>45154</c:v>
                </c:pt>
                <c:pt idx="5555">
                  <c:v>45154</c:v>
                </c:pt>
                <c:pt idx="5556">
                  <c:v>45154</c:v>
                </c:pt>
                <c:pt idx="5557">
                  <c:v>45154</c:v>
                </c:pt>
                <c:pt idx="5558">
                  <c:v>45154</c:v>
                </c:pt>
                <c:pt idx="5559">
                  <c:v>45154</c:v>
                </c:pt>
                <c:pt idx="5560">
                  <c:v>45154</c:v>
                </c:pt>
                <c:pt idx="5561">
                  <c:v>45154</c:v>
                </c:pt>
                <c:pt idx="5562">
                  <c:v>45154</c:v>
                </c:pt>
                <c:pt idx="5563">
                  <c:v>45154</c:v>
                </c:pt>
                <c:pt idx="5564">
                  <c:v>45154</c:v>
                </c:pt>
                <c:pt idx="5565">
                  <c:v>45154</c:v>
                </c:pt>
                <c:pt idx="5566">
                  <c:v>45154</c:v>
                </c:pt>
                <c:pt idx="5567">
                  <c:v>45154</c:v>
                </c:pt>
                <c:pt idx="5568">
                  <c:v>45155</c:v>
                </c:pt>
                <c:pt idx="5569">
                  <c:v>45155</c:v>
                </c:pt>
                <c:pt idx="5570">
                  <c:v>45155</c:v>
                </c:pt>
                <c:pt idx="5571">
                  <c:v>45155</c:v>
                </c:pt>
                <c:pt idx="5572">
                  <c:v>45155</c:v>
                </c:pt>
                <c:pt idx="5573">
                  <c:v>45155</c:v>
                </c:pt>
                <c:pt idx="5574">
                  <c:v>45155</c:v>
                </c:pt>
                <c:pt idx="5575">
                  <c:v>45155</c:v>
                </c:pt>
                <c:pt idx="5576">
                  <c:v>45155</c:v>
                </c:pt>
                <c:pt idx="5577">
                  <c:v>45155</c:v>
                </c:pt>
                <c:pt idx="5578">
                  <c:v>45155</c:v>
                </c:pt>
                <c:pt idx="5579">
                  <c:v>45155</c:v>
                </c:pt>
                <c:pt idx="5580">
                  <c:v>45155</c:v>
                </c:pt>
                <c:pt idx="5581">
                  <c:v>45155</c:v>
                </c:pt>
                <c:pt idx="5582">
                  <c:v>45155</c:v>
                </c:pt>
                <c:pt idx="5583">
                  <c:v>45155</c:v>
                </c:pt>
                <c:pt idx="5584">
                  <c:v>45155</c:v>
                </c:pt>
                <c:pt idx="5585">
                  <c:v>45155</c:v>
                </c:pt>
                <c:pt idx="5586">
                  <c:v>45155</c:v>
                </c:pt>
                <c:pt idx="5587">
                  <c:v>45155</c:v>
                </c:pt>
                <c:pt idx="5588">
                  <c:v>45155</c:v>
                </c:pt>
                <c:pt idx="5589">
                  <c:v>45155</c:v>
                </c:pt>
                <c:pt idx="5590">
                  <c:v>45155</c:v>
                </c:pt>
                <c:pt idx="5591">
                  <c:v>45155</c:v>
                </c:pt>
                <c:pt idx="5592">
                  <c:v>45156</c:v>
                </c:pt>
                <c:pt idx="5593">
                  <c:v>45156</c:v>
                </c:pt>
                <c:pt idx="5594">
                  <c:v>45156</c:v>
                </c:pt>
                <c:pt idx="5595">
                  <c:v>45156</c:v>
                </c:pt>
                <c:pt idx="5596">
                  <c:v>45156</c:v>
                </c:pt>
                <c:pt idx="5597">
                  <c:v>45156</c:v>
                </c:pt>
                <c:pt idx="5598">
                  <c:v>45156</c:v>
                </c:pt>
                <c:pt idx="5599">
                  <c:v>45156</c:v>
                </c:pt>
                <c:pt idx="5600">
                  <c:v>45156</c:v>
                </c:pt>
                <c:pt idx="5601">
                  <c:v>45156</c:v>
                </c:pt>
                <c:pt idx="5602">
                  <c:v>45156</c:v>
                </c:pt>
                <c:pt idx="5603">
                  <c:v>45156</c:v>
                </c:pt>
                <c:pt idx="5604">
                  <c:v>45156</c:v>
                </c:pt>
                <c:pt idx="5605">
                  <c:v>45156</c:v>
                </c:pt>
                <c:pt idx="5606">
                  <c:v>45156</c:v>
                </c:pt>
                <c:pt idx="5607">
                  <c:v>45156</c:v>
                </c:pt>
                <c:pt idx="5608">
                  <c:v>45156</c:v>
                </c:pt>
                <c:pt idx="5609">
                  <c:v>45156</c:v>
                </c:pt>
                <c:pt idx="5610">
                  <c:v>45156</c:v>
                </c:pt>
                <c:pt idx="5611">
                  <c:v>45156</c:v>
                </c:pt>
                <c:pt idx="5612">
                  <c:v>45156</c:v>
                </c:pt>
                <c:pt idx="5613">
                  <c:v>45156</c:v>
                </c:pt>
                <c:pt idx="5614">
                  <c:v>45156</c:v>
                </c:pt>
                <c:pt idx="5615">
                  <c:v>45156</c:v>
                </c:pt>
                <c:pt idx="5616">
                  <c:v>45157</c:v>
                </c:pt>
                <c:pt idx="5617">
                  <c:v>45157</c:v>
                </c:pt>
                <c:pt idx="5618">
                  <c:v>45157</c:v>
                </c:pt>
                <c:pt idx="5619">
                  <c:v>45157</c:v>
                </c:pt>
                <c:pt idx="5620">
                  <c:v>45157</c:v>
                </c:pt>
                <c:pt idx="5621">
                  <c:v>45157</c:v>
                </c:pt>
                <c:pt idx="5622">
                  <c:v>45157</c:v>
                </c:pt>
                <c:pt idx="5623">
                  <c:v>45157</c:v>
                </c:pt>
                <c:pt idx="5624">
                  <c:v>45157</c:v>
                </c:pt>
                <c:pt idx="5625">
                  <c:v>45157</c:v>
                </c:pt>
                <c:pt idx="5626">
                  <c:v>45157</c:v>
                </c:pt>
                <c:pt idx="5627">
                  <c:v>45157</c:v>
                </c:pt>
                <c:pt idx="5628">
                  <c:v>45157</c:v>
                </c:pt>
                <c:pt idx="5629">
                  <c:v>45157</c:v>
                </c:pt>
                <c:pt idx="5630">
                  <c:v>45157</c:v>
                </c:pt>
                <c:pt idx="5631">
                  <c:v>45157</c:v>
                </c:pt>
                <c:pt idx="5632">
                  <c:v>45157</c:v>
                </c:pt>
                <c:pt idx="5633">
                  <c:v>45157</c:v>
                </c:pt>
                <c:pt idx="5634">
                  <c:v>45157</c:v>
                </c:pt>
                <c:pt idx="5635">
                  <c:v>45157</c:v>
                </c:pt>
                <c:pt idx="5636">
                  <c:v>45157</c:v>
                </c:pt>
                <c:pt idx="5637">
                  <c:v>45157</c:v>
                </c:pt>
                <c:pt idx="5638">
                  <c:v>45157</c:v>
                </c:pt>
                <c:pt idx="5639">
                  <c:v>45157</c:v>
                </c:pt>
                <c:pt idx="5640">
                  <c:v>45158</c:v>
                </c:pt>
                <c:pt idx="5641">
                  <c:v>45158</c:v>
                </c:pt>
                <c:pt idx="5642">
                  <c:v>45158</c:v>
                </c:pt>
                <c:pt idx="5643">
                  <c:v>45158</c:v>
                </c:pt>
                <c:pt idx="5644">
                  <c:v>45158</c:v>
                </c:pt>
                <c:pt idx="5645">
                  <c:v>45158</c:v>
                </c:pt>
                <c:pt idx="5646">
                  <c:v>45158</c:v>
                </c:pt>
                <c:pt idx="5647">
                  <c:v>45158</c:v>
                </c:pt>
                <c:pt idx="5648">
                  <c:v>45158</c:v>
                </c:pt>
                <c:pt idx="5649">
                  <c:v>45158</c:v>
                </c:pt>
                <c:pt idx="5650">
                  <c:v>45158</c:v>
                </c:pt>
                <c:pt idx="5651">
                  <c:v>45158</c:v>
                </c:pt>
                <c:pt idx="5652">
                  <c:v>45158</c:v>
                </c:pt>
                <c:pt idx="5653">
                  <c:v>45158</c:v>
                </c:pt>
                <c:pt idx="5654">
                  <c:v>45158</c:v>
                </c:pt>
                <c:pt idx="5655">
                  <c:v>45158</c:v>
                </c:pt>
                <c:pt idx="5656">
                  <c:v>45158</c:v>
                </c:pt>
                <c:pt idx="5657">
                  <c:v>45158</c:v>
                </c:pt>
                <c:pt idx="5658">
                  <c:v>45158</c:v>
                </c:pt>
                <c:pt idx="5659">
                  <c:v>45158</c:v>
                </c:pt>
                <c:pt idx="5660">
                  <c:v>45158</c:v>
                </c:pt>
                <c:pt idx="5661">
                  <c:v>45158</c:v>
                </c:pt>
                <c:pt idx="5662">
                  <c:v>45158</c:v>
                </c:pt>
                <c:pt idx="5663">
                  <c:v>45158</c:v>
                </c:pt>
                <c:pt idx="5664">
                  <c:v>45159</c:v>
                </c:pt>
                <c:pt idx="5665">
                  <c:v>45159</c:v>
                </c:pt>
                <c:pt idx="5666">
                  <c:v>45159</c:v>
                </c:pt>
                <c:pt idx="5667">
                  <c:v>45159</c:v>
                </c:pt>
                <c:pt idx="5668">
                  <c:v>45159</c:v>
                </c:pt>
                <c:pt idx="5669">
                  <c:v>45159</c:v>
                </c:pt>
                <c:pt idx="5670">
                  <c:v>45159</c:v>
                </c:pt>
                <c:pt idx="5671">
                  <c:v>45159</c:v>
                </c:pt>
                <c:pt idx="5672">
                  <c:v>45159</c:v>
                </c:pt>
                <c:pt idx="5673">
                  <c:v>45159</c:v>
                </c:pt>
                <c:pt idx="5674">
                  <c:v>45159</c:v>
                </c:pt>
                <c:pt idx="5675">
                  <c:v>45159</c:v>
                </c:pt>
                <c:pt idx="5676">
                  <c:v>45159</c:v>
                </c:pt>
                <c:pt idx="5677">
                  <c:v>45159</c:v>
                </c:pt>
                <c:pt idx="5678">
                  <c:v>45159</c:v>
                </c:pt>
                <c:pt idx="5679">
                  <c:v>45159</c:v>
                </c:pt>
                <c:pt idx="5680">
                  <c:v>45159</c:v>
                </c:pt>
                <c:pt idx="5681">
                  <c:v>45159</c:v>
                </c:pt>
                <c:pt idx="5682">
                  <c:v>45159</c:v>
                </c:pt>
                <c:pt idx="5683">
                  <c:v>45159</c:v>
                </c:pt>
                <c:pt idx="5684">
                  <c:v>45159</c:v>
                </c:pt>
                <c:pt idx="5685">
                  <c:v>45159</c:v>
                </c:pt>
                <c:pt idx="5686">
                  <c:v>45159</c:v>
                </c:pt>
                <c:pt idx="5687">
                  <c:v>45159</c:v>
                </c:pt>
                <c:pt idx="5688">
                  <c:v>45160</c:v>
                </c:pt>
                <c:pt idx="5689">
                  <c:v>45160</c:v>
                </c:pt>
                <c:pt idx="5690">
                  <c:v>45160</c:v>
                </c:pt>
                <c:pt idx="5691">
                  <c:v>45160</c:v>
                </c:pt>
                <c:pt idx="5692">
                  <c:v>45160</c:v>
                </c:pt>
                <c:pt idx="5693">
                  <c:v>45160</c:v>
                </c:pt>
                <c:pt idx="5694">
                  <c:v>45160</c:v>
                </c:pt>
                <c:pt idx="5695">
                  <c:v>45160</c:v>
                </c:pt>
                <c:pt idx="5696">
                  <c:v>45160</c:v>
                </c:pt>
                <c:pt idx="5697">
                  <c:v>45160</c:v>
                </c:pt>
                <c:pt idx="5698">
                  <c:v>45160</c:v>
                </c:pt>
                <c:pt idx="5699">
                  <c:v>45160</c:v>
                </c:pt>
                <c:pt idx="5700">
                  <c:v>45160</c:v>
                </c:pt>
                <c:pt idx="5701">
                  <c:v>45160</c:v>
                </c:pt>
                <c:pt idx="5702">
                  <c:v>45160</c:v>
                </c:pt>
                <c:pt idx="5703">
                  <c:v>45160</c:v>
                </c:pt>
                <c:pt idx="5704">
                  <c:v>45160</c:v>
                </c:pt>
                <c:pt idx="5705">
                  <c:v>45160</c:v>
                </c:pt>
                <c:pt idx="5706">
                  <c:v>45160</c:v>
                </c:pt>
                <c:pt idx="5707">
                  <c:v>45160</c:v>
                </c:pt>
                <c:pt idx="5708">
                  <c:v>45160</c:v>
                </c:pt>
                <c:pt idx="5709">
                  <c:v>45160</c:v>
                </c:pt>
                <c:pt idx="5710">
                  <c:v>45160</c:v>
                </c:pt>
                <c:pt idx="5711">
                  <c:v>45160</c:v>
                </c:pt>
                <c:pt idx="5712">
                  <c:v>45161</c:v>
                </c:pt>
                <c:pt idx="5713">
                  <c:v>45161</c:v>
                </c:pt>
                <c:pt idx="5714">
                  <c:v>45161</c:v>
                </c:pt>
                <c:pt idx="5715">
                  <c:v>45161</c:v>
                </c:pt>
                <c:pt idx="5716">
                  <c:v>45161</c:v>
                </c:pt>
                <c:pt idx="5717">
                  <c:v>45161</c:v>
                </c:pt>
                <c:pt idx="5718">
                  <c:v>45161</c:v>
                </c:pt>
                <c:pt idx="5719">
                  <c:v>45161</c:v>
                </c:pt>
                <c:pt idx="5720">
                  <c:v>45161</c:v>
                </c:pt>
                <c:pt idx="5721">
                  <c:v>45161</c:v>
                </c:pt>
                <c:pt idx="5722">
                  <c:v>45161</c:v>
                </c:pt>
                <c:pt idx="5723">
                  <c:v>45161</c:v>
                </c:pt>
                <c:pt idx="5724">
                  <c:v>45161</c:v>
                </c:pt>
                <c:pt idx="5725">
                  <c:v>45161</c:v>
                </c:pt>
                <c:pt idx="5726">
                  <c:v>45161</c:v>
                </c:pt>
                <c:pt idx="5727">
                  <c:v>45161</c:v>
                </c:pt>
                <c:pt idx="5728">
                  <c:v>45161</c:v>
                </c:pt>
                <c:pt idx="5729">
                  <c:v>45161</c:v>
                </c:pt>
                <c:pt idx="5730">
                  <c:v>45161</c:v>
                </c:pt>
                <c:pt idx="5731">
                  <c:v>45161</c:v>
                </c:pt>
                <c:pt idx="5732">
                  <c:v>45161</c:v>
                </c:pt>
                <c:pt idx="5733">
                  <c:v>45161</c:v>
                </c:pt>
                <c:pt idx="5734">
                  <c:v>45161</c:v>
                </c:pt>
                <c:pt idx="5735">
                  <c:v>45161</c:v>
                </c:pt>
                <c:pt idx="5736">
                  <c:v>45162</c:v>
                </c:pt>
                <c:pt idx="5737">
                  <c:v>45162</c:v>
                </c:pt>
                <c:pt idx="5738">
                  <c:v>45162</c:v>
                </c:pt>
                <c:pt idx="5739">
                  <c:v>45162</c:v>
                </c:pt>
                <c:pt idx="5740">
                  <c:v>45162</c:v>
                </c:pt>
                <c:pt idx="5741">
                  <c:v>45162</c:v>
                </c:pt>
                <c:pt idx="5742">
                  <c:v>45162</c:v>
                </c:pt>
                <c:pt idx="5743">
                  <c:v>45162</c:v>
                </c:pt>
                <c:pt idx="5744">
                  <c:v>45162</c:v>
                </c:pt>
                <c:pt idx="5745">
                  <c:v>45162</c:v>
                </c:pt>
                <c:pt idx="5746">
                  <c:v>45162</c:v>
                </c:pt>
                <c:pt idx="5747">
                  <c:v>45162</c:v>
                </c:pt>
                <c:pt idx="5748">
                  <c:v>45162</c:v>
                </c:pt>
                <c:pt idx="5749">
                  <c:v>45162</c:v>
                </c:pt>
                <c:pt idx="5750">
                  <c:v>45162</c:v>
                </c:pt>
                <c:pt idx="5751">
                  <c:v>45162</c:v>
                </c:pt>
                <c:pt idx="5752">
                  <c:v>45162</c:v>
                </c:pt>
                <c:pt idx="5753">
                  <c:v>45162</c:v>
                </c:pt>
                <c:pt idx="5754">
                  <c:v>45162</c:v>
                </c:pt>
                <c:pt idx="5755">
                  <c:v>45162</c:v>
                </c:pt>
                <c:pt idx="5756">
                  <c:v>45162</c:v>
                </c:pt>
                <c:pt idx="5757">
                  <c:v>45162</c:v>
                </c:pt>
                <c:pt idx="5758">
                  <c:v>45162</c:v>
                </c:pt>
                <c:pt idx="5759">
                  <c:v>45162</c:v>
                </c:pt>
                <c:pt idx="5760">
                  <c:v>45163</c:v>
                </c:pt>
                <c:pt idx="5761">
                  <c:v>45163</c:v>
                </c:pt>
                <c:pt idx="5762">
                  <c:v>45163</c:v>
                </c:pt>
                <c:pt idx="5763">
                  <c:v>45163</c:v>
                </c:pt>
                <c:pt idx="5764">
                  <c:v>45163</c:v>
                </c:pt>
                <c:pt idx="5765">
                  <c:v>45163</c:v>
                </c:pt>
                <c:pt idx="5766">
                  <c:v>45163</c:v>
                </c:pt>
                <c:pt idx="5767">
                  <c:v>45163</c:v>
                </c:pt>
                <c:pt idx="5768">
                  <c:v>45163</c:v>
                </c:pt>
                <c:pt idx="5769">
                  <c:v>45163</c:v>
                </c:pt>
                <c:pt idx="5770">
                  <c:v>45163</c:v>
                </c:pt>
                <c:pt idx="5771">
                  <c:v>45163</c:v>
                </c:pt>
                <c:pt idx="5772">
                  <c:v>45163</c:v>
                </c:pt>
                <c:pt idx="5773">
                  <c:v>45163</c:v>
                </c:pt>
                <c:pt idx="5774">
                  <c:v>45163</c:v>
                </c:pt>
                <c:pt idx="5775">
                  <c:v>45163</c:v>
                </c:pt>
                <c:pt idx="5776">
                  <c:v>45163</c:v>
                </c:pt>
                <c:pt idx="5777">
                  <c:v>45163</c:v>
                </c:pt>
                <c:pt idx="5778">
                  <c:v>45163</c:v>
                </c:pt>
                <c:pt idx="5779">
                  <c:v>45163</c:v>
                </c:pt>
                <c:pt idx="5780">
                  <c:v>45163</c:v>
                </c:pt>
                <c:pt idx="5781">
                  <c:v>45163</c:v>
                </c:pt>
                <c:pt idx="5782">
                  <c:v>45163</c:v>
                </c:pt>
                <c:pt idx="5783">
                  <c:v>45163</c:v>
                </c:pt>
                <c:pt idx="5784">
                  <c:v>45164</c:v>
                </c:pt>
                <c:pt idx="5785">
                  <c:v>45164</c:v>
                </c:pt>
                <c:pt idx="5786">
                  <c:v>45164</c:v>
                </c:pt>
                <c:pt idx="5787">
                  <c:v>45164</c:v>
                </c:pt>
                <c:pt idx="5788">
                  <c:v>45164</c:v>
                </c:pt>
                <c:pt idx="5789">
                  <c:v>45164</c:v>
                </c:pt>
                <c:pt idx="5790">
                  <c:v>45164</c:v>
                </c:pt>
                <c:pt idx="5791">
                  <c:v>45164</c:v>
                </c:pt>
                <c:pt idx="5792">
                  <c:v>45164</c:v>
                </c:pt>
                <c:pt idx="5793">
                  <c:v>45164</c:v>
                </c:pt>
                <c:pt idx="5794">
                  <c:v>45164</c:v>
                </c:pt>
                <c:pt idx="5795">
                  <c:v>45164</c:v>
                </c:pt>
                <c:pt idx="5796">
                  <c:v>45164</c:v>
                </c:pt>
                <c:pt idx="5797">
                  <c:v>45164</c:v>
                </c:pt>
                <c:pt idx="5798">
                  <c:v>45164</c:v>
                </c:pt>
                <c:pt idx="5799">
                  <c:v>45164</c:v>
                </c:pt>
                <c:pt idx="5800">
                  <c:v>45164</c:v>
                </c:pt>
                <c:pt idx="5801">
                  <c:v>45164</c:v>
                </c:pt>
                <c:pt idx="5802">
                  <c:v>45164</c:v>
                </c:pt>
                <c:pt idx="5803">
                  <c:v>45164</c:v>
                </c:pt>
                <c:pt idx="5804">
                  <c:v>45164</c:v>
                </c:pt>
                <c:pt idx="5805">
                  <c:v>45164</c:v>
                </c:pt>
                <c:pt idx="5806">
                  <c:v>45164</c:v>
                </c:pt>
                <c:pt idx="5807">
                  <c:v>45164</c:v>
                </c:pt>
                <c:pt idx="5808">
                  <c:v>45165</c:v>
                </c:pt>
                <c:pt idx="5809">
                  <c:v>45165</c:v>
                </c:pt>
                <c:pt idx="5810">
                  <c:v>45165</c:v>
                </c:pt>
                <c:pt idx="5811">
                  <c:v>45165</c:v>
                </c:pt>
                <c:pt idx="5812">
                  <c:v>45165</c:v>
                </c:pt>
                <c:pt idx="5813">
                  <c:v>45165</c:v>
                </c:pt>
                <c:pt idx="5814">
                  <c:v>45165</c:v>
                </c:pt>
                <c:pt idx="5815">
                  <c:v>45165</c:v>
                </c:pt>
                <c:pt idx="5816">
                  <c:v>45165</c:v>
                </c:pt>
                <c:pt idx="5817">
                  <c:v>45165</c:v>
                </c:pt>
                <c:pt idx="5818">
                  <c:v>45165</c:v>
                </c:pt>
                <c:pt idx="5819">
                  <c:v>45165</c:v>
                </c:pt>
                <c:pt idx="5820">
                  <c:v>45165</c:v>
                </c:pt>
                <c:pt idx="5821">
                  <c:v>45165</c:v>
                </c:pt>
                <c:pt idx="5822">
                  <c:v>45165</c:v>
                </c:pt>
                <c:pt idx="5823">
                  <c:v>45165</c:v>
                </c:pt>
                <c:pt idx="5824">
                  <c:v>45165</c:v>
                </c:pt>
                <c:pt idx="5825">
                  <c:v>45165</c:v>
                </c:pt>
                <c:pt idx="5826">
                  <c:v>45165</c:v>
                </c:pt>
                <c:pt idx="5827">
                  <c:v>45165</c:v>
                </c:pt>
                <c:pt idx="5828">
                  <c:v>45165</c:v>
                </c:pt>
                <c:pt idx="5829">
                  <c:v>45165</c:v>
                </c:pt>
                <c:pt idx="5830">
                  <c:v>45165</c:v>
                </c:pt>
                <c:pt idx="5831">
                  <c:v>45165</c:v>
                </c:pt>
                <c:pt idx="5832">
                  <c:v>45166</c:v>
                </c:pt>
                <c:pt idx="5833">
                  <c:v>45166</c:v>
                </c:pt>
                <c:pt idx="5834">
                  <c:v>45166</c:v>
                </c:pt>
                <c:pt idx="5835">
                  <c:v>45166</c:v>
                </c:pt>
                <c:pt idx="5836">
                  <c:v>45166</c:v>
                </c:pt>
                <c:pt idx="5837">
                  <c:v>45166</c:v>
                </c:pt>
                <c:pt idx="5838">
                  <c:v>45166</c:v>
                </c:pt>
                <c:pt idx="5839">
                  <c:v>45166</c:v>
                </c:pt>
                <c:pt idx="5840">
                  <c:v>45166</c:v>
                </c:pt>
                <c:pt idx="5841">
                  <c:v>45166</c:v>
                </c:pt>
                <c:pt idx="5842">
                  <c:v>45166</c:v>
                </c:pt>
                <c:pt idx="5843">
                  <c:v>45166</c:v>
                </c:pt>
                <c:pt idx="5844">
                  <c:v>45166</c:v>
                </c:pt>
                <c:pt idx="5845">
                  <c:v>45166</c:v>
                </c:pt>
                <c:pt idx="5846">
                  <c:v>45166</c:v>
                </c:pt>
                <c:pt idx="5847">
                  <c:v>45166</c:v>
                </c:pt>
                <c:pt idx="5848">
                  <c:v>45166</c:v>
                </c:pt>
                <c:pt idx="5849">
                  <c:v>45166</c:v>
                </c:pt>
                <c:pt idx="5850">
                  <c:v>45166</c:v>
                </c:pt>
                <c:pt idx="5851">
                  <c:v>45166</c:v>
                </c:pt>
                <c:pt idx="5852">
                  <c:v>45166</c:v>
                </c:pt>
                <c:pt idx="5853">
                  <c:v>45166</c:v>
                </c:pt>
                <c:pt idx="5854">
                  <c:v>45166</c:v>
                </c:pt>
                <c:pt idx="5855">
                  <c:v>45166</c:v>
                </c:pt>
                <c:pt idx="5856">
                  <c:v>45167</c:v>
                </c:pt>
                <c:pt idx="5857">
                  <c:v>45167</c:v>
                </c:pt>
                <c:pt idx="5858">
                  <c:v>45167</c:v>
                </c:pt>
                <c:pt idx="5859">
                  <c:v>45167</c:v>
                </c:pt>
                <c:pt idx="5860">
                  <c:v>45167</c:v>
                </c:pt>
                <c:pt idx="5861">
                  <c:v>45167</c:v>
                </c:pt>
                <c:pt idx="5862">
                  <c:v>45167</c:v>
                </c:pt>
                <c:pt idx="5863">
                  <c:v>45167</c:v>
                </c:pt>
                <c:pt idx="5864">
                  <c:v>45167</c:v>
                </c:pt>
                <c:pt idx="5865">
                  <c:v>45167</c:v>
                </c:pt>
                <c:pt idx="5866">
                  <c:v>45167</c:v>
                </c:pt>
                <c:pt idx="5867">
                  <c:v>45167</c:v>
                </c:pt>
                <c:pt idx="5868">
                  <c:v>45167</c:v>
                </c:pt>
                <c:pt idx="5869">
                  <c:v>45167</c:v>
                </c:pt>
                <c:pt idx="5870">
                  <c:v>45167</c:v>
                </c:pt>
                <c:pt idx="5871">
                  <c:v>45167</c:v>
                </c:pt>
                <c:pt idx="5872">
                  <c:v>45167</c:v>
                </c:pt>
                <c:pt idx="5873">
                  <c:v>45167</c:v>
                </c:pt>
                <c:pt idx="5874">
                  <c:v>45167</c:v>
                </c:pt>
                <c:pt idx="5875">
                  <c:v>45167</c:v>
                </c:pt>
                <c:pt idx="5876">
                  <c:v>45167</c:v>
                </c:pt>
                <c:pt idx="5877">
                  <c:v>45167</c:v>
                </c:pt>
                <c:pt idx="5878">
                  <c:v>45167</c:v>
                </c:pt>
                <c:pt idx="5879">
                  <c:v>45167</c:v>
                </c:pt>
                <c:pt idx="5880">
                  <c:v>45168</c:v>
                </c:pt>
                <c:pt idx="5881">
                  <c:v>45168</c:v>
                </c:pt>
                <c:pt idx="5882">
                  <c:v>45168</c:v>
                </c:pt>
                <c:pt idx="5883">
                  <c:v>45168</c:v>
                </c:pt>
                <c:pt idx="5884">
                  <c:v>45168</c:v>
                </c:pt>
                <c:pt idx="5885">
                  <c:v>45168</c:v>
                </c:pt>
                <c:pt idx="5886">
                  <c:v>45168</c:v>
                </c:pt>
                <c:pt idx="5887">
                  <c:v>45168</c:v>
                </c:pt>
                <c:pt idx="5888">
                  <c:v>45168</c:v>
                </c:pt>
                <c:pt idx="5889">
                  <c:v>45168</c:v>
                </c:pt>
                <c:pt idx="5890">
                  <c:v>45168</c:v>
                </c:pt>
                <c:pt idx="5891">
                  <c:v>45168</c:v>
                </c:pt>
                <c:pt idx="5892">
                  <c:v>45168</c:v>
                </c:pt>
                <c:pt idx="5893">
                  <c:v>45168</c:v>
                </c:pt>
                <c:pt idx="5894">
                  <c:v>45168</c:v>
                </c:pt>
                <c:pt idx="5895">
                  <c:v>45168</c:v>
                </c:pt>
                <c:pt idx="5896">
                  <c:v>45168</c:v>
                </c:pt>
                <c:pt idx="5897">
                  <c:v>45168</c:v>
                </c:pt>
                <c:pt idx="5898">
                  <c:v>45168</c:v>
                </c:pt>
                <c:pt idx="5899">
                  <c:v>45168</c:v>
                </c:pt>
                <c:pt idx="5900">
                  <c:v>45168</c:v>
                </c:pt>
                <c:pt idx="5901">
                  <c:v>45168</c:v>
                </c:pt>
                <c:pt idx="5902">
                  <c:v>45168</c:v>
                </c:pt>
                <c:pt idx="5903">
                  <c:v>45168</c:v>
                </c:pt>
                <c:pt idx="5904">
                  <c:v>45169</c:v>
                </c:pt>
                <c:pt idx="5905">
                  <c:v>45169</c:v>
                </c:pt>
                <c:pt idx="5906">
                  <c:v>45169</c:v>
                </c:pt>
                <c:pt idx="5907">
                  <c:v>45169</c:v>
                </c:pt>
                <c:pt idx="5908">
                  <c:v>45169</c:v>
                </c:pt>
                <c:pt idx="5909">
                  <c:v>45169</c:v>
                </c:pt>
                <c:pt idx="5910">
                  <c:v>45169</c:v>
                </c:pt>
                <c:pt idx="5911">
                  <c:v>45169</c:v>
                </c:pt>
                <c:pt idx="5912">
                  <c:v>45169</c:v>
                </c:pt>
                <c:pt idx="5913">
                  <c:v>45169</c:v>
                </c:pt>
                <c:pt idx="5914">
                  <c:v>45169</c:v>
                </c:pt>
                <c:pt idx="5915">
                  <c:v>45169</c:v>
                </c:pt>
                <c:pt idx="5916">
                  <c:v>45169</c:v>
                </c:pt>
                <c:pt idx="5917">
                  <c:v>45169</c:v>
                </c:pt>
                <c:pt idx="5918">
                  <c:v>45169</c:v>
                </c:pt>
                <c:pt idx="5919">
                  <c:v>45169</c:v>
                </c:pt>
                <c:pt idx="5920">
                  <c:v>45169</c:v>
                </c:pt>
                <c:pt idx="5921">
                  <c:v>45169</c:v>
                </c:pt>
                <c:pt idx="5922">
                  <c:v>45169</c:v>
                </c:pt>
                <c:pt idx="5923">
                  <c:v>45169</c:v>
                </c:pt>
                <c:pt idx="5924">
                  <c:v>45169</c:v>
                </c:pt>
                <c:pt idx="5925">
                  <c:v>45169</c:v>
                </c:pt>
                <c:pt idx="5926">
                  <c:v>45169</c:v>
                </c:pt>
                <c:pt idx="5927">
                  <c:v>45169</c:v>
                </c:pt>
                <c:pt idx="5928">
                  <c:v>45170</c:v>
                </c:pt>
                <c:pt idx="5929">
                  <c:v>45170</c:v>
                </c:pt>
                <c:pt idx="5930">
                  <c:v>45170</c:v>
                </c:pt>
                <c:pt idx="5931">
                  <c:v>45170</c:v>
                </c:pt>
                <c:pt idx="5932">
                  <c:v>45170</c:v>
                </c:pt>
                <c:pt idx="5933">
                  <c:v>45170</c:v>
                </c:pt>
                <c:pt idx="5934">
                  <c:v>45170</c:v>
                </c:pt>
                <c:pt idx="5935">
                  <c:v>45170</c:v>
                </c:pt>
                <c:pt idx="5936">
                  <c:v>45170</c:v>
                </c:pt>
                <c:pt idx="5937">
                  <c:v>45170</c:v>
                </c:pt>
                <c:pt idx="5938">
                  <c:v>45170</c:v>
                </c:pt>
                <c:pt idx="5939">
                  <c:v>45170</c:v>
                </c:pt>
                <c:pt idx="5940">
                  <c:v>45170</c:v>
                </c:pt>
                <c:pt idx="5941">
                  <c:v>45170</c:v>
                </c:pt>
                <c:pt idx="5942">
                  <c:v>45170</c:v>
                </c:pt>
                <c:pt idx="5943">
                  <c:v>45170</c:v>
                </c:pt>
                <c:pt idx="5944">
                  <c:v>45170</c:v>
                </c:pt>
                <c:pt idx="5945">
                  <c:v>45170</c:v>
                </c:pt>
                <c:pt idx="5946">
                  <c:v>45170</c:v>
                </c:pt>
                <c:pt idx="5947">
                  <c:v>45170</c:v>
                </c:pt>
                <c:pt idx="5948">
                  <c:v>45170</c:v>
                </c:pt>
                <c:pt idx="5949">
                  <c:v>45170</c:v>
                </c:pt>
                <c:pt idx="5950">
                  <c:v>45170</c:v>
                </c:pt>
                <c:pt idx="5951">
                  <c:v>45170</c:v>
                </c:pt>
                <c:pt idx="5952">
                  <c:v>45171</c:v>
                </c:pt>
                <c:pt idx="5953">
                  <c:v>45171</c:v>
                </c:pt>
                <c:pt idx="5954">
                  <c:v>45171</c:v>
                </c:pt>
                <c:pt idx="5955">
                  <c:v>45171</c:v>
                </c:pt>
                <c:pt idx="5956">
                  <c:v>45171</c:v>
                </c:pt>
                <c:pt idx="5957">
                  <c:v>45171</c:v>
                </c:pt>
                <c:pt idx="5958">
                  <c:v>45171</c:v>
                </c:pt>
                <c:pt idx="5959">
                  <c:v>45171</c:v>
                </c:pt>
                <c:pt idx="5960">
                  <c:v>45171</c:v>
                </c:pt>
                <c:pt idx="5961">
                  <c:v>45171</c:v>
                </c:pt>
                <c:pt idx="5962">
                  <c:v>45171</c:v>
                </c:pt>
                <c:pt idx="5963">
                  <c:v>45171</c:v>
                </c:pt>
                <c:pt idx="5964">
                  <c:v>45171</c:v>
                </c:pt>
                <c:pt idx="5965">
                  <c:v>45171</c:v>
                </c:pt>
                <c:pt idx="5966">
                  <c:v>45171</c:v>
                </c:pt>
                <c:pt idx="5967">
                  <c:v>45171</c:v>
                </c:pt>
                <c:pt idx="5968">
                  <c:v>45171</c:v>
                </c:pt>
                <c:pt idx="5969">
                  <c:v>45171</c:v>
                </c:pt>
                <c:pt idx="5970">
                  <c:v>45171</c:v>
                </c:pt>
                <c:pt idx="5971">
                  <c:v>45171</c:v>
                </c:pt>
                <c:pt idx="5972">
                  <c:v>45171</c:v>
                </c:pt>
                <c:pt idx="5973">
                  <c:v>45171</c:v>
                </c:pt>
                <c:pt idx="5974">
                  <c:v>45171</c:v>
                </c:pt>
                <c:pt idx="5975">
                  <c:v>45171</c:v>
                </c:pt>
                <c:pt idx="5976">
                  <c:v>45172</c:v>
                </c:pt>
                <c:pt idx="5977">
                  <c:v>45172</c:v>
                </c:pt>
                <c:pt idx="5978">
                  <c:v>45172</c:v>
                </c:pt>
                <c:pt idx="5979">
                  <c:v>45172</c:v>
                </c:pt>
                <c:pt idx="5980">
                  <c:v>45172</c:v>
                </c:pt>
                <c:pt idx="5981">
                  <c:v>45172</c:v>
                </c:pt>
                <c:pt idx="5982">
                  <c:v>45172</c:v>
                </c:pt>
                <c:pt idx="5983">
                  <c:v>45172</c:v>
                </c:pt>
                <c:pt idx="5984">
                  <c:v>45172</c:v>
                </c:pt>
                <c:pt idx="5985">
                  <c:v>45172</c:v>
                </c:pt>
                <c:pt idx="5986">
                  <c:v>45172</c:v>
                </c:pt>
                <c:pt idx="5987">
                  <c:v>45172</c:v>
                </c:pt>
                <c:pt idx="5988">
                  <c:v>45172</c:v>
                </c:pt>
                <c:pt idx="5989">
                  <c:v>45172</c:v>
                </c:pt>
                <c:pt idx="5990">
                  <c:v>45172</c:v>
                </c:pt>
                <c:pt idx="5991">
                  <c:v>45172</c:v>
                </c:pt>
                <c:pt idx="5992">
                  <c:v>45172</c:v>
                </c:pt>
                <c:pt idx="5993">
                  <c:v>45172</c:v>
                </c:pt>
                <c:pt idx="5994">
                  <c:v>45172</c:v>
                </c:pt>
                <c:pt idx="5995">
                  <c:v>45172</c:v>
                </c:pt>
                <c:pt idx="5996">
                  <c:v>45172</c:v>
                </c:pt>
                <c:pt idx="5997">
                  <c:v>45172</c:v>
                </c:pt>
                <c:pt idx="5998">
                  <c:v>45172</c:v>
                </c:pt>
                <c:pt idx="5999">
                  <c:v>45172</c:v>
                </c:pt>
                <c:pt idx="6000">
                  <c:v>45173</c:v>
                </c:pt>
                <c:pt idx="6001">
                  <c:v>45173</c:v>
                </c:pt>
                <c:pt idx="6002">
                  <c:v>45173</c:v>
                </c:pt>
                <c:pt idx="6003">
                  <c:v>45173</c:v>
                </c:pt>
                <c:pt idx="6004">
                  <c:v>45173</c:v>
                </c:pt>
                <c:pt idx="6005">
                  <c:v>45173</c:v>
                </c:pt>
                <c:pt idx="6006">
                  <c:v>45173</c:v>
                </c:pt>
                <c:pt idx="6007">
                  <c:v>45173</c:v>
                </c:pt>
                <c:pt idx="6008">
                  <c:v>45173</c:v>
                </c:pt>
                <c:pt idx="6009">
                  <c:v>45173</c:v>
                </c:pt>
                <c:pt idx="6010">
                  <c:v>45173</c:v>
                </c:pt>
                <c:pt idx="6011">
                  <c:v>45173</c:v>
                </c:pt>
                <c:pt idx="6012">
                  <c:v>45173</c:v>
                </c:pt>
                <c:pt idx="6013">
                  <c:v>45173</c:v>
                </c:pt>
                <c:pt idx="6014">
                  <c:v>45173</c:v>
                </c:pt>
                <c:pt idx="6015">
                  <c:v>45173</c:v>
                </c:pt>
                <c:pt idx="6016">
                  <c:v>45173</c:v>
                </c:pt>
                <c:pt idx="6017">
                  <c:v>45173</c:v>
                </c:pt>
                <c:pt idx="6018">
                  <c:v>45173</c:v>
                </c:pt>
                <c:pt idx="6019">
                  <c:v>45173</c:v>
                </c:pt>
                <c:pt idx="6020">
                  <c:v>45173</c:v>
                </c:pt>
                <c:pt idx="6021">
                  <c:v>45173</c:v>
                </c:pt>
                <c:pt idx="6022">
                  <c:v>45173</c:v>
                </c:pt>
                <c:pt idx="6023">
                  <c:v>45173</c:v>
                </c:pt>
                <c:pt idx="6024">
                  <c:v>45170</c:v>
                </c:pt>
                <c:pt idx="6025">
                  <c:v>45170</c:v>
                </c:pt>
                <c:pt idx="6026">
                  <c:v>45170</c:v>
                </c:pt>
                <c:pt idx="6027">
                  <c:v>45170</c:v>
                </c:pt>
                <c:pt idx="6028">
                  <c:v>45170</c:v>
                </c:pt>
                <c:pt idx="6029">
                  <c:v>45170</c:v>
                </c:pt>
                <c:pt idx="6030">
                  <c:v>45170</c:v>
                </c:pt>
                <c:pt idx="6031">
                  <c:v>45170</c:v>
                </c:pt>
                <c:pt idx="6032">
                  <c:v>45170</c:v>
                </c:pt>
                <c:pt idx="6033">
                  <c:v>45170</c:v>
                </c:pt>
                <c:pt idx="6034">
                  <c:v>45170</c:v>
                </c:pt>
                <c:pt idx="6035">
                  <c:v>45170</c:v>
                </c:pt>
                <c:pt idx="6036">
                  <c:v>45170</c:v>
                </c:pt>
                <c:pt idx="6037">
                  <c:v>45170</c:v>
                </c:pt>
                <c:pt idx="6038">
                  <c:v>45170</c:v>
                </c:pt>
                <c:pt idx="6039">
                  <c:v>45170</c:v>
                </c:pt>
                <c:pt idx="6040">
                  <c:v>45170</c:v>
                </c:pt>
                <c:pt idx="6041">
                  <c:v>45170</c:v>
                </c:pt>
                <c:pt idx="6042">
                  <c:v>45170</c:v>
                </c:pt>
                <c:pt idx="6043">
                  <c:v>45170</c:v>
                </c:pt>
                <c:pt idx="6044">
                  <c:v>45170</c:v>
                </c:pt>
                <c:pt idx="6045">
                  <c:v>45170</c:v>
                </c:pt>
                <c:pt idx="6046">
                  <c:v>45170</c:v>
                </c:pt>
                <c:pt idx="6047">
                  <c:v>45170</c:v>
                </c:pt>
                <c:pt idx="6048">
                  <c:v>45171</c:v>
                </c:pt>
                <c:pt idx="6049">
                  <c:v>45171</c:v>
                </c:pt>
                <c:pt idx="6050">
                  <c:v>45171</c:v>
                </c:pt>
                <c:pt idx="6051">
                  <c:v>45171</c:v>
                </c:pt>
                <c:pt idx="6052">
                  <c:v>45171</c:v>
                </c:pt>
                <c:pt idx="6053">
                  <c:v>45171</c:v>
                </c:pt>
                <c:pt idx="6054">
                  <c:v>45171</c:v>
                </c:pt>
                <c:pt idx="6055">
                  <c:v>45171</c:v>
                </c:pt>
                <c:pt idx="6056">
                  <c:v>45171</c:v>
                </c:pt>
                <c:pt idx="6057">
                  <c:v>45171</c:v>
                </c:pt>
                <c:pt idx="6058">
                  <c:v>45171</c:v>
                </c:pt>
                <c:pt idx="6059">
                  <c:v>45171</c:v>
                </c:pt>
                <c:pt idx="6060">
                  <c:v>45171</c:v>
                </c:pt>
                <c:pt idx="6061">
                  <c:v>45171</c:v>
                </c:pt>
                <c:pt idx="6062">
                  <c:v>45171</c:v>
                </c:pt>
                <c:pt idx="6063">
                  <c:v>45171</c:v>
                </c:pt>
                <c:pt idx="6064">
                  <c:v>45171</c:v>
                </c:pt>
                <c:pt idx="6065">
                  <c:v>45171</c:v>
                </c:pt>
                <c:pt idx="6066">
                  <c:v>45171</c:v>
                </c:pt>
                <c:pt idx="6067">
                  <c:v>45171</c:v>
                </c:pt>
                <c:pt idx="6068">
                  <c:v>45171</c:v>
                </c:pt>
                <c:pt idx="6069">
                  <c:v>45171</c:v>
                </c:pt>
                <c:pt idx="6070">
                  <c:v>45171</c:v>
                </c:pt>
                <c:pt idx="6071">
                  <c:v>45171</c:v>
                </c:pt>
                <c:pt idx="6072">
                  <c:v>45172</c:v>
                </c:pt>
                <c:pt idx="6073">
                  <c:v>45172</c:v>
                </c:pt>
                <c:pt idx="6074">
                  <c:v>45172</c:v>
                </c:pt>
                <c:pt idx="6075">
                  <c:v>45172</c:v>
                </c:pt>
                <c:pt idx="6076">
                  <c:v>45172</c:v>
                </c:pt>
                <c:pt idx="6077">
                  <c:v>45172</c:v>
                </c:pt>
                <c:pt idx="6078">
                  <c:v>45172</c:v>
                </c:pt>
                <c:pt idx="6079">
                  <c:v>45172</c:v>
                </c:pt>
                <c:pt idx="6080">
                  <c:v>45172</c:v>
                </c:pt>
                <c:pt idx="6081">
                  <c:v>45172</c:v>
                </c:pt>
                <c:pt idx="6082">
                  <c:v>45172</c:v>
                </c:pt>
                <c:pt idx="6083">
                  <c:v>45172</c:v>
                </c:pt>
                <c:pt idx="6084">
                  <c:v>45172</c:v>
                </c:pt>
                <c:pt idx="6085">
                  <c:v>45172</c:v>
                </c:pt>
                <c:pt idx="6086">
                  <c:v>45172</c:v>
                </c:pt>
                <c:pt idx="6087">
                  <c:v>45172</c:v>
                </c:pt>
                <c:pt idx="6088">
                  <c:v>45172</c:v>
                </c:pt>
                <c:pt idx="6089">
                  <c:v>45172</c:v>
                </c:pt>
                <c:pt idx="6090">
                  <c:v>45172</c:v>
                </c:pt>
                <c:pt idx="6091">
                  <c:v>45172</c:v>
                </c:pt>
                <c:pt idx="6092">
                  <c:v>45172</c:v>
                </c:pt>
                <c:pt idx="6093">
                  <c:v>45172</c:v>
                </c:pt>
                <c:pt idx="6094">
                  <c:v>45172</c:v>
                </c:pt>
                <c:pt idx="6095">
                  <c:v>45172</c:v>
                </c:pt>
                <c:pt idx="6096">
                  <c:v>45173</c:v>
                </c:pt>
                <c:pt idx="6097">
                  <c:v>45173</c:v>
                </c:pt>
                <c:pt idx="6098">
                  <c:v>45173</c:v>
                </c:pt>
                <c:pt idx="6099">
                  <c:v>45173</c:v>
                </c:pt>
                <c:pt idx="6100">
                  <c:v>45173</c:v>
                </c:pt>
                <c:pt idx="6101">
                  <c:v>45173</c:v>
                </c:pt>
                <c:pt idx="6102">
                  <c:v>45173</c:v>
                </c:pt>
                <c:pt idx="6103">
                  <c:v>45173</c:v>
                </c:pt>
                <c:pt idx="6104">
                  <c:v>45173</c:v>
                </c:pt>
                <c:pt idx="6105">
                  <c:v>45173</c:v>
                </c:pt>
                <c:pt idx="6106">
                  <c:v>45173</c:v>
                </c:pt>
                <c:pt idx="6107">
                  <c:v>45173</c:v>
                </c:pt>
                <c:pt idx="6108">
                  <c:v>45173</c:v>
                </c:pt>
                <c:pt idx="6109">
                  <c:v>45173</c:v>
                </c:pt>
                <c:pt idx="6110">
                  <c:v>45173</c:v>
                </c:pt>
                <c:pt idx="6111">
                  <c:v>45173</c:v>
                </c:pt>
                <c:pt idx="6112">
                  <c:v>45173</c:v>
                </c:pt>
                <c:pt idx="6113">
                  <c:v>45173</c:v>
                </c:pt>
                <c:pt idx="6114">
                  <c:v>45173</c:v>
                </c:pt>
                <c:pt idx="6115">
                  <c:v>45173</c:v>
                </c:pt>
                <c:pt idx="6116">
                  <c:v>45173</c:v>
                </c:pt>
                <c:pt idx="6117">
                  <c:v>45173</c:v>
                </c:pt>
                <c:pt idx="6118">
                  <c:v>45173</c:v>
                </c:pt>
                <c:pt idx="6119">
                  <c:v>45173</c:v>
                </c:pt>
                <c:pt idx="6120">
                  <c:v>45174</c:v>
                </c:pt>
                <c:pt idx="6121">
                  <c:v>45174</c:v>
                </c:pt>
                <c:pt idx="6122">
                  <c:v>45174</c:v>
                </c:pt>
                <c:pt idx="6123">
                  <c:v>45174</c:v>
                </c:pt>
                <c:pt idx="6124">
                  <c:v>45174</c:v>
                </c:pt>
                <c:pt idx="6125">
                  <c:v>45174</c:v>
                </c:pt>
                <c:pt idx="6126">
                  <c:v>45174</c:v>
                </c:pt>
                <c:pt idx="6127">
                  <c:v>45174</c:v>
                </c:pt>
                <c:pt idx="6128">
                  <c:v>45174</c:v>
                </c:pt>
                <c:pt idx="6129">
                  <c:v>45174</c:v>
                </c:pt>
                <c:pt idx="6130">
                  <c:v>45174</c:v>
                </c:pt>
                <c:pt idx="6131">
                  <c:v>45174</c:v>
                </c:pt>
                <c:pt idx="6132">
                  <c:v>45174</c:v>
                </c:pt>
                <c:pt idx="6133">
                  <c:v>45174</c:v>
                </c:pt>
                <c:pt idx="6134">
                  <c:v>45174</c:v>
                </c:pt>
                <c:pt idx="6135">
                  <c:v>45174</c:v>
                </c:pt>
                <c:pt idx="6136">
                  <c:v>45174</c:v>
                </c:pt>
                <c:pt idx="6137">
                  <c:v>45174</c:v>
                </c:pt>
                <c:pt idx="6138">
                  <c:v>45174</c:v>
                </c:pt>
                <c:pt idx="6139">
                  <c:v>45174</c:v>
                </c:pt>
                <c:pt idx="6140">
                  <c:v>45174</c:v>
                </c:pt>
                <c:pt idx="6141">
                  <c:v>45174</c:v>
                </c:pt>
                <c:pt idx="6142">
                  <c:v>45174</c:v>
                </c:pt>
                <c:pt idx="6143">
                  <c:v>45174</c:v>
                </c:pt>
                <c:pt idx="6144">
                  <c:v>45175</c:v>
                </c:pt>
                <c:pt idx="6145">
                  <c:v>45175</c:v>
                </c:pt>
                <c:pt idx="6146">
                  <c:v>45175</c:v>
                </c:pt>
                <c:pt idx="6147">
                  <c:v>45175</c:v>
                </c:pt>
                <c:pt idx="6148">
                  <c:v>45175</c:v>
                </c:pt>
                <c:pt idx="6149">
                  <c:v>45175</c:v>
                </c:pt>
                <c:pt idx="6150">
                  <c:v>45175</c:v>
                </c:pt>
                <c:pt idx="6151">
                  <c:v>45175</c:v>
                </c:pt>
                <c:pt idx="6152">
                  <c:v>45175</c:v>
                </c:pt>
                <c:pt idx="6153">
                  <c:v>45175</c:v>
                </c:pt>
                <c:pt idx="6154">
                  <c:v>45175</c:v>
                </c:pt>
                <c:pt idx="6155">
                  <c:v>45175</c:v>
                </c:pt>
                <c:pt idx="6156">
                  <c:v>45175</c:v>
                </c:pt>
                <c:pt idx="6157">
                  <c:v>45175</c:v>
                </c:pt>
                <c:pt idx="6158">
                  <c:v>45175</c:v>
                </c:pt>
                <c:pt idx="6159">
                  <c:v>45175</c:v>
                </c:pt>
                <c:pt idx="6160">
                  <c:v>45175</c:v>
                </c:pt>
                <c:pt idx="6161">
                  <c:v>45175</c:v>
                </c:pt>
                <c:pt idx="6162">
                  <c:v>45175</c:v>
                </c:pt>
                <c:pt idx="6163">
                  <c:v>45175</c:v>
                </c:pt>
                <c:pt idx="6164">
                  <c:v>45175</c:v>
                </c:pt>
                <c:pt idx="6165">
                  <c:v>45175</c:v>
                </c:pt>
                <c:pt idx="6166">
                  <c:v>45175</c:v>
                </c:pt>
                <c:pt idx="6167">
                  <c:v>45175</c:v>
                </c:pt>
                <c:pt idx="6168">
                  <c:v>45176</c:v>
                </c:pt>
                <c:pt idx="6169">
                  <c:v>45176</c:v>
                </c:pt>
                <c:pt idx="6170">
                  <c:v>45176</c:v>
                </c:pt>
                <c:pt idx="6171">
                  <c:v>45176</c:v>
                </c:pt>
                <c:pt idx="6172">
                  <c:v>45176</c:v>
                </c:pt>
                <c:pt idx="6173">
                  <c:v>45176</c:v>
                </c:pt>
                <c:pt idx="6174">
                  <c:v>45176</c:v>
                </c:pt>
                <c:pt idx="6175">
                  <c:v>45176</c:v>
                </c:pt>
                <c:pt idx="6176">
                  <c:v>45176</c:v>
                </c:pt>
                <c:pt idx="6177">
                  <c:v>45176</c:v>
                </c:pt>
                <c:pt idx="6178">
                  <c:v>45176</c:v>
                </c:pt>
                <c:pt idx="6179">
                  <c:v>45176</c:v>
                </c:pt>
                <c:pt idx="6180">
                  <c:v>45176</c:v>
                </c:pt>
                <c:pt idx="6181">
                  <c:v>45176</c:v>
                </c:pt>
                <c:pt idx="6182">
                  <c:v>45176</c:v>
                </c:pt>
                <c:pt idx="6183">
                  <c:v>45176</c:v>
                </c:pt>
                <c:pt idx="6184">
                  <c:v>45176</c:v>
                </c:pt>
                <c:pt idx="6185">
                  <c:v>45176</c:v>
                </c:pt>
                <c:pt idx="6186">
                  <c:v>45176</c:v>
                </c:pt>
                <c:pt idx="6187">
                  <c:v>45176</c:v>
                </c:pt>
                <c:pt idx="6188">
                  <c:v>45176</c:v>
                </c:pt>
                <c:pt idx="6189">
                  <c:v>45176</c:v>
                </c:pt>
                <c:pt idx="6190">
                  <c:v>45176</c:v>
                </c:pt>
                <c:pt idx="6191">
                  <c:v>45176</c:v>
                </c:pt>
                <c:pt idx="6192">
                  <c:v>45177</c:v>
                </c:pt>
                <c:pt idx="6193">
                  <c:v>45177</c:v>
                </c:pt>
                <c:pt idx="6194">
                  <c:v>45177</c:v>
                </c:pt>
                <c:pt idx="6195">
                  <c:v>45177</c:v>
                </c:pt>
                <c:pt idx="6196">
                  <c:v>45177</c:v>
                </c:pt>
                <c:pt idx="6197">
                  <c:v>45177</c:v>
                </c:pt>
                <c:pt idx="6198">
                  <c:v>45177</c:v>
                </c:pt>
                <c:pt idx="6199">
                  <c:v>45177</c:v>
                </c:pt>
                <c:pt idx="6200">
                  <c:v>45177</c:v>
                </c:pt>
                <c:pt idx="6201">
                  <c:v>45177</c:v>
                </c:pt>
                <c:pt idx="6202">
                  <c:v>45177</c:v>
                </c:pt>
                <c:pt idx="6203">
                  <c:v>45177</c:v>
                </c:pt>
                <c:pt idx="6204">
                  <c:v>45177</c:v>
                </c:pt>
                <c:pt idx="6205">
                  <c:v>45177</c:v>
                </c:pt>
                <c:pt idx="6206">
                  <c:v>45177</c:v>
                </c:pt>
                <c:pt idx="6207">
                  <c:v>45177</c:v>
                </c:pt>
                <c:pt idx="6208">
                  <c:v>45177</c:v>
                </c:pt>
                <c:pt idx="6209">
                  <c:v>45177</c:v>
                </c:pt>
                <c:pt idx="6210">
                  <c:v>45177</c:v>
                </c:pt>
                <c:pt idx="6211">
                  <c:v>45177</c:v>
                </c:pt>
                <c:pt idx="6212">
                  <c:v>45177</c:v>
                </c:pt>
                <c:pt idx="6213">
                  <c:v>45177</c:v>
                </c:pt>
                <c:pt idx="6214">
                  <c:v>45177</c:v>
                </c:pt>
                <c:pt idx="6215">
                  <c:v>45177</c:v>
                </c:pt>
                <c:pt idx="6216">
                  <c:v>45178</c:v>
                </c:pt>
                <c:pt idx="6217">
                  <c:v>45178</c:v>
                </c:pt>
                <c:pt idx="6218">
                  <c:v>45178</c:v>
                </c:pt>
                <c:pt idx="6219">
                  <c:v>45178</c:v>
                </c:pt>
                <c:pt idx="6220">
                  <c:v>45178</c:v>
                </c:pt>
                <c:pt idx="6221">
                  <c:v>45178</c:v>
                </c:pt>
                <c:pt idx="6222">
                  <c:v>45178</c:v>
                </c:pt>
                <c:pt idx="6223">
                  <c:v>45178</c:v>
                </c:pt>
                <c:pt idx="6224">
                  <c:v>45178</c:v>
                </c:pt>
                <c:pt idx="6225">
                  <c:v>45178</c:v>
                </c:pt>
                <c:pt idx="6226">
                  <c:v>45178</c:v>
                </c:pt>
                <c:pt idx="6227">
                  <c:v>45178</c:v>
                </c:pt>
                <c:pt idx="6228">
                  <c:v>45178</c:v>
                </c:pt>
                <c:pt idx="6229">
                  <c:v>45178</c:v>
                </c:pt>
                <c:pt idx="6230">
                  <c:v>45178</c:v>
                </c:pt>
                <c:pt idx="6231">
                  <c:v>45178</c:v>
                </c:pt>
                <c:pt idx="6232">
                  <c:v>45178</c:v>
                </c:pt>
                <c:pt idx="6233">
                  <c:v>45178</c:v>
                </c:pt>
                <c:pt idx="6234">
                  <c:v>45178</c:v>
                </c:pt>
                <c:pt idx="6235">
                  <c:v>45178</c:v>
                </c:pt>
                <c:pt idx="6236">
                  <c:v>45178</c:v>
                </c:pt>
                <c:pt idx="6237">
                  <c:v>45178</c:v>
                </c:pt>
                <c:pt idx="6238">
                  <c:v>45178</c:v>
                </c:pt>
                <c:pt idx="6239">
                  <c:v>45178</c:v>
                </c:pt>
                <c:pt idx="6240">
                  <c:v>45179</c:v>
                </c:pt>
                <c:pt idx="6241">
                  <c:v>45179</c:v>
                </c:pt>
                <c:pt idx="6242">
                  <c:v>45179</c:v>
                </c:pt>
                <c:pt idx="6243">
                  <c:v>45179</c:v>
                </c:pt>
                <c:pt idx="6244">
                  <c:v>45179</c:v>
                </c:pt>
                <c:pt idx="6245">
                  <c:v>45179</c:v>
                </c:pt>
                <c:pt idx="6246">
                  <c:v>45179</c:v>
                </c:pt>
                <c:pt idx="6247">
                  <c:v>45179</c:v>
                </c:pt>
                <c:pt idx="6248">
                  <c:v>45179</c:v>
                </c:pt>
                <c:pt idx="6249">
                  <c:v>45179</c:v>
                </c:pt>
                <c:pt idx="6250">
                  <c:v>45179</c:v>
                </c:pt>
                <c:pt idx="6251">
                  <c:v>45179</c:v>
                </c:pt>
                <c:pt idx="6252">
                  <c:v>45179</c:v>
                </c:pt>
                <c:pt idx="6253">
                  <c:v>45179</c:v>
                </c:pt>
                <c:pt idx="6254">
                  <c:v>45179</c:v>
                </c:pt>
                <c:pt idx="6255">
                  <c:v>45179</c:v>
                </c:pt>
                <c:pt idx="6256">
                  <c:v>45179</c:v>
                </c:pt>
                <c:pt idx="6257">
                  <c:v>45179</c:v>
                </c:pt>
                <c:pt idx="6258">
                  <c:v>45179</c:v>
                </c:pt>
                <c:pt idx="6259">
                  <c:v>45179</c:v>
                </c:pt>
                <c:pt idx="6260">
                  <c:v>45179</c:v>
                </c:pt>
                <c:pt idx="6261">
                  <c:v>45179</c:v>
                </c:pt>
                <c:pt idx="6262">
                  <c:v>45179</c:v>
                </c:pt>
                <c:pt idx="6263">
                  <c:v>45179</c:v>
                </c:pt>
                <c:pt idx="6264">
                  <c:v>45180</c:v>
                </c:pt>
                <c:pt idx="6265">
                  <c:v>45180</c:v>
                </c:pt>
                <c:pt idx="6266">
                  <c:v>45180</c:v>
                </c:pt>
                <c:pt idx="6267">
                  <c:v>45180</c:v>
                </c:pt>
                <c:pt idx="6268">
                  <c:v>45180</c:v>
                </c:pt>
                <c:pt idx="6269">
                  <c:v>45180</c:v>
                </c:pt>
                <c:pt idx="6270">
                  <c:v>45180</c:v>
                </c:pt>
                <c:pt idx="6271">
                  <c:v>45180</c:v>
                </c:pt>
                <c:pt idx="6272">
                  <c:v>45180</c:v>
                </c:pt>
                <c:pt idx="6273">
                  <c:v>45180</c:v>
                </c:pt>
                <c:pt idx="6274">
                  <c:v>45180</c:v>
                </c:pt>
                <c:pt idx="6275">
                  <c:v>45180</c:v>
                </c:pt>
                <c:pt idx="6276">
                  <c:v>45180</c:v>
                </c:pt>
                <c:pt idx="6277">
                  <c:v>45180</c:v>
                </c:pt>
                <c:pt idx="6278">
                  <c:v>45180</c:v>
                </c:pt>
                <c:pt idx="6279">
                  <c:v>45180</c:v>
                </c:pt>
                <c:pt idx="6280">
                  <c:v>45180</c:v>
                </c:pt>
                <c:pt idx="6281">
                  <c:v>45180</c:v>
                </c:pt>
                <c:pt idx="6282">
                  <c:v>45180</c:v>
                </c:pt>
                <c:pt idx="6283">
                  <c:v>45180</c:v>
                </c:pt>
                <c:pt idx="6284">
                  <c:v>45180</c:v>
                </c:pt>
                <c:pt idx="6285">
                  <c:v>45180</c:v>
                </c:pt>
                <c:pt idx="6286">
                  <c:v>45180</c:v>
                </c:pt>
                <c:pt idx="6287">
                  <c:v>45180</c:v>
                </c:pt>
                <c:pt idx="6288">
                  <c:v>45181</c:v>
                </c:pt>
                <c:pt idx="6289">
                  <c:v>45181</c:v>
                </c:pt>
                <c:pt idx="6290">
                  <c:v>45181</c:v>
                </c:pt>
                <c:pt idx="6291">
                  <c:v>45181</c:v>
                </c:pt>
                <c:pt idx="6292">
                  <c:v>45181</c:v>
                </c:pt>
                <c:pt idx="6293">
                  <c:v>45181</c:v>
                </c:pt>
                <c:pt idx="6294">
                  <c:v>45181</c:v>
                </c:pt>
                <c:pt idx="6295">
                  <c:v>45181</c:v>
                </c:pt>
                <c:pt idx="6296">
                  <c:v>45181</c:v>
                </c:pt>
                <c:pt idx="6297">
                  <c:v>45181</c:v>
                </c:pt>
                <c:pt idx="6298">
                  <c:v>45181</c:v>
                </c:pt>
                <c:pt idx="6299">
                  <c:v>45181</c:v>
                </c:pt>
                <c:pt idx="6300">
                  <c:v>45181</c:v>
                </c:pt>
                <c:pt idx="6301">
                  <c:v>45181</c:v>
                </c:pt>
                <c:pt idx="6302">
                  <c:v>45181</c:v>
                </c:pt>
                <c:pt idx="6303">
                  <c:v>45181</c:v>
                </c:pt>
                <c:pt idx="6304">
                  <c:v>45181</c:v>
                </c:pt>
                <c:pt idx="6305">
                  <c:v>45181</c:v>
                </c:pt>
                <c:pt idx="6306">
                  <c:v>45181</c:v>
                </c:pt>
                <c:pt idx="6307">
                  <c:v>45181</c:v>
                </c:pt>
                <c:pt idx="6308">
                  <c:v>45181</c:v>
                </c:pt>
                <c:pt idx="6309">
                  <c:v>45181</c:v>
                </c:pt>
                <c:pt idx="6310">
                  <c:v>45181</c:v>
                </c:pt>
                <c:pt idx="6311">
                  <c:v>45181</c:v>
                </c:pt>
                <c:pt idx="6312">
                  <c:v>45182</c:v>
                </c:pt>
                <c:pt idx="6313">
                  <c:v>45182</c:v>
                </c:pt>
                <c:pt idx="6314">
                  <c:v>45182</c:v>
                </c:pt>
                <c:pt idx="6315">
                  <c:v>45182</c:v>
                </c:pt>
                <c:pt idx="6316">
                  <c:v>45182</c:v>
                </c:pt>
                <c:pt idx="6317">
                  <c:v>45182</c:v>
                </c:pt>
                <c:pt idx="6318">
                  <c:v>45182</c:v>
                </c:pt>
                <c:pt idx="6319">
                  <c:v>45182</c:v>
                </c:pt>
                <c:pt idx="6320">
                  <c:v>45182</c:v>
                </c:pt>
                <c:pt idx="6321">
                  <c:v>45182</c:v>
                </c:pt>
                <c:pt idx="6322">
                  <c:v>45182</c:v>
                </c:pt>
                <c:pt idx="6323">
                  <c:v>45182</c:v>
                </c:pt>
                <c:pt idx="6324">
                  <c:v>45182</c:v>
                </c:pt>
                <c:pt idx="6325">
                  <c:v>45182</c:v>
                </c:pt>
                <c:pt idx="6326">
                  <c:v>45182</c:v>
                </c:pt>
                <c:pt idx="6327">
                  <c:v>45182</c:v>
                </c:pt>
                <c:pt idx="6328">
                  <c:v>45182</c:v>
                </c:pt>
                <c:pt idx="6329">
                  <c:v>45182</c:v>
                </c:pt>
                <c:pt idx="6330">
                  <c:v>45182</c:v>
                </c:pt>
                <c:pt idx="6331">
                  <c:v>45182</c:v>
                </c:pt>
                <c:pt idx="6332">
                  <c:v>45182</c:v>
                </c:pt>
                <c:pt idx="6333">
                  <c:v>45182</c:v>
                </c:pt>
                <c:pt idx="6334">
                  <c:v>45182</c:v>
                </c:pt>
                <c:pt idx="6335">
                  <c:v>45182</c:v>
                </c:pt>
                <c:pt idx="6336">
                  <c:v>45183</c:v>
                </c:pt>
                <c:pt idx="6337">
                  <c:v>45183</c:v>
                </c:pt>
                <c:pt idx="6338">
                  <c:v>45183</c:v>
                </c:pt>
                <c:pt idx="6339">
                  <c:v>45183</c:v>
                </c:pt>
                <c:pt idx="6340">
                  <c:v>45183</c:v>
                </c:pt>
                <c:pt idx="6341">
                  <c:v>45183</c:v>
                </c:pt>
                <c:pt idx="6342">
                  <c:v>45183</c:v>
                </c:pt>
                <c:pt idx="6343">
                  <c:v>45183</c:v>
                </c:pt>
                <c:pt idx="6344">
                  <c:v>45183</c:v>
                </c:pt>
                <c:pt idx="6345">
                  <c:v>45183</c:v>
                </c:pt>
                <c:pt idx="6346">
                  <c:v>45183</c:v>
                </c:pt>
                <c:pt idx="6347">
                  <c:v>45183</c:v>
                </c:pt>
                <c:pt idx="6348">
                  <c:v>45183</c:v>
                </c:pt>
                <c:pt idx="6349">
                  <c:v>45183</c:v>
                </c:pt>
                <c:pt idx="6350">
                  <c:v>45183</c:v>
                </c:pt>
                <c:pt idx="6351">
                  <c:v>45183</c:v>
                </c:pt>
                <c:pt idx="6352">
                  <c:v>45183</c:v>
                </c:pt>
                <c:pt idx="6353">
                  <c:v>45183</c:v>
                </c:pt>
                <c:pt idx="6354">
                  <c:v>45183</c:v>
                </c:pt>
                <c:pt idx="6355">
                  <c:v>45183</c:v>
                </c:pt>
                <c:pt idx="6356">
                  <c:v>45183</c:v>
                </c:pt>
                <c:pt idx="6357">
                  <c:v>45183</c:v>
                </c:pt>
                <c:pt idx="6358">
                  <c:v>45183</c:v>
                </c:pt>
                <c:pt idx="6359">
                  <c:v>45183</c:v>
                </c:pt>
                <c:pt idx="6360">
                  <c:v>45184</c:v>
                </c:pt>
                <c:pt idx="6361">
                  <c:v>45184</c:v>
                </c:pt>
                <c:pt idx="6362">
                  <c:v>45184</c:v>
                </c:pt>
                <c:pt idx="6363">
                  <c:v>45184</c:v>
                </c:pt>
                <c:pt idx="6364">
                  <c:v>45184</c:v>
                </c:pt>
                <c:pt idx="6365">
                  <c:v>45184</c:v>
                </c:pt>
                <c:pt idx="6366">
                  <c:v>45184</c:v>
                </c:pt>
                <c:pt idx="6367">
                  <c:v>45184</c:v>
                </c:pt>
                <c:pt idx="6368">
                  <c:v>45184</c:v>
                </c:pt>
                <c:pt idx="6369">
                  <c:v>45184</c:v>
                </c:pt>
                <c:pt idx="6370">
                  <c:v>45184</c:v>
                </c:pt>
                <c:pt idx="6371">
                  <c:v>45184</c:v>
                </c:pt>
                <c:pt idx="6372">
                  <c:v>45184</c:v>
                </c:pt>
                <c:pt idx="6373">
                  <c:v>45184</c:v>
                </c:pt>
                <c:pt idx="6374">
                  <c:v>45184</c:v>
                </c:pt>
                <c:pt idx="6375">
                  <c:v>45184</c:v>
                </c:pt>
                <c:pt idx="6376">
                  <c:v>45184</c:v>
                </c:pt>
                <c:pt idx="6377">
                  <c:v>45184</c:v>
                </c:pt>
                <c:pt idx="6378">
                  <c:v>45184</c:v>
                </c:pt>
                <c:pt idx="6379">
                  <c:v>45184</c:v>
                </c:pt>
                <c:pt idx="6380">
                  <c:v>45184</c:v>
                </c:pt>
                <c:pt idx="6381">
                  <c:v>45184</c:v>
                </c:pt>
                <c:pt idx="6382">
                  <c:v>45184</c:v>
                </c:pt>
                <c:pt idx="6383">
                  <c:v>45184</c:v>
                </c:pt>
                <c:pt idx="6384">
                  <c:v>45185</c:v>
                </c:pt>
                <c:pt idx="6385">
                  <c:v>45185</c:v>
                </c:pt>
                <c:pt idx="6386">
                  <c:v>45185</c:v>
                </c:pt>
                <c:pt idx="6387">
                  <c:v>45185</c:v>
                </c:pt>
                <c:pt idx="6388">
                  <c:v>45185</c:v>
                </c:pt>
                <c:pt idx="6389">
                  <c:v>45185</c:v>
                </c:pt>
                <c:pt idx="6390">
                  <c:v>45185</c:v>
                </c:pt>
                <c:pt idx="6391">
                  <c:v>45185</c:v>
                </c:pt>
                <c:pt idx="6392">
                  <c:v>45185</c:v>
                </c:pt>
                <c:pt idx="6393">
                  <c:v>45185</c:v>
                </c:pt>
                <c:pt idx="6394">
                  <c:v>45185</c:v>
                </c:pt>
                <c:pt idx="6395">
                  <c:v>45185</c:v>
                </c:pt>
                <c:pt idx="6396">
                  <c:v>45185</c:v>
                </c:pt>
                <c:pt idx="6397">
                  <c:v>45185</c:v>
                </c:pt>
                <c:pt idx="6398">
                  <c:v>45185</c:v>
                </c:pt>
                <c:pt idx="6399">
                  <c:v>45185</c:v>
                </c:pt>
                <c:pt idx="6400">
                  <c:v>45185</c:v>
                </c:pt>
                <c:pt idx="6401">
                  <c:v>45185</c:v>
                </c:pt>
                <c:pt idx="6402">
                  <c:v>45185</c:v>
                </c:pt>
                <c:pt idx="6403">
                  <c:v>45185</c:v>
                </c:pt>
                <c:pt idx="6404">
                  <c:v>45185</c:v>
                </c:pt>
                <c:pt idx="6405">
                  <c:v>45185</c:v>
                </c:pt>
                <c:pt idx="6406">
                  <c:v>45185</c:v>
                </c:pt>
                <c:pt idx="6407">
                  <c:v>45185</c:v>
                </c:pt>
                <c:pt idx="6408">
                  <c:v>45186</c:v>
                </c:pt>
                <c:pt idx="6409">
                  <c:v>45186</c:v>
                </c:pt>
                <c:pt idx="6410">
                  <c:v>45186</c:v>
                </c:pt>
                <c:pt idx="6411">
                  <c:v>45186</c:v>
                </c:pt>
                <c:pt idx="6412">
                  <c:v>45186</c:v>
                </c:pt>
                <c:pt idx="6413">
                  <c:v>45186</c:v>
                </c:pt>
                <c:pt idx="6414">
                  <c:v>45186</c:v>
                </c:pt>
                <c:pt idx="6415">
                  <c:v>45186</c:v>
                </c:pt>
                <c:pt idx="6416">
                  <c:v>45186</c:v>
                </c:pt>
                <c:pt idx="6417">
                  <c:v>45186</c:v>
                </c:pt>
                <c:pt idx="6418">
                  <c:v>45186</c:v>
                </c:pt>
                <c:pt idx="6419">
                  <c:v>45186</c:v>
                </c:pt>
                <c:pt idx="6420">
                  <c:v>45186</c:v>
                </c:pt>
                <c:pt idx="6421">
                  <c:v>45186</c:v>
                </c:pt>
                <c:pt idx="6422">
                  <c:v>45186</c:v>
                </c:pt>
                <c:pt idx="6423">
                  <c:v>45186</c:v>
                </c:pt>
                <c:pt idx="6424">
                  <c:v>45186</c:v>
                </c:pt>
                <c:pt idx="6425">
                  <c:v>45186</c:v>
                </c:pt>
                <c:pt idx="6426">
                  <c:v>45186</c:v>
                </c:pt>
                <c:pt idx="6427">
                  <c:v>45186</c:v>
                </c:pt>
                <c:pt idx="6428">
                  <c:v>45186</c:v>
                </c:pt>
                <c:pt idx="6429">
                  <c:v>45186</c:v>
                </c:pt>
                <c:pt idx="6430">
                  <c:v>45186</c:v>
                </c:pt>
                <c:pt idx="6431">
                  <c:v>45186</c:v>
                </c:pt>
                <c:pt idx="6432">
                  <c:v>45187</c:v>
                </c:pt>
                <c:pt idx="6433">
                  <c:v>45187</c:v>
                </c:pt>
                <c:pt idx="6434">
                  <c:v>45187</c:v>
                </c:pt>
                <c:pt idx="6435">
                  <c:v>45187</c:v>
                </c:pt>
                <c:pt idx="6436">
                  <c:v>45187</c:v>
                </c:pt>
                <c:pt idx="6437">
                  <c:v>45187</c:v>
                </c:pt>
                <c:pt idx="6438">
                  <c:v>45187</c:v>
                </c:pt>
                <c:pt idx="6439">
                  <c:v>45187</c:v>
                </c:pt>
                <c:pt idx="6440">
                  <c:v>45187</c:v>
                </c:pt>
                <c:pt idx="6441">
                  <c:v>45187</c:v>
                </c:pt>
                <c:pt idx="6442">
                  <c:v>45187</c:v>
                </c:pt>
                <c:pt idx="6443">
                  <c:v>45187</c:v>
                </c:pt>
                <c:pt idx="6444">
                  <c:v>45187</c:v>
                </c:pt>
                <c:pt idx="6445">
                  <c:v>45187</c:v>
                </c:pt>
                <c:pt idx="6446">
                  <c:v>45187</c:v>
                </c:pt>
                <c:pt idx="6447">
                  <c:v>45187</c:v>
                </c:pt>
                <c:pt idx="6448">
                  <c:v>45187</c:v>
                </c:pt>
                <c:pt idx="6449">
                  <c:v>45187</c:v>
                </c:pt>
                <c:pt idx="6450">
                  <c:v>45187</c:v>
                </c:pt>
                <c:pt idx="6451">
                  <c:v>45187</c:v>
                </c:pt>
                <c:pt idx="6452">
                  <c:v>45187</c:v>
                </c:pt>
                <c:pt idx="6453">
                  <c:v>45187</c:v>
                </c:pt>
                <c:pt idx="6454">
                  <c:v>45187</c:v>
                </c:pt>
                <c:pt idx="6455">
                  <c:v>45187</c:v>
                </c:pt>
                <c:pt idx="6456">
                  <c:v>45188</c:v>
                </c:pt>
                <c:pt idx="6457">
                  <c:v>45188</c:v>
                </c:pt>
                <c:pt idx="6458">
                  <c:v>45188</c:v>
                </c:pt>
                <c:pt idx="6459">
                  <c:v>45188</c:v>
                </c:pt>
                <c:pt idx="6460">
                  <c:v>45188</c:v>
                </c:pt>
                <c:pt idx="6461">
                  <c:v>45188</c:v>
                </c:pt>
                <c:pt idx="6462">
                  <c:v>45188</c:v>
                </c:pt>
                <c:pt idx="6463">
                  <c:v>45188</c:v>
                </c:pt>
                <c:pt idx="6464">
                  <c:v>45188</c:v>
                </c:pt>
                <c:pt idx="6465">
                  <c:v>45188</c:v>
                </c:pt>
                <c:pt idx="6466">
                  <c:v>45188</c:v>
                </c:pt>
                <c:pt idx="6467">
                  <c:v>45188</c:v>
                </c:pt>
                <c:pt idx="6468">
                  <c:v>45188</c:v>
                </c:pt>
                <c:pt idx="6469">
                  <c:v>45188</c:v>
                </c:pt>
                <c:pt idx="6470">
                  <c:v>45188</c:v>
                </c:pt>
                <c:pt idx="6471">
                  <c:v>45188</c:v>
                </c:pt>
                <c:pt idx="6472">
                  <c:v>45188</c:v>
                </c:pt>
                <c:pt idx="6473">
                  <c:v>45188</c:v>
                </c:pt>
                <c:pt idx="6474">
                  <c:v>45188</c:v>
                </c:pt>
                <c:pt idx="6475">
                  <c:v>45188</c:v>
                </c:pt>
                <c:pt idx="6476">
                  <c:v>45188</c:v>
                </c:pt>
                <c:pt idx="6477">
                  <c:v>45188</c:v>
                </c:pt>
                <c:pt idx="6478">
                  <c:v>45188</c:v>
                </c:pt>
                <c:pt idx="6479">
                  <c:v>45188</c:v>
                </c:pt>
                <c:pt idx="6480">
                  <c:v>45189</c:v>
                </c:pt>
                <c:pt idx="6481">
                  <c:v>45189</c:v>
                </c:pt>
                <c:pt idx="6482">
                  <c:v>45189</c:v>
                </c:pt>
                <c:pt idx="6483">
                  <c:v>45189</c:v>
                </c:pt>
                <c:pt idx="6484">
                  <c:v>45189</c:v>
                </c:pt>
                <c:pt idx="6485">
                  <c:v>45189</c:v>
                </c:pt>
                <c:pt idx="6486">
                  <c:v>45189</c:v>
                </c:pt>
                <c:pt idx="6487">
                  <c:v>45189</c:v>
                </c:pt>
                <c:pt idx="6488">
                  <c:v>45189</c:v>
                </c:pt>
                <c:pt idx="6489">
                  <c:v>45189</c:v>
                </c:pt>
                <c:pt idx="6490">
                  <c:v>45189</c:v>
                </c:pt>
                <c:pt idx="6491">
                  <c:v>45189</c:v>
                </c:pt>
                <c:pt idx="6492">
                  <c:v>45189</c:v>
                </c:pt>
                <c:pt idx="6493">
                  <c:v>45189</c:v>
                </c:pt>
                <c:pt idx="6494">
                  <c:v>45189</c:v>
                </c:pt>
                <c:pt idx="6495">
                  <c:v>45189</c:v>
                </c:pt>
                <c:pt idx="6496">
                  <c:v>45189</c:v>
                </c:pt>
                <c:pt idx="6497">
                  <c:v>45189</c:v>
                </c:pt>
                <c:pt idx="6498">
                  <c:v>45189</c:v>
                </c:pt>
                <c:pt idx="6499">
                  <c:v>45189</c:v>
                </c:pt>
                <c:pt idx="6500">
                  <c:v>45189</c:v>
                </c:pt>
                <c:pt idx="6501">
                  <c:v>45189</c:v>
                </c:pt>
                <c:pt idx="6502">
                  <c:v>45189</c:v>
                </c:pt>
                <c:pt idx="6503">
                  <c:v>45189</c:v>
                </c:pt>
                <c:pt idx="6504">
                  <c:v>45190</c:v>
                </c:pt>
                <c:pt idx="6505">
                  <c:v>45190</c:v>
                </c:pt>
                <c:pt idx="6506">
                  <c:v>45190</c:v>
                </c:pt>
                <c:pt idx="6507">
                  <c:v>45190</c:v>
                </c:pt>
                <c:pt idx="6508">
                  <c:v>45190</c:v>
                </c:pt>
                <c:pt idx="6509">
                  <c:v>45190</c:v>
                </c:pt>
                <c:pt idx="6510">
                  <c:v>45190</c:v>
                </c:pt>
                <c:pt idx="6511">
                  <c:v>45190</c:v>
                </c:pt>
                <c:pt idx="6512">
                  <c:v>45190</c:v>
                </c:pt>
                <c:pt idx="6513">
                  <c:v>45190</c:v>
                </c:pt>
                <c:pt idx="6514">
                  <c:v>45190</c:v>
                </c:pt>
                <c:pt idx="6515">
                  <c:v>45190</c:v>
                </c:pt>
                <c:pt idx="6516">
                  <c:v>45190</c:v>
                </c:pt>
                <c:pt idx="6517">
                  <c:v>45190</c:v>
                </c:pt>
                <c:pt idx="6518">
                  <c:v>45190</c:v>
                </c:pt>
                <c:pt idx="6519">
                  <c:v>45190</c:v>
                </c:pt>
                <c:pt idx="6520">
                  <c:v>45190</c:v>
                </c:pt>
                <c:pt idx="6521">
                  <c:v>45190</c:v>
                </c:pt>
                <c:pt idx="6522">
                  <c:v>45190</c:v>
                </c:pt>
                <c:pt idx="6523">
                  <c:v>45190</c:v>
                </c:pt>
                <c:pt idx="6524">
                  <c:v>45190</c:v>
                </c:pt>
                <c:pt idx="6525">
                  <c:v>45190</c:v>
                </c:pt>
                <c:pt idx="6526">
                  <c:v>45190</c:v>
                </c:pt>
                <c:pt idx="6527">
                  <c:v>45190</c:v>
                </c:pt>
                <c:pt idx="6528">
                  <c:v>45191</c:v>
                </c:pt>
                <c:pt idx="6529">
                  <c:v>45191</c:v>
                </c:pt>
                <c:pt idx="6530">
                  <c:v>45191</c:v>
                </c:pt>
                <c:pt idx="6531">
                  <c:v>45191</c:v>
                </c:pt>
                <c:pt idx="6532">
                  <c:v>45191</c:v>
                </c:pt>
                <c:pt idx="6533">
                  <c:v>45191</c:v>
                </c:pt>
                <c:pt idx="6534">
                  <c:v>45191</c:v>
                </c:pt>
                <c:pt idx="6535">
                  <c:v>45191</c:v>
                </c:pt>
                <c:pt idx="6536">
                  <c:v>45191</c:v>
                </c:pt>
                <c:pt idx="6537">
                  <c:v>45191</c:v>
                </c:pt>
                <c:pt idx="6538">
                  <c:v>45191</c:v>
                </c:pt>
                <c:pt idx="6539">
                  <c:v>45191</c:v>
                </c:pt>
                <c:pt idx="6540">
                  <c:v>45191</c:v>
                </c:pt>
                <c:pt idx="6541">
                  <c:v>45191</c:v>
                </c:pt>
                <c:pt idx="6542">
                  <c:v>45191</c:v>
                </c:pt>
                <c:pt idx="6543">
                  <c:v>45191</c:v>
                </c:pt>
                <c:pt idx="6544">
                  <c:v>45191</c:v>
                </c:pt>
                <c:pt idx="6545">
                  <c:v>45191</c:v>
                </c:pt>
                <c:pt idx="6546">
                  <c:v>45191</c:v>
                </c:pt>
                <c:pt idx="6547">
                  <c:v>45191</c:v>
                </c:pt>
                <c:pt idx="6548">
                  <c:v>45191</c:v>
                </c:pt>
                <c:pt idx="6549">
                  <c:v>45191</c:v>
                </c:pt>
                <c:pt idx="6550">
                  <c:v>45191</c:v>
                </c:pt>
                <c:pt idx="6551">
                  <c:v>45191</c:v>
                </c:pt>
                <c:pt idx="6552">
                  <c:v>45192</c:v>
                </c:pt>
                <c:pt idx="6553">
                  <c:v>45192</c:v>
                </c:pt>
                <c:pt idx="6554">
                  <c:v>45192</c:v>
                </c:pt>
                <c:pt idx="6555">
                  <c:v>45192</c:v>
                </c:pt>
                <c:pt idx="6556">
                  <c:v>45192</c:v>
                </c:pt>
                <c:pt idx="6557">
                  <c:v>45192</c:v>
                </c:pt>
                <c:pt idx="6558">
                  <c:v>45192</c:v>
                </c:pt>
                <c:pt idx="6559">
                  <c:v>45192</c:v>
                </c:pt>
                <c:pt idx="6560">
                  <c:v>45192</c:v>
                </c:pt>
                <c:pt idx="6561">
                  <c:v>45192</c:v>
                </c:pt>
                <c:pt idx="6562">
                  <c:v>45192</c:v>
                </c:pt>
                <c:pt idx="6563">
                  <c:v>45192</c:v>
                </c:pt>
                <c:pt idx="6564">
                  <c:v>45192</c:v>
                </c:pt>
                <c:pt idx="6565">
                  <c:v>45192</c:v>
                </c:pt>
                <c:pt idx="6566">
                  <c:v>45192</c:v>
                </c:pt>
                <c:pt idx="6567">
                  <c:v>45192</c:v>
                </c:pt>
                <c:pt idx="6568">
                  <c:v>45192</c:v>
                </c:pt>
                <c:pt idx="6569">
                  <c:v>45192</c:v>
                </c:pt>
                <c:pt idx="6570">
                  <c:v>45192</c:v>
                </c:pt>
                <c:pt idx="6571">
                  <c:v>45192</c:v>
                </c:pt>
                <c:pt idx="6572">
                  <c:v>45192</c:v>
                </c:pt>
                <c:pt idx="6573">
                  <c:v>45192</c:v>
                </c:pt>
                <c:pt idx="6574">
                  <c:v>45192</c:v>
                </c:pt>
                <c:pt idx="6575">
                  <c:v>45192</c:v>
                </c:pt>
                <c:pt idx="6576">
                  <c:v>45193</c:v>
                </c:pt>
                <c:pt idx="6577">
                  <c:v>45193</c:v>
                </c:pt>
                <c:pt idx="6578">
                  <c:v>45193</c:v>
                </c:pt>
                <c:pt idx="6579">
                  <c:v>45193</c:v>
                </c:pt>
                <c:pt idx="6580">
                  <c:v>45193</c:v>
                </c:pt>
                <c:pt idx="6581">
                  <c:v>45193</c:v>
                </c:pt>
                <c:pt idx="6582">
                  <c:v>45193</c:v>
                </c:pt>
                <c:pt idx="6583">
                  <c:v>45193</c:v>
                </c:pt>
                <c:pt idx="6584">
                  <c:v>45193</c:v>
                </c:pt>
                <c:pt idx="6585">
                  <c:v>45193</c:v>
                </c:pt>
                <c:pt idx="6586">
                  <c:v>45193</c:v>
                </c:pt>
                <c:pt idx="6587">
                  <c:v>45193</c:v>
                </c:pt>
                <c:pt idx="6588">
                  <c:v>45193</c:v>
                </c:pt>
                <c:pt idx="6589">
                  <c:v>45193</c:v>
                </c:pt>
                <c:pt idx="6590">
                  <c:v>45193</c:v>
                </c:pt>
                <c:pt idx="6591">
                  <c:v>45193</c:v>
                </c:pt>
                <c:pt idx="6592">
                  <c:v>45193</c:v>
                </c:pt>
                <c:pt idx="6593">
                  <c:v>45193</c:v>
                </c:pt>
                <c:pt idx="6594">
                  <c:v>45193</c:v>
                </c:pt>
                <c:pt idx="6595">
                  <c:v>45193</c:v>
                </c:pt>
                <c:pt idx="6596">
                  <c:v>45193</c:v>
                </c:pt>
                <c:pt idx="6597">
                  <c:v>45193</c:v>
                </c:pt>
                <c:pt idx="6598">
                  <c:v>45193</c:v>
                </c:pt>
                <c:pt idx="6599">
                  <c:v>45193</c:v>
                </c:pt>
                <c:pt idx="6600">
                  <c:v>45194</c:v>
                </c:pt>
                <c:pt idx="6601">
                  <c:v>45194</c:v>
                </c:pt>
                <c:pt idx="6602">
                  <c:v>45194</c:v>
                </c:pt>
                <c:pt idx="6603">
                  <c:v>45194</c:v>
                </c:pt>
                <c:pt idx="6604">
                  <c:v>45194</c:v>
                </c:pt>
                <c:pt idx="6605">
                  <c:v>45194</c:v>
                </c:pt>
                <c:pt idx="6606">
                  <c:v>45194</c:v>
                </c:pt>
                <c:pt idx="6607">
                  <c:v>45194</c:v>
                </c:pt>
                <c:pt idx="6608">
                  <c:v>45194</c:v>
                </c:pt>
                <c:pt idx="6609">
                  <c:v>45194</c:v>
                </c:pt>
                <c:pt idx="6610">
                  <c:v>45194</c:v>
                </c:pt>
                <c:pt idx="6611">
                  <c:v>45194</c:v>
                </c:pt>
                <c:pt idx="6612">
                  <c:v>45194</c:v>
                </c:pt>
                <c:pt idx="6613">
                  <c:v>45194</c:v>
                </c:pt>
                <c:pt idx="6614">
                  <c:v>45194</c:v>
                </c:pt>
                <c:pt idx="6615">
                  <c:v>45194</c:v>
                </c:pt>
                <c:pt idx="6616">
                  <c:v>45194</c:v>
                </c:pt>
                <c:pt idx="6617">
                  <c:v>45194</c:v>
                </c:pt>
                <c:pt idx="6618">
                  <c:v>45194</c:v>
                </c:pt>
                <c:pt idx="6619">
                  <c:v>45194</c:v>
                </c:pt>
                <c:pt idx="6620">
                  <c:v>45194</c:v>
                </c:pt>
                <c:pt idx="6621">
                  <c:v>45194</c:v>
                </c:pt>
                <c:pt idx="6622">
                  <c:v>45194</c:v>
                </c:pt>
                <c:pt idx="6623">
                  <c:v>45194</c:v>
                </c:pt>
                <c:pt idx="6624">
                  <c:v>45195</c:v>
                </c:pt>
                <c:pt idx="6625">
                  <c:v>45195</c:v>
                </c:pt>
                <c:pt idx="6626">
                  <c:v>45195</c:v>
                </c:pt>
                <c:pt idx="6627">
                  <c:v>45195</c:v>
                </c:pt>
                <c:pt idx="6628">
                  <c:v>45195</c:v>
                </c:pt>
                <c:pt idx="6629">
                  <c:v>45195</c:v>
                </c:pt>
                <c:pt idx="6630">
                  <c:v>45195</c:v>
                </c:pt>
                <c:pt idx="6631">
                  <c:v>45195</c:v>
                </c:pt>
                <c:pt idx="6632">
                  <c:v>45195</c:v>
                </c:pt>
                <c:pt idx="6633">
                  <c:v>45195</c:v>
                </c:pt>
                <c:pt idx="6634">
                  <c:v>45195</c:v>
                </c:pt>
                <c:pt idx="6635">
                  <c:v>45195</c:v>
                </c:pt>
                <c:pt idx="6636">
                  <c:v>45195</c:v>
                </c:pt>
                <c:pt idx="6637">
                  <c:v>45195</c:v>
                </c:pt>
                <c:pt idx="6638">
                  <c:v>45195</c:v>
                </c:pt>
                <c:pt idx="6639">
                  <c:v>45195</c:v>
                </c:pt>
                <c:pt idx="6640">
                  <c:v>45195</c:v>
                </c:pt>
                <c:pt idx="6641">
                  <c:v>45195</c:v>
                </c:pt>
                <c:pt idx="6642">
                  <c:v>45195</c:v>
                </c:pt>
                <c:pt idx="6643">
                  <c:v>45195</c:v>
                </c:pt>
                <c:pt idx="6644">
                  <c:v>45195</c:v>
                </c:pt>
                <c:pt idx="6645">
                  <c:v>45195</c:v>
                </c:pt>
                <c:pt idx="6646">
                  <c:v>45195</c:v>
                </c:pt>
                <c:pt idx="6647">
                  <c:v>45195</c:v>
                </c:pt>
                <c:pt idx="6648">
                  <c:v>45196</c:v>
                </c:pt>
                <c:pt idx="6649">
                  <c:v>45196</c:v>
                </c:pt>
                <c:pt idx="6650">
                  <c:v>45196</c:v>
                </c:pt>
                <c:pt idx="6651">
                  <c:v>45196</c:v>
                </c:pt>
                <c:pt idx="6652">
                  <c:v>45196</c:v>
                </c:pt>
                <c:pt idx="6653">
                  <c:v>45196</c:v>
                </c:pt>
                <c:pt idx="6654">
                  <c:v>45196</c:v>
                </c:pt>
                <c:pt idx="6655">
                  <c:v>45196</c:v>
                </c:pt>
                <c:pt idx="6656">
                  <c:v>45196</c:v>
                </c:pt>
                <c:pt idx="6657">
                  <c:v>45196</c:v>
                </c:pt>
                <c:pt idx="6658">
                  <c:v>45196</c:v>
                </c:pt>
                <c:pt idx="6659">
                  <c:v>45196</c:v>
                </c:pt>
                <c:pt idx="6660">
                  <c:v>45196</c:v>
                </c:pt>
                <c:pt idx="6661">
                  <c:v>45196</c:v>
                </c:pt>
                <c:pt idx="6662">
                  <c:v>45196</c:v>
                </c:pt>
                <c:pt idx="6663">
                  <c:v>45196</c:v>
                </c:pt>
                <c:pt idx="6664">
                  <c:v>45196</c:v>
                </c:pt>
                <c:pt idx="6665">
                  <c:v>45196</c:v>
                </c:pt>
                <c:pt idx="6666">
                  <c:v>45196</c:v>
                </c:pt>
                <c:pt idx="6667">
                  <c:v>45196</c:v>
                </c:pt>
                <c:pt idx="6668">
                  <c:v>45196</c:v>
                </c:pt>
                <c:pt idx="6669">
                  <c:v>45196</c:v>
                </c:pt>
                <c:pt idx="6670">
                  <c:v>45196</c:v>
                </c:pt>
                <c:pt idx="6671">
                  <c:v>45196</c:v>
                </c:pt>
                <c:pt idx="6672">
                  <c:v>45197</c:v>
                </c:pt>
                <c:pt idx="6673">
                  <c:v>45197</c:v>
                </c:pt>
                <c:pt idx="6674">
                  <c:v>45197</c:v>
                </c:pt>
                <c:pt idx="6675">
                  <c:v>45197</c:v>
                </c:pt>
                <c:pt idx="6676">
                  <c:v>45197</c:v>
                </c:pt>
                <c:pt idx="6677">
                  <c:v>45197</c:v>
                </c:pt>
                <c:pt idx="6678">
                  <c:v>45197</c:v>
                </c:pt>
                <c:pt idx="6679">
                  <c:v>45197</c:v>
                </c:pt>
                <c:pt idx="6680">
                  <c:v>45197</c:v>
                </c:pt>
                <c:pt idx="6681">
                  <c:v>45197</c:v>
                </c:pt>
                <c:pt idx="6682">
                  <c:v>45197</c:v>
                </c:pt>
                <c:pt idx="6683">
                  <c:v>45197</c:v>
                </c:pt>
                <c:pt idx="6684">
                  <c:v>45197</c:v>
                </c:pt>
                <c:pt idx="6685">
                  <c:v>45197</c:v>
                </c:pt>
                <c:pt idx="6686">
                  <c:v>45197</c:v>
                </c:pt>
                <c:pt idx="6687">
                  <c:v>45197</c:v>
                </c:pt>
                <c:pt idx="6688">
                  <c:v>45197</c:v>
                </c:pt>
                <c:pt idx="6689">
                  <c:v>45197</c:v>
                </c:pt>
                <c:pt idx="6690">
                  <c:v>45197</c:v>
                </c:pt>
                <c:pt idx="6691">
                  <c:v>45197</c:v>
                </c:pt>
                <c:pt idx="6692">
                  <c:v>45197</c:v>
                </c:pt>
                <c:pt idx="6693">
                  <c:v>45197</c:v>
                </c:pt>
                <c:pt idx="6694">
                  <c:v>45197</c:v>
                </c:pt>
                <c:pt idx="6695">
                  <c:v>45197</c:v>
                </c:pt>
                <c:pt idx="6696">
                  <c:v>45198</c:v>
                </c:pt>
                <c:pt idx="6697">
                  <c:v>45198</c:v>
                </c:pt>
                <c:pt idx="6698">
                  <c:v>45198</c:v>
                </c:pt>
                <c:pt idx="6699">
                  <c:v>45198</c:v>
                </c:pt>
                <c:pt idx="6700">
                  <c:v>45198</c:v>
                </c:pt>
                <c:pt idx="6701">
                  <c:v>45198</c:v>
                </c:pt>
                <c:pt idx="6702">
                  <c:v>45198</c:v>
                </c:pt>
                <c:pt idx="6703">
                  <c:v>45198</c:v>
                </c:pt>
                <c:pt idx="6704">
                  <c:v>45198</c:v>
                </c:pt>
                <c:pt idx="6705">
                  <c:v>45198</c:v>
                </c:pt>
                <c:pt idx="6706">
                  <c:v>45198</c:v>
                </c:pt>
                <c:pt idx="6707">
                  <c:v>45198</c:v>
                </c:pt>
                <c:pt idx="6708">
                  <c:v>45198</c:v>
                </c:pt>
                <c:pt idx="6709">
                  <c:v>45198</c:v>
                </c:pt>
                <c:pt idx="6710">
                  <c:v>45198</c:v>
                </c:pt>
                <c:pt idx="6711">
                  <c:v>45198</c:v>
                </c:pt>
                <c:pt idx="6712">
                  <c:v>45198</c:v>
                </c:pt>
                <c:pt idx="6713">
                  <c:v>45198</c:v>
                </c:pt>
                <c:pt idx="6714">
                  <c:v>45198</c:v>
                </c:pt>
                <c:pt idx="6715">
                  <c:v>45198</c:v>
                </c:pt>
                <c:pt idx="6716">
                  <c:v>45198</c:v>
                </c:pt>
                <c:pt idx="6717">
                  <c:v>45198</c:v>
                </c:pt>
                <c:pt idx="6718">
                  <c:v>45198</c:v>
                </c:pt>
                <c:pt idx="6719">
                  <c:v>45198</c:v>
                </c:pt>
                <c:pt idx="6720">
                  <c:v>45199</c:v>
                </c:pt>
                <c:pt idx="6721">
                  <c:v>45199</c:v>
                </c:pt>
                <c:pt idx="6722">
                  <c:v>45199</c:v>
                </c:pt>
                <c:pt idx="6723">
                  <c:v>45199</c:v>
                </c:pt>
                <c:pt idx="6724">
                  <c:v>45199</c:v>
                </c:pt>
                <c:pt idx="6725">
                  <c:v>45199</c:v>
                </c:pt>
                <c:pt idx="6726">
                  <c:v>45199</c:v>
                </c:pt>
                <c:pt idx="6727">
                  <c:v>45199</c:v>
                </c:pt>
                <c:pt idx="6728">
                  <c:v>45199</c:v>
                </c:pt>
                <c:pt idx="6729">
                  <c:v>45199</c:v>
                </c:pt>
                <c:pt idx="6730">
                  <c:v>45199</c:v>
                </c:pt>
                <c:pt idx="6731">
                  <c:v>45199</c:v>
                </c:pt>
                <c:pt idx="6732">
                  <c:v>45199</c:v>
                </c:pt>
                <c:pt idx="6733">
                  <c:v>45199</c:v>
                </c:pt>
                <c:pt idx="6734">
                  <c:v>45199</c:v>
                </c:pt>
                <c:pt idx="6735">
                  <c:v>45199</c:v>
                </c:pt>
                <c:pt idx="6736">
                  <c:v>45199</c:v>
                </c:pt>
                <c:pt idx="6737">
                  <c:v>45199</c:v>
                </c:pt>
                <c:pt idx="6738">
                  <c:v>45199</c:v>
                </c:pt>
                <c:pt idx="6739">
                  <c:v>45199</c:v>
                </c:pt>
                <c:pt idx="6740">
                  <c:v>45199</c:v>
                </c:pt>
                <c:pt idx="6741">
                  <c:v>45199</c:v>
                </c:pt>
                <c:pt idx="6742">
                  <c:v>45199</c:v>
                </c:pt>
                <c:pt idx="6743">
                  <c:v>45199</c:v>
                </c:pt>
                <c:pt idx="6744">
                  <c:v>45200</c:v>
                </c:pt>
                <c:pt idx="6745">
                  <c:v>45200</c:v>
                </c:pt>
                <c:pt idx="6746">
                  <c:v>45200</c:v>
                </c:pt>
                <c:pt idx="6747">
                  <c:v>45200</c:v>
                </c:pt>
                <c:pt idx="6748">
                  <c:v>45200</c:v>
                </c:pt>
                <c:pt idx="6749">
                  <c:v>45200</c:v>
                </c:pt>
                <c:pt idx="6750">
                  <c:v>45200</c:v>
                </c:pt>
                <c:pt idx="6751">
                  <c:v>45200</c:v>
                </c:pt>
                <c:pt idx="6752">
                  <c:v>45200</c:v>
                </c:pt>
                <c:pt idx="6753">
                  <c:v>45200</c:v>
                </c:pt>
                <c:pt idx="6754">
                  <c:v>45200</c:v>
                </c:pt>
                <c:pt idx="6755">
                  <c:v>45200</c:v>
                </c:pt>
                <c:pt idx="6756">
                  <c:v>45200</c:v>
                </c:pt>
                <c:pt idx="6757">
                  <c:v>45200</c:v>
                </c:pt>
                <c:pt idx="6758">
                  <c:v>45200</c:v>
                </c:pt>
                <c:pt idx="6759">
                  <c:v>45200</c:v>
                </c:pt>
                <c:pt idx="6760">
                  <c:v>45200</c:v>
                </c:pt>
                <c:pt idx="6761">
                  <c:v>45200</c:v>
                </c:pt>
                <c:pt idx="6762">
                  <c:v>45200</c:v>
                </c:pt>
                <c:pt idx="6763">
                  <c:v>45200</c:v>
                </c:pt>
                <c:pt idx="6764">
                  <c:v>45200</c:v>
                </c:pt>
                <c:pt idx="6765">
                  <c:v>45200</c:v>
                </c:pt>
                <c:pt idx="6766">
                  <c:v>45200</c:v>
                </c:pt>
                <c:pt idx="6767">
                  <c:v>45200</c:v>
                </c:pt>
                <c:pt idx="6768">
                  <c:v>45201</c:v>
                </c:pt>
                <c:pt idx="6769">
                  <c:v>45201</c:v>
                </c:pt>
                <c:pt idx="6770">
                  <c:v>45201</c:v>
                </c:pt>
                <c:pt idx="6771">
                  <c:v>45201</c:v>
                </c:pt>
                <c:pt idx="6772">
                  <c:v>45201</c:v>
                </c:pt>
                <c:pt idx="6773">
                  <c:v>45201</c:v>
                </c:pt>
                <c:pt idx="6774">
                  <c:v>45201</c:v>
                </c:pt>
                <c:pt idx="6775">
                  <c:v>45201</c:v>
                </c:pt>
                <c:pt idx="6776">
                  <c:v>45201</c:v>
                </c:pt>
                <c:pt idx="6777">
                  <c:v>45201</c:v>
                </c:pt>
                <c:pt idx="6778">
                  <c:v>45201</c:v>
                </c:pt>
                <c:pt idx="6779">
                  <c:v>45201</c:v>
                </c:pt>
                <c:pt idx="6780">
                  <c:v>45201</c:v>
                </c:pt>
                <c:pt idx="6781">
                  <c:v>45201</c:v>
                </c:pt>
                <c:pt idx="6782">
                  <c:v>45201</c:v>
                </c:pt>
                <c:pt idx="6783">
                  <c:v>45201</c:v>
                </c:pt>
                <c:pt idx="6784">
                  <c:v>45201</c:v>
                </c:pt>
                <c:pt idx="6785">
                  <c:v>45201</c:v>
                </c:pt>
                <c:pt idx="6786">
                  <c:v>45201</c:v>
                </c:pt>
                <c:pt idx="6787">
                  <c:v>45201</c:v>
                </c:pt>
                <c:pt idx="6788">
                  <c:v>45201</c:v>
                </c:pt>
                <c:pt idx="6789">
                  <c:v>45201</c:v>
                </c:pt>
                <c:pt idx="6790">
                  <c:v>45201</c:v>
                </c:pt>
                <c:pt idx="6791">
                  <c:v>45201</c:v>
                </c:pt>
                <c:pt idx="6792">
                  <c:v>45202</c:v>
                </c:pt>
                <c:pt idx="6793">
                  <c:v>45202</c:v>
                </c:pt>
                <c:pt idx="6794">
                  <c:v>45202</c:v>
                </c:pt>
                <c:pt idx="6795">
                  <c:v>45202</c:v>
                </c:pt>
                <c:pt idx="6796">
                  <c:v>45202</c:v>
                </c:pt>
                <c:pt idx="6797">
                  <c:v>45202</c:v>
                </c:pt>
                <c:pt idx="6798">
                  <c:v>45202</c:v>
                </c:pt>
                <c:pt idx="6799">
                  <c:v>45202</c:v>
                </c:pt>
                <c:pt idx="6800">
                  <c:v>45202</c:v>
                </c:pt>
                <c:pt idx="6801">
                  <c:v>45202</c:v>
                </c:pt>
                <c:pt idx="6802">
                  <c:v>45202</c:v>
                </c:pt>
                <c:pt idx="6803">
                  <c:v>45202</c:v>
                </c:pt>
                <c:pt idx="6804">
                  <c:v>45202</c:v>
                </c:pt>
                <c:pt idx="6805">
                  <c:v>45202</c:v>
                </c:pt>
                <c:pt idx="6806">
                  <c:v>45202</c:v>
                </c:pt>
                <c:pt idx="6807">
                  <c:v>45202</c:v>
                </c:pt>
                <c:pt idx="6808">
                  <c:v>45202</c:v>
                </c:pt>
                <c:pt idx="6809">
                  <c:v>45202</c:v>
                </c:pt>
                <c:pt idx="6810">
                  <c:v>45202</c:v>
                </c:pt>
                <c:pt idx="6811">
                  <c:v>45202</c:v>
                </c:pt>
                <c:pt idx="6812">
                  <c:v>45202</c:v>
                </c:pt>
                <c:pt idx="6813">
                  <c:v>45202</c:v>
                </c:pt>
                <c:pt idx="6814">
                  <c:v>45202</c:v>
                </c:pt>
                <c:pt idx="6815">
                  <c:v>45202</c:v>
                </c:pt>
                <c:pt idx="6816">
                  <c:v>45203</c:v>
                </c:pt>
                <c:pt idx="6817">
                  <c:v>45203</c:v>
                </c:pt>
                <c:pt idx="6818">
                  <c:v>45203</c:v>
                </c:pt>
                <c:pt idx="6819">
                  <c:v>45203</c:v>
                </c:pt>
                <c:pt idx="6820">
                  <c:v>45203</c:v>
                </c:pt>
                <c:pt idx="6821">
                  <c:v>45203</c:v>
                </c:pt>
                <c:pt idx="6822">
                  <c:v>45203</c:v>
                </c:pt>
                <c:pt idx="6823">
                  <c:v>45203</c:v>
                </c:pt>
                <c:pt idx="6824">
                  <c:v>45203</c:v>
                </c:pt>
                <c:pt idx="6825">
                  <c:v>45203</c:v>
                </c:pt>
                <c:pt idx="6826">
                  <c:v>45203</c:v>
                </c:pt>
                <c:pt idx="6827">
                  <c:v>45203</c:v>
                </c:pt>
                <c:pt idx="6828">
                  <c:v>45203</c:v>
                </c:pt>
                <c:pt idx="6829">
                  <c:v>45203</c:v>
                </c:pt>
                <c:pt idx="6830">
                  <c:v>45203</c:v>
                </c:pt>
                <c:pt idx="6831">
                  <c:v>45203</c:v>
                </c:pt>
                <c:pt idx="6832">
                  <c:v>45203</c:v>
                </c:pt>
                <c:pt idx="6833">
                  <c:v>45203</c:v>
                </c:pt>
                <c:pt idx="6834">
                  <c:v>45203</c:v>
                </c:pt>
                <c:pt idx="6835">
                  <c:v>45203</c:v>
                </c:pt>
                <c:pt idx="6836">
                  <c:v>45203</c:v>
                </c:pt>
                <c:pt idx="6837">
                  <c:v>45203</c:v>
                </c:pt>
                <c:pt idx="6838">
                  <c:v>45203</c:v>
                </c:pt>
                <c:pt idx="6839">
                  <c:v>45203</c:v>
                </c:pt>
                <c:pt idx="6840">
                  <c:v>45204</c:v>
                </c:pt>
                <c:pt idx="6841">
                  <c:v>45204</c:v>
                </c:pt>
                <c:pt idx="6842">
                  <c:v>45204</c:v>
                </c:pt>
                <c:pt idx="6843">
                  <c:v>45204</c:v>
                </c:pt>
                <c:pt idx="6844">
                  <c:v>45204</c:v>
                </c:pt>
                <c:pt idx="6845">
                  <c:v>45204</c:v>
                </c:pt>
                <c:pt idx="6846">
                  <c:v>45204</c:v>
                </c:pt>
                <c:pt idx="6847">
                  <c:v>45204</c:v>
                </c:pt>
                <c:pt idx="6848">
                  <c:v>45204</c:v>
                </c:pt>
                <c:pt idx="6849">
                  <c:v>45204</c:v>
                </c:pt>
                <c:pt idx="6850">
                  <c:v>45204</c:v>
                </c:pt>
                <c:pt idx="6851">
                  <c:v>45204</c:v>
                </c:pt>
                <c:pt idx="6852">
                  <c:v>45204</c:v>
                </c:pt>
                <c:pt idx="6853">
                  <c:v>45204</c:v>
                </c:pt>
                <c:pt idx="6854">
                  <c:v>45204</c:v>
                </c:pt>
                <c:pt idx="6855">
                  <c:v>45204</c:v>
                </c:pt>
                <c:pt idx="6856">
                  <c:v>45204</c:v>
                </c:pt>
                <c:pt idx="6857">
                  <c:v>45204</c:v>
                </c:pt>
                <c:pt idx="6858">
                  <c:v>45204</c:v>
                </c:pt>
                <c:pt idx="6859">
                  <c:v>45204</c:v>
                </c:pt>
                <c:pt idx="6860">
                  <c:v>45204</c:v>
                </c:pt>
                <c:pt idx="6861">
                  <c:v>45204</c:v>
                </c:pt>
                <c:pt idx="6862">
                  <c:v>45204</c:v>
                </c:pt>
                <c:pt idx="6863">
                  <c:v>45204</c:v>
                </c:pt>
                <c:pt idx="6864">
                  <c:v>45205</c:v>
                </c:pt>
                <c:pt idx="6865">
                  <c:v>45205</c:v>
                </c:pt>
                <c:pt idx="6866">
                  <c:v>45205</c:v>
                </c:pt>
                <c:pt idx="6867">
                  <c:v>45205</c:v>
                </c:pt>
                <c:pt idx="6868">
                  <c:v>45205</c:v>
                </c:pt>
                <c:pt idx="6869">
                  <c:v>45205</c:v>
                </c:pt>
                <c:pt idx="6870">
                  <c:v>45205</c:v>
                </c:pt>
                <c:pt idx="6871">
                  <c:v>45205</c:v>
                </c:pt>
                <c:pt idx="6872">
                  <c:v>45205</c:v>
                </c:pt>
                <c:pt idx="6873">
                  <c:v>45205</c:v>
                </c:pt>
                <c:pt idx="6874">
                  <c:v>45205</c:v>
                </c:pt>
                <c:pt idx="6875">
                  <c:v>45205</c:v>
                </c:pt>
                <c:pt idx="6876">
                  <c:v>45205</c:v>
                </c:pt>
                <c:pt idx="6877">
                  <c:v>45205</c:v>
                </c:pt>
                <c:pt idx="6878">
                  <c:v>45205</c:v>
                </c:pt>
                <c:pt idx="6879">
                  <c:v>45205</c:v>
                </c:pt>
                <c:pt idx="6880">
                  <c:v>45205</c:v>
                </c:pt>
                <c:pt idx="6881">
                  <c:v>45205</c:v>
                </c:pt>
                <c:pt idx="6882">
                  <c:v>45205</c:v>
                </c:pt>
                <c:pt idx="6883">
                  <c:v>45205</c:v>
                </c:pt>
                <c:pt idx="6884">
                  <c:v>45205</c:v>
                </c:pt>
                <c:pt idx="6885">
                  <c:v>45205</c:v>
                </c:pt>
                <c:pt idx="6886">
                  <c:v>45205</c:v>
                </c:pt>
                <c:pt idx="6887">
                  <c:v>45205</c:v>
                </c:pt>
                <c:pt idx="6888">
                  <c:v>45206</c:v>
                </c:pt>
                <c:pt idx="6889">
                  <c:v>45206</c:v>
                </c:pt>
                <c:pt idx="6890">
                  <c:v>45206</c:v>
                </c:pt>
                <c:pt idx="6891">
                  <c:v>45206</c:v>
                </c:pt>
                <c:pt idx="6892">
                  <c:v>45206</c:v>
                </c:pt>
                <c:pt idx="6893">
                  <c:v>45206</c:v>
                </c:pt>
                <c:pt idx="6894">
                  <c:v>45206</c:v>
                </c:pt>
                <c:pt idx="6895">
                  <c:v>45206</c:v>
                </c:pt>
                <c:pt idx="6896">
                  <c:v>45206</c:v>
                </c:pt>
                <c:pt idx="6897">
                  <c:v>45206</c:v>
                </c:pt>
                <c:pt idx="6898">
                  <c:v>45206</c:v>
                </c:pt>
                <c:pt idx="6899">
                  <c:v>45206</c:v>
                </c:pt>
                <c:pt idx="6900">
                  <c:v>45206</c:v>
                </c:pt>
                <c:pt idx="6901">
                  <c:v>45206</c:v>
                </c:pt>
                <c:pt idx="6902">
                  <c:v>45206</c:v>
                </c:pt>
                <c:pt idx="6903">
                  <c:v>45206</c:v>
                </c:pt>
                <c:pt idx="6904">
                  <c:v>45206</c:v>
                </c:pt>
                <c:pt idx="6905">
                  <c:v>45206</c:v>
                </c:pt>
                <c:pt idx="6906">
                  <c:v>45206</c:v>
                </c:pt>
                <c:pt idx="6907">
                  <c:v>45206</c:v>
                </c:pt>
                <c:pt idx="6908">
                  <c:v>45206</c:v>
                </c:pt>
                <c:pt idx="6909">
                  <c:v>45206</c:v>
                </c:pt>
                <c:pt idx="6910">
                  <c:v>45206</c:v>
                </c:pt>
                <c:pt idx="6911">
                  <c:v>45206</c:v>
                </c:pt>
                <c:pt idx="6912">
                  <c:v>45207</c:v>
                </c:pt>
                <c:pt idx="6913">
                  <c:v>45207</c:v>
                </c:pt>
                <c:pt idx="6914">
                  <c:v>45207</c:v>
                </c:pt>
                <c:pt idx="6915">
                  <c:v>45207</c:v>
                </c:pt>
                <c:pt idx="6916">
                  <c:v>45207</c:v>
                </c:pt>
                <c:pt idx="6917">
                  <c:v>45207</c:v>
                </c:pt>
                <c:pt idx="6918">
                  <c:v>45207</c:v>
                </c:pt>
                <c:pt idx="6919">
                  <c:v>45207</c:v>
                </c:pt>
                <c:pt idx="6920">
                  <c:v>45207</c:v>
                </c:pt>
                <c:pt idx="6921">
                  <c:v>45207</c:v>
                </c:pt>
                <c:pt idx="6922">
                  <c:v>45207</c:v>
                </c:pt>
                <c:pt idx="6923">
                  <c:v>45207</c:v>
                </c:pt>
                <c:pt idx="6924">
                  <c:v>45207</c:v>
                </c:pt>
                <c:pt idx="6925">
                  <c:v>45207</c:v>
                </c:pt>
                <c:pt idx="6926">
                  <c:v>45207</c:v>
                </c:pt>
                <c:pt idx="6927">
                  <c:v>45207</c:v>
                </c:pt>
                <c:pt idx="6928">
                  <c:v>45207</c:v>
                </c:pt>
                <c:pt idx="6929">
                  <c:v>45207</c:v>
                </c:pt>
                <c:pt idx="6930">
                  <c:v>45207</c:v>
                </c:pt>
                <c:pt idx="6931">
                  <c:v>45207</c:v>
                </c:pt>
                <c:pt idx="6932">
                  <c:v>45207</c:v>
                </c:pt>
                <c:pt idx="6933">
                  <c:v>45207</c:v>
                </c:pt>
                <c:pt idx="6934">
                  <c:v>45207</c:v>
                </c:pt>
                <c:pt idx="6935">
                  <c:v>45207</c:v>
                </c:pt>
                <c:pt idx="6936">
                  <c:v>45208</c:v>
                </c:pt>
                <c:pt idx="6937">
                  <c:v>45208</c:v>
                </c:pt>
                <c:pt idx="6938">
                  <c:v>45208</c:v>
                </c:pt>
                <c:pt idx="6939">
                  <c:v>45208</c:v>
                </c:pt>
                <c:pt idx="6940">
                  <c:v>45208</c:v>
                </c:pt>
                <c:pt idx="6941">
                  <c:v>45208</c:v>
                </c:pt>
                <c:pt idx="6942">
                  <c:v>45208</c:v>
                </c:pt>
                <c:pt idx="6943">
                  <c:v>45208</c:v>
                </c:pt>
                <c:pt idx="6944">
                  <c:v>45208</c:v>
                </c:pt>
                <c:pt idx="6945">
                  <c:v>45208</c:v>
                </c:pt>
                <c:pt idx="6946">
                  <c:v>45208</c:v>
                </c:pt>
                <c:pt idx="6947">
                  <c:v>45208</c:v>
                </c:pt>
                <c:pt idx="6948">
                  <c:v>45208</c:v>
                </c:pt>
                <c:pt idx="6949">
                  <c:v>45208</c:v>
                </c:pt>
                <c:pt idx="6950">
                  <c:v>45208</c:v>
                </c:pt>
                <c:pt idx="6951">
                  <c:v>45208</c:v>
                </c:pt>
                <c:pt idx="6952">
                  <c:v>45208</c:v>
                </c:pt>
                <c:pt idx="6953">
                  <c:v>45208</c:v>
                </c:pt>
                <c:pt idx="6954">
                  <c:v>45208</c:v>
                </c:pt>
                <c:pt idx="6955">
                  <c:v>45208</c:v>
                </c:pt>
                <c:pt idx="6956">
                  <c:v>45208</c:v>
                </c:pt>
                <c:pt idx="6957">
                  <c:v>45208</c:v>
                </c:pt>
                <c:pt idx="6958">
                  <c:v>45208</c:v>
                </c:pt>
                <c:pt idx="6959">
                  <c:v>45208</c:v>
                </c:pt>
                <c:pt idx="6960">
                  <c:v>45209</c:v>
                </c:pt>
                <c:pt idx="6961">
                  <c:v>45209</c:v>
                </c:pt>
                <c:pt idx="6962">
                  <c:v>45209</c:v>
                </c:pt>
                <c:pt idx="6963">
                  <c:v>45209</c:v>
                </c:pt>
                <c:pt idx="6964">
                  <c:v>45209</c:v>
                </c:pt>
                <c:pt idx="6965">
                  <c:v>45209</c:v>
                </c:pt>
                <c:pt idx="6966">
                  <c:v>45209</c:v>
                </c:pt>
                <c:pt idx="6967">
                  <c:v>45209</c:v>
                </c:pt>
                <c:pt idx="6968">
                  <c:v>45209</c:v>
                </c:pt>
                <c:pt idx="6969">
                  <c:v>45209</c:v>
                </c:pt>
                <c:pt idx="6970">
                  <c:v>45209</c:v>
                </c:pt>
                <c:pt idx="6971">
                  <c:v>45209</c:v>
                </c:pt>
                <c:pt idx="6972">
                  <c:v>45209</c:v>
                </c:pt>
                <c:pt idx="6973">
                  <c:v>45209</c:v>
                </c:pt>
                <c:pt idx="6974">
                  <c:v>45209</c:v>
                </c:pt>
                <c:pt idx="6975">
                  <c:v>45209</c:v>
                </c:pt>
                <c:pt idx="6976">
                  <c:v>45209</c:v>
                </c:pt>
                <c:pt idx="6977">
                  <c:v>45209</c:v>
                </c:pt>
                <c:pt idx="6978">
                  <c:v>45209</c:v>
                </c:pt>
                <c:pt idx="6979">
                  <c:v>45209</c:v>
                </c:pt>
                <c:pt idx="6980">
                  <c:v>45209</c:v>
                </c:pt>
                <c:pt idx="6981">
                  <c:v>45209</c:v>
                </c:pt>
                <c:pt idx="6982">
                  <c:v>45209</c:v>
                </c:pt>
                <c:pt idx="6983">
                  <c:v>45209</c:v>
                </c:pt>
                <c:pt idx="6984">
                  <c:v>45210</c:v>
                </c:pt>
                <c:pt idx="6985">
                  <c:v>45210</c:v>
                </c:pt>
                <c:pt idx="6986">
                  <c:v>45210</c:v>
                </c:pt>
                <c:pt idx="6987">
                  <c:v>45210</c:v>
                </c:pt>
                <c:pt idx="6988">
                  <c:v>45210</c:v>
                </c:pt>
                <c:pt idx="6989">
                  <c:v>45210</c:v>
                </c:pt>
                <c:pt idx="6990">
                  <c:v>45210</c:v>
                </c:pt>
                <c:pt idx="6991">
                  <c:v>45210</c:v>
                </c:pt>
                <c:pt idx="6992">
                  <c:v>45210</c:v>
                </c:pt>
                <c:pt idx="6993">
                  <c:v>45210</c:v>
                </c:pt>
                <c:pt idx="6994">
                  <c:v>45210</c:v>
                </c:pt>
                <c:pt idx="6995">
                  <c:v>45210</c:v>
                </c:pt>
                <c:pt idx="6996">
                  <c:v>45210</c:v>
                </c:pt>
                <c:pt idx="6997">
                  <c:v>45210</c:v>
                </c:pt>
                <c:pt idx="6998">
                  <c:v>45210</c:v>
                </c:pt>
                <c:pt idx="6999">
                  <c:v>45210</c:v>
                </c:pt>
                <c:pt idx="7000">
                  <c:v>45210</c:v>
                </c:pt>
                <c:pt idx="7001">
                  <c:v>45210</c:v>
                </c:pt>
                <c:pt idx="7002">
                  <c:v>45210</c:v>
                </c:pt>
                <c:pt idx="7003">
                  <c:v>45210</c:v>
                </c:pt>
                <c:pt idx="7004">
                  <c:v>45210</c:v>
                </c:pt>
                <c:pt idx="7005">
                  <c:v>45210</c:v>
                </c:pt>
                <c:pt idx="7006">
                  <c:v>45210</c:v>
                </c:pt>
                <c:pt idx="7007">
                  <c:v>45210</c:v>
                </c:pt>
                <c:pt idx="7008">
                  <c:v>45211</c:v>
                </c:pt>
                <c:pt idx="7009">
                  <c:v>45211</c:v>
                </c:pt>
                <c:pt idx="7010">
                  <c:v>45211</c:v>
                </c:pt>
                <c:pt idx="7011">
                  <c:v>45211</c:v>
                </c:pt>
                <c:pt idx="7012">
                  <c:v>45211</c:v>
                </c:pt>
                <c:pt idx="7013">
                  <c:v>45211</c:v>
                </c:pt>
                <c:pt idx="7014">
                  <c:v>45211</c:v>
                </c:pt>
                <c:pt idx="7015">
                  <c:v>45211</c:v>
                </c:pt>
                <c:pt idx="7016">
                  <c:v>45211</c:v>
                </c:pt>
                <c:pt idx="7017">
                  <c:v>45211</c:v>
                </c:pt>
                <c:pt idx="7018">
                  <c:v>45211</c:v>
                </c:pt>
                <c:pt idx="7019">
                  <c:v>45211</c:v>
                </c:pt>
                <c:pt idx="7020">
                  <c:v>45211</c:v>
                </c:pt>
                <c:pt idx="7021">
                  <c:v>45211</c:v>
                </c:pt>
                <c:pt idx="7022">
                  <c:v>45211</c:v>
                </c:pt>
                <c:pt idx="7023">
                  <c:v>45211</c:v>
                </c:pt>
                <c:pt idx="7024">
                  <c:v>45211</c:v>
                </c:pt>
                <c:pt idx="7025">
                  <c:v>45211</c:v>
                </c:pt>
                <c:pt idx="7026">
                  <c:v>45211</c:v>
                </c:pt>
                <c:pt idx="7027">
                  <c:v>45211</c:v>
                </c:pt>
                <c:pt idx="7028">
                  <c:v>45211</c:v>
                </c:pt>
                <c:pt idx="7029">
                  <c:v>45211</c:v>
                </c:pt>
                <c:pt idx="7030">
                  <c:v>45211</c:v>
                </c:pt>
                <c:pt idx="7031">
                  <c:v>45211</c:v>
                </c:pt>
                <c:pt idx="7032">
                  <c:v>45212</c:v>
                </c:pt>
                <c:pt idx="7033">
                  <c:v>45212</c:v>
                </c:pt>
                <c:pt idx="7034">
                  <c:v>45212</c:v>
                </c:pt>
                <c:pt idx="7035">
                  <c:v>45212</c:v>
                </c:pt>
                <c:pt idx="7036">
                  <c:v>45212</c:v>
                </c:pt>
                <c:pt idx="7037">
                  <c:v>45212</c:v>
                </c:pt>
                <c:pt idx="7038">
                  <c:v>45212</c:v>
                </c:pt>
                <c:pt idx="7039">
                  <c:v>45212</c:v>
                </c:pt>
                <c:pt idx="7040">
                  <c:v>45212</c:v>
                </c:pt>
                <c:pt idx="7041">
                  <c:v>45212</c:v>
                </c:pt>
                <c:pt idx="7042">
                  <c:v>45212</c:v>
                </c:pt>
                <c:pt idx="7043">
                  <c:v>45212</c:v>
                </c:pt>
                <c:pt idx="7044">
                  <c:v>45212</c:v>
                </c:pt>
                <c:pt idx="7045">
                  <c:v>45212</c:v>
                </c:pt>
                <c:pt idx="7046">
                  <c:v>45212</c:v>
                </c:pt>
                <c:pt idx="7047">
                  <c:v>45212</c:v>
                </c:pt>
                <c:pt idx="7048">
                  <c:v>45212</c:v>
                </c:pt>
                <c:pt idx="7049">
                  <c:v>45212</c:v>
                </c:pt>
                <c:pt idx="7050">
                  <c:v>45212</c:v>
                </c:pt>
                <c:pt idx="7051">
                  <c:v>45212</c:v>
                </c:pt>
                <c:pt idx="7052">
                  <c:v>45212</c:v>
                </c:pt>
                <c:pt idx="7053">
                  <c:v>45212</c:v>
                </c:pt>
                <c:pt idx="7054">
                  <c:v>45212</c:v>
                </c:pt>
                <c:pt idx="7055">
                  <c:v>45212</c:v>
                </c:pt>
                <c:pt idx="7056">
                  <c:v>45213</c:v>
                </c:pt>
                <c:pt idx="7057">
                  <c:v>45213</c:v>
                </c:pt>
                <c:pt idx="7058">
                  <c:v>45213</c:v>
                </c:pt>
                <c:pt idx="7059">
                  <c:v>45213</c:v>
                </c:pt>
                <c:pt idx="7060">
                  <c:v>45213</c:v>
                </c:pt>
                <c:pt idx="7061">
                  <c:v>45213</c:v>
                </c:pt>
                <c:pt idx="7062">
                  <c:v>45213</c:v>
                </c:pt>
                <c:pt idx="7063">
                  <c:v>45213</c:v>
                </c:pt>
                <c:pt idx="7064">
                  <c:v>45213</c:v>
                </c:pt>
                <c:pt idx="7065">
                  <c:v>45213</c:v>
                </c:pt>
                <c:pt idx="7066">
                  <c:v>45213</c:v>
                </c:pt>
                <c:pt idx="7067">
                  <c:v>45213</c:v>
                </c:pt>
                <c:pt idx="7068">
                  <c:v>45213</c:v>
                </c:pt>
                <c:pt idx="7069">
                  <c:v>45213</c:v>
                </c:pt>
                <c:pt idx="7070">
                  <c:v>45213</c:v>
                </c:pt>
                <c:pt idx="7071">
                  <c:v>45213</c:v>
                </c:pt>
                <c:pt idx="7072">
                  <c:v>45213</c:v>
                </c:pt>
                <c:pt idx="7073">
                  <c:v>45213</c:v>
                </c:pt>
                <c:pt idx="7074">
                  <c:v>45213</c:v>
                </c:pt>
                <c:pt idx="7075">
                  <c:v>45213</c:v>
                </c:pt>
                <c:pt idx="7076">
                  <c:v>45213</c:v>
                </c:pt>
                <c:pt idx="7077">
                  <c:v>45213</c:v>
                </c:pt>
                <c:pt idx="7078">
                  <c:v>45213</c:v>
                </c:pt>
                <c:pt idx="7079">
                  <c:v>45213</c:v>
                </c:pt>
                <c:pt idx="7080">
                  <c:v>45214</c:v>
                </c:pt>
                <c:pt idx="7081">
                  <c:v>45214</c:v>
                </c:pt>
                <c:pt idx="7082">
                  <c:v>45214</c:v>
                </c:pt>
                <c:pt idx="7083">
                  <c:v>45214</c:v>
                </c:pt>
                <c:pt idx="7084">
                  <c:v>45214</c:v>
                </c:pt>
                <c:pt idx="7085">
                  <c:v>45214</c:v>
                </c:pt>
                <c:pt idx="7086">
                  <c:v>45214</c:v>
                </c:pt>
                <c:pt idx="7087">
                  <c:v>45214</c:v>
                </c:pt>
                <c:pt idx="7088">
                  <c:v>45214</c:v>
                </c:pt>
                <c:pt idx="7089">
                  <c:v>45214</c:v>
                </c:pt>
                <c:pt idx="7090">
                  <c:v>45214</c:v>
                </c:pt>
                <c:pt idx="7091">
                  <c:v>45214</c:v>
                </c:pt>
                <c:pt idx="7092">
                  <c:v>45214</c:v>
                </c:pt>
                <c:pt idx="7093">
                  <c:v>45214</c:v>
                </c:pt>
                <c:pt idx="7094">
                  <c:v>45214</c:v>
                </c:pt>
                <c:pt idx="7095">
                  <c:v>45214</c:v>
                </c:pt>
                <c:pt idx="7096">
                  <c:v>45214</c:v>
                </c:pt>
                <c:pt idx="7097">
                  <c:v>45214</c:v>
                </c:pt>
                <c:pt idx="7098">
                  <c:v>45214</c:v>
                </c:pt>
                <c:pt idx="7099">
                  <c:v>45214</c:v>
                </c:pt>
                <c:pt idx="7100">
                  <c:v>45214</c:v>
                </c:pt>
                <c:pt idx="7101">
                  <c:v>45214</c:v>
                </c:pt>
                <c:pt idx="7102">
                  <c:v>45214</c:v>
                </c:pt>
                <c:pt idx="7103">
                  <c:v>45214</c:v>
                </c:pt>
                <c:pt idx="7104">
                  <c:v>45215</c:v>
                </c:pt>
                <c:pt idx="7105">
                  <c:v>45215</c:v>
                </c:pt>
                <c:pt idx="7106">
                  <c:v>45215</c:v>
                </c:pt>
                <c:pt idx="7107">
                  <c:v>45215</c:v>
                </c:pt>
                <c:pt idx="7108">
                  <c:v>45215</c:v>
                </c:pt>
                <c:pt idx="7109">
                  <c:v>45215</c:v>
                </c:pt>
                <c:pt idx="7110">
                  <c:v>45215</c:v>
                </c:pt>
                <c:pt idx="7111">
                  <c:v>45215</c:v>
                </c:pt>
                <c:pt idx="7112">
                  <c:v>45215</c:v>
                </c:pt>
                <c:pt idx="7113">
                  <c:v>45215</c:v>
                </c:pt>
                <c:pt idx="7114">
                  <c:v>45215</c:v>
                </c:pt>
                <c:pt idx="7115">
                  <c:v>45215</c:v>
                </c:pt>
                <c:pt idx="7116">
                  <c:v>45215</c:v>
                </c:pt>
                <c:pt idx="7117">
                  <c:v>45215</c:v>
                </c:pt>
                <c:pt idx="7118">
                  <c:v>45215</c:v>
                </c:pt>
                <c:pt idx="7119">
                  <c:v>45215</c:v>
                </c:pt>
                <c:pt idx="7120">
                  <c:v>45215</c:v>
                </c:pt>
                <c:pt idx="7121">
                  <c:v>45215</c:v>
                </c:pt>
                <c:pt idx="7122">
                  <c:v>45215</c:v>
                </c:pt>
                <c:pt idx="7123">
                  <c:v>45215</c:v>
                </c:pt>
                <c:pt idx="7124">
                  <c:v>45215</c:v>
                </c:pt>
                <c:pt idx="7125">
                  <c:v>45215</c:v>
                </c:pt>
                <c:pt idx="7126">
                  <c:v>45215</c:v>
                </c:pt>
                <c:pt idx="7127">
                  <c:v>45215</c:v>
                </c:pt>
                <c:pt idx="7128">
                  <c:v>45216</c:v>
                </c:pt>
                <c:pt idx="7129">
                  <c:v>45216</c:v>
                </c:pt>
                <c:pt idx="7130">
                  <c:v>45216</c:v>
                </c:pt>
                <c:pt idx="7131">
                  <c:v>45216</c:v>
                </c:pt>
                <c:pt idx="7132">
                  <c:v>45216</c:v>
                </c:pt>
                <c:pt idx="7133">
                  <c:v>45216</c:v>
                </c:pt>
                <c:pt idx="7134">
                  <c:v>45216</c:v>
                </c:pt>
                <c:pt idx="7135">
                  <c:v>45216</c:v>
                </c:pt>
                <c:pt idx="7136">
                  <c:v>45216</c:v>
                </c:pt>
                <c:pt idx="7137">
                  <c:v>45216</c:v>
                </c:pt>
                <c:pt idx="7138">
                  <c:v>45216</c:v>
                </c:pt>
                <c:pt idx="7139">
                  <c:v>45216</c:v>
                </c:pt>
                <c:pt idx="7140">
                  <c:v>45216</c:v>
                </c:pt>
                <c:pt idx="7141">
                  <c:v>45216</c:v>
                </c:pt>
                <c:pt idx="7142">
                  <c:v>45216</c:v>
                </c:pt>
                <c:pt idx="7143">
                  <c:v>45216</c:v>
                </c:pt>
                <c:pt idx="7144">
                  <c:v>45216</c:v>
                </c:pt>
                <c:pt idx="7145">
                  <c:v>45216</c:v>
                </c:pt>
                <c:pt idx="7146">
                  <c:v>45216</c:v>
                </c:pt>
                <c:pt idx="7147">
                  <c:v>45216</c:v>
                </c:pt>
                <c:pt idx="7148">
                  <c:v>45216</c:v>
                </c:pt>
                <c:pt idx="7149">
                  <c:v>45216</c:v>
                </c:pt>
                <c:pt idx="7150">
                  <c:v>45216</c:v>
                </c:pt>
                <c:pt idx="7151">
                  <c:v>45216</c:v>
                </c:pt>
                <c:pt idx="7152">
                  <c:v>45217</c:v>
                </c:pt>
                <c:pt idx="7153">
                  <c:v>45217</c:v>
                </c:pt>
                <c:pt idx="7154">
                  <c:v>45217</c:v>
                </c:pt>
                <c:pt idx="7155">
                  <c:v>45217</c:v>
                </c:pt>
                <c:pt idx="7156">
                  <c:v>45217</c:v>
                </c:pt>
                <c:pt idx="7157">
                  <c:v>45217</c:v>
                </c:pt>
                <c:pt idx="7158">
                  <c:v>45217</c:v>
                </c:pt>
                <c:pt idx="7159">
                  <c:v>45217</c:v>
                </c:pt>
                <c:pt idx="7160">
                  <c:v>45217</c:v>
                </c:pt>
                <c:pt idx="7161">
                  <c:v>45217</c:v>
                </c:pt>
                <c:pt idx="7162">
                  <c:v>45217</c:v>
                </c:pt>
                <c:pt idx="7163">
                  <c:v>45217</c:v>
                </c:pt>
                <c:pt idx="7164">
                  <c:v>45217</c:v>
                </c:pt>
                <c:pt idx="7165">
                  <c:v>45217</c:v>
                </c:pt>
                <c:pt idx="7166">
                  <c:v>45217</c:v>
                </c:pt>
                <c:pt idx="7167">
                  <c:v>45217</c:v>
                </c:pt>
                <c:pt idx="7168">
                  <c:v>45217</c:v>
                </c:pt>
                <c:pt idx="7169">
                  <c:v>45217</c:v>
                </c:pt>
                <c:pt idx="7170">
                  <c:v>45217</c:v>
                </c:pt>
                <c:pt idx="7171">
                  <c:v>45217</c:v>
                </c:pt>
                <c:pt idx="7172">
                  <c:v>45217</c:v>
                </c:pt>
                <c:pt idx="7173">
                  <c:v>45217</c:v>
                </c:pt>
                <c:pt idx="7174">
                  <c:v>45217</c:v>
                </c:pt>
                <c:pt idx="7175">
                  <c:v>45217</c:v>
                </c:pt>
                <c:pt idx="7176">
                  <c:v>45218</c:v>
                </c:pt>
                <c:pt idx="7177">
                  <c:v>45218</c:v>
                </c:pt>
                <c:pt idx="7178">
                  <c:v>45218</c:v>
                </c:pt>
                <c:pt idx="7179">
                  <c:v>45218</c:v>
                </c:pt>
                <c:pt idx="7180">
                  <c:v>45218</c:v>
                </c:pt>
                <c:pt idx="7181">
                  <c:v>45218</c:v>
                </c:pt>
                <c:pt idx="7182">
                  <c:v>45218</c:v>
                </c:pt>
                <c:pt idx="7183">
                  <c:v>45218</c:v>
                </c:pt>
                <c:pt idx="7184">
                  <c:v>45218</c:v>
                </c:pt>
                <c:pt idx="7185">
                  <c:v>45218</c:v>
                </c:pt>
                <c:pt idx="7186">
                  <c:v>45218</c:v>
                </c:pt>
                <c:pt idx="7187">
                  <c:v>45218</c:v>
                </c:pt>
                <c:pt idx="7188">
                  <c:v>45218</c:v>
                </c:pt>
                <c:pt idx="7189">
                  <c:v>45218</c:v>
                </c:pt>
                <c:pt idx="7190">
                  <c:v>45218</c:v>
                </c:pt>
                <c:pt idx="7191">
                  <c:v>45218</c:v>
                </c:pt>
                <c:pt idx="7192">
                  <c:v>45218</c:v>
                </c:pt>
                <c:pt idx="7193">
                  <c:v>45218</c:v>
                </c:pt>
                <c:pt idx="7194">
                  <c:v>45218</c:v>
                </c:pt>
                <c:pt idx="7195">
                  <c:v>45218</c:v>
                </c:pt>
                <c:pt idx="7196">
                  <c:v>45218</c:v>
                </c:pt>
                <c:pt idx="7197">
                  <c:v>45218</c:v>
                </c:pt>
                <c:pt idx="7198">
                  <c:v>45218</c:v>
                </c:pt>
                <c:pt idx="7199">
                  <c:v>45218</c:v>
                </c:pt>
                <c:pt idx="7200">
                  <c:v>45219</c:v>
                </c:pt>
                <c:pt idx="7201">
                  <c:v>45219</c:v>
                </c:pt>
                <c:pt idx="7202">
                  <c:v>45219</c:v>
                </c:pt>
                <c:pt idx="7203">
                  <c:v>45219</c:v>
                </c:pt>
                <c:pt idx="7204">
                  <c:v>45219</c:v>
                </c:pt>
                <c:pt idx="7205">
                  <c:v>45219</c:v>
                </c:pt>
                <c:pt idx="7206">
                  <c:v>45219</c:v>
                </c:pt>
                <c:pt idx="7207">
                  <c:v>45219</c:v>
                </c:pt>
                <c:pt idx="7208">
                  <c:v>45219</c:v>
                </c:pt>
                <c:pt idx="7209">
                  <c:v>45219</c:v>
                </c:pt>
                <c:pt idx="7210">
                  <c:v>45219</c:v>
                </c:pt>
                <c:pt idx="7211">
                  <c:v>45219</c:v>
                </c:pt>
                <c:pt idx="7212">
                  <c:v>45219</c:v>
                </c:pt>
                <c:pt idx="7213">
                  <c:v>45219</c:v>
                </c:pt>
                <c:pt idx="7214">
                  <c:v>45219</c:v>
                </c:pt>
                <c:pt idx="7215">
                  <c:v>45219</c:v>
                </c:pt>
                <c:pt idx="7216">
                  <c:v>45219</c:v>
                </c:pt>
                <c:pt idx="7217">
                  <c:v>45219</c:v>
                </c:pt>
                <c:pt idx="7218">
                  <c:v>45219</c:v>
                </c:pt>
                <c:pt idx="7219">
                  <c:v>45219</c:v>
                </c:pt>
                <c:pt idx="7220">
                  <c:v>45219</c:v>
                </c:pt>
                <c:pt idx="7221">
                  <c:v>45219</c:v>
                </c:pt>
                <c:pt idx="7222">
                  <c:v>45219</c:v>
                </c:pt>
                <c:pt idx="7223">
                  <c:v>45219</c:v>
                </c:pt>
                <c:pt idx="7224">
                  <c:v>45220</c:v>
                </c:pt>
                <c:pt idx="7225">
                  <c:v>45220</c:v>
                </c:pt>
                <c:pt idx="7226">
                  <c:v>45220</c:v>
                </c:pt>
                <c:pt idx="7227">
                  <c:v>45220</c:v>
                </c:pt>
                <c:pt idx="7228">
                  <c:v>45220</c:v>
                </c:pt>
                <c:pt idx="7229">
                  <c:v>45220</c:v>
                </c:pt>
                <c:pt idx="7230">
                  <c:v>45220</c:v>
                </c:pt>
                <c:pt idx="7231">
                  <c:v>45220</c:v>
                </c:pt>
                <c:pt idx="7232">
                  <c:v>45220</c:v>
                </c:pt>
                <c:pt idx="7233">
                  <c:v>45220</c:v>
                </c:pt>
                <c:pt idx="7234">
                  <c:v>45220</c:v>
                </c:pt>
                <c:pt idx="7235">
                  <c:v>45220</c:v>
                </c:pt>
                <c:pt idx="7236">
                  <c:v>45220</c:v>
                </c:pt>
                <c:pt idx="7237">
                  <c:v>45220</c:v>
                </c:pt>
                <c:pt idx="7238">
                  <c:v>45220</c:v>
                </c:pt>
                <c:pt idx="7239">
                  <c:v>45220</c:v>
                </c:pt>
                <c:pt idx="7240">
                  <c:v>45220</c:v>
                </c:pt>
                <c:pt idx="7241">
                  <c:v>45220</c:v>
                </c:pt>
                <c:pt idx="7242">
                  <c:v>45220</c:v>
                </c:pt>
                <c:pt idx="7243">
                  <c:v>45220</c:v>
                </c:pt>
                <c:pt idx="7244">
                  <c:v>45220</c:v>
                </c:pt>
                <c:pt idx="7245">
                  <c:v>45220</c:v>
                </c:pt>
                <c:pt idx="7246">
                  <c:v>45220</c:v>
                </c:pt>
                <c:pt idx="7247">
                  <c:v>45220</c:v>
                </c:pt>
                <c:pt idx="7248">
                  <c:v>45221</c:v>
                </c:pt>
                <c:pt idx="7249">
                  <c:v>45221</c:v>
                </c:pt>
                <c:pt idx="7250">
                  <c:v>45221</c:v>
                </c:pt>
                <c:pt idx="7251">
                  <c:v>45221</c:v>
                </c:pt>
                <c:pt idx="7252">
                  <c:v>45221</c:v>
                </c:pt>
                <c:pt idx="7253">
                  <c:v>45221</c:v>
                </c:pt>
                <c:pt idx="7254">
                  <c:v>45221</c:v>
                </c:pt>
                <c:pt idx="7255">
                  <c:v>45221</c:v>
                </c:pt>
                <c:pt idx="7256">
                  <c:v>45221</c:v>
                </c:pt>
                <c:pt idx="7257">
                  <c:v>45221</c:v>
                </c:pt>
                <c:pt idx="7258">
                  <c:v>45221</c:v>
                </c:pt>
                <c:pt idx="7259">
                  <c:v>45221</c:v>
                </c:pt>
                <c:pt idx="7260">
                  <c:v>45221</c:v>
                </c:pt>
                <c:pt idx="7261">
                  <c:v>45221</c:v>
                </c:pt>
                <c:pt idx="7262">
                  <c:v>45221</c:v>
                </c:pt>
                <c:pt idx="7263">
                  <c:v>45221</c:v>
                </c:pt>
                <c:pt idx="7264">
                  <c:v>45221</c:v>
                </c:pt>
                <c:pt idx="7265">
                  <c:v>45221</c:v>
                </c:pt>
                <c:pt idx="7266">
                  <c:v>45221</c:v>
                </c:pt>
                <c:pt idx="7267">
                  <c:v>45221</c:v>
                </c:pt>
                <c:pt idx="7268">
                  <c:v>45221</c:v>
                </c:pt>
                <c:pt idx="7269">
                  <c:v>45221</c:v>
                </c:pt>
                <c:pt idx="7270">
                  <c:v>45221</c:v>
                </c:pt>
                <c:pt idx="7271">
                  <c:v>45221</c:v>
                </c:pt>
                <c:pt idx="7272">
                  <c:v>45222</c:v>
                </c:pt>
                <c:pt idx="7273">
                  <c:v>45222</c:v>
                </c:pt>
                <c:pt idx="7274">
                  <c:v>45222</c:v>
                </c:pt>
                <c:pt idx="7275">
                  <c:v>45222</c:v>
                </c:pt>
                <c:pt idx="7276">
                  <c:v>45222</c:v>
                </c:pt>
                <c:pt idx="7277">
                  <c:v>45222</c:v>
                </c:pt>
                <c:pt idx="7278">
                  <c:v>45222</c:v>
                </c:pt>
                <c:pt idx="7279">
                  <c:v>45222</c:v>
                </c:pt>
                <c:pt idx="7280">
                  <c:v>45222</c:v>
                </c:pt>
                <c:pt idx="7281">
                  <c:v>45222</c:v>
                </c:pt>
                <c:pt idx="7282">
                  <c:v>45222</c:v>
                </c:pt>
                <c:pt idx="7283">
                  <c:v>45222</c:v>
                </c:pt>
                <c:pt idx="7284">
                  <c:v>45222</c:v>
                </c:pt>
                <c:pt idx="7285">
                  <c:v>45222</c:v>
                </c:pt>
                <c:pt idx="7286">
                  <c:v>45222</c:v>
                </c:pt>
                <c:pt idx="7287">
                  <c:v>45222</c:v>
                </c:pt>
                <c:pt idx="7288">
                  <c:v>45222</c:v>
                </c:pt>
                <c:pt idx="7289">
                  <c:v>45222</c:v>
                </c:pt>
                <c:pt idx="7290">
                  <c:v>45222</c:v>
                </c:pt>
                <c:pt idx="7291">
                  <c:v>45222</c:v>
                </c:pt>
                <c:pt idx="7292">
                  <c:v>45222</c:v>
                </c:pt>
                <c:pt idx="7293">
                  <c:v>45222</c:v>
                </c:pt>
                <c:pt idx="7294">
                  <c:v>45222</c:v>
                </c:pt>
                <c:pt idx="7295">
                  <c:v>45222</c:v>
                </c:pt>
                <c:pt idx="7296">
                  <c:v>45223</c:v>
                </c:pt>
                <c:pt idx="7297">
                  <c:v>45223</c:v>
                </c:pt>
                <c:pt idx="7298">
                  <c:v>45223</c:v>
                </c:pt>
                <c:pt idx="7299">
                  <c:v>45223</c:v>
                </c:pt>
                <c:pt idx="7300">
                  <c:v>45223</c:v>
                </c:pt>
                <c:pt idx="7301">
                  <c:v>45223</c:v>
                </c:pt>
                <c:pt idx="7302">
                  <c:v>45223</c:v>
                </c:pt>
                <c:pt idx="7303">
                  <c:v>45223</c:v>
                </c:pt>
                <c:pt idx="7304">
                  <c:v>45223</c:v>
                </c:pt>
                <c:pt idx="7305">
                  <c:v>45223</c:v>
                </c:pt>
                <c:pt idx="7306">
                  <c:v>45223</c:v>
                </c:pt>
                <c:pt idx="7307">
                  <c:v>45223</c:v>
                </c:pt>
                <c:pt idx="7308">
                  <c:v>45223</c:v>
                </c:pt>
                <c:pt idx="7309">
                  <c:v>45223</c:v>
                </c:pt>
                <c:pt idx="7310">
                  <c:v>45223</c:v>
                </c:pt>
                <c:pt idx="7311">
                  <c:v>45223</c:v>
                </c:pt>
                <c:pt idx="7312">
                  <c:v>45223</c:v>
                </c:pt>
                <c:pt idx="7313">
                  <c:v>45223</c:v>
                </c:pt>
                <c:pt idx="7314">
                  <c:v>45223</c:v>
                </c:pt>
                <c:pt idx="7315">
                  <c:v>45223</c:v>
                </c:pt>
                <c:pt idx="7316">
                  <c:v>45223</c:v>
                </c:pt>
                <c:pt idx="7317">
                  <c:v>45223</c:v>
                </c:pt>
                <c:pt idx="7318">
                  <c:v>45223</c:v>
                </c:pt>
                <c:pt idx="7319">
                  <c:v>45223</c:v>
                </c:pt>
                <c:pt idx="7320">
                  <c:v>45224</c:v>
                </c:pt>
                <c:pt idx="7321">
                  <c:v>45224</c:v>
                </c:pt>
                <c:pt idx="7322">
                  <c:v>45224</c:v>
                </c:pt>
                <c:pt idx="7323">
                  <c:v>45224</c:v>
                </c:pt>
                <c:pt idx="7324">
                  <c:v>45224</c:v>
                </c:pt>
                <c:pt idx="7325">
                  <c:v>45224</c:v>
                </c:pt>
                <c:pt idx="7326">
                  <c:v>45224</c:v>
                </c:pt>
                <c:pt idx="7327">
                  <c:v>45224</c:v>
                </c:pt>
                <c:pt idx="7328">
                  <c:v>45224</c:v>
                </c:pt>
                <c:pt idx="7329">
                  <c:v>45224</c:v>
                </c:pt>
                <c:pt idx="7330">
                  <c:v>45224</c:v>
                </c:pt>
                <c:pt idx="7331">
                  <c:v>45224</c:v>
                </c:pt>
                <c:pt idx="7332">
                  <c:v>45224</c:v>
                </c:pt>
                <c:pt idx="7333">
                  <c:v>45224</c:v>
                </c:pt>
                <c:pt idx="7334">
                  <c:v>45224</c:v>
                </c:pt>
                <c:pt idx="7335">
                  <c:v>45224</c:v>
                </c:pt>
                <c:pt idx="7336">
                  <c:v>45224</c:v>
                </c:pt>
                <c:pt idx="7337">
                  <c:v>45224</c:v>
                </c:pt>
                <c:pt idx="7338">
                  <c:v>45224</c:v>
                </c:pt>
                <c:pt idx="7339">
                  <c:v>45224</c:v>
                </c:pt>
                <c:pt idx="7340">
                  <c:v>45224</c:v>
                </c:pt>
                <c:pt idx="7341">
                  <c:v>45224</c:v>
                </c:pt>
                <c:pt idx="7342">
                  <c:v>45224</c:v>
                </c:pt>
                <c:pt idx="7343">
                  <c:v>45224</c:v>
                </c:pt>
                <c:pt idx="7344">
                  <c:v>45225</c:v>
                </c:pt>
                <c:pt idx="7345">
                  <c:v>45225</c:v>
                </c:pt>
                <c:pt idx="7346">
                  <c:v>45225</c:v>
                </c:pt>
                <c:pt idx="7347">
                  <c:v>45225</c:v>
                </c:pt>
                <c:pt idx="7348">
                  <c:v>45225</c:v>
                </c:pt>
                <c:pt idx="7349">
                  <c:v>45225</c:v>
                </c:pt>
                <c:pt idx="7350">
                  <c:v>45225</c:v>
                </c:pt>
                <c:pt idx="7351">
                  <c:v>45225</c:v>
                </c:pt>
                <c:pt idx="7352">
                  <c:v>45225</c:v>
                </c:pt>
                <c:pt idx="7353">
                  <c:v>45225</c:v>
                </c:pt>
                <c:pt idx="7354">
                  <c:v>45225</c:v>
                </c:pt>
                <c:pt idx="7355">
                  <c:v>45225</c:v>
                </c:pt>
                <c:pt idx="7356">
                  <c:v>45225</c:v>
                </c:pt>
                <c:pt idx="7357">
                  <c:v>45225</c:v>
                </c:pt>
                <c:pt idx="7358">
                  <c:v>45225</c:v>
                </c:pt>
                <c:pt idx="7359">
                  <c:v>45225</c:v>
                </c:pt>
                <c:pt idx="7360">
                  <c:v>45225</c:v>
                </c:pt>
                <c:pt idx="7361">
                  <c:v>45225</c:v>
                </c:pt>
                <c:pt idx="7362">
                  <c:v>45225</c:v>
                </c:pt>
                <c:pt idx="7363">
                  <c:v>45225</c:v>
                </c:pt>
                <c:pt idx="7364">
                  <c:v>45225</c:v>
                </c:pt>
                <c:pt idx="7365">
                  <c:v>45225</c:v>
                </c:pt>
                <c:pt idx="7366">
                  <c:v>45225</c:v>
                </c:pt>
                <c:pt idx="7367">
                  <c:v>45225</c:v>
                </c:pt>
                <c:pt idx="7368">
                  <c:v>45226</c:v>
                </c:pt>
                <c:pt idx="7369">
                  <c:v>45226</c:v>
                </c:pt>
                <c:pt idx="7370">
                  <c:v>45226</c:v>
                </c:pt>
                <c:pt idx="7371">
                  <c:v>45226</c:v>
                </c:pt>
                <c:pt idx="7372">
                  <c:v>45226</c:v>
                </c:pt>
                <c:pt idx="7373">
                  <c:v>45226</c:v>
                </c:pt>
                <c:pt idx="7374">
                  <c:v>45226</c:v>
                </c:pt>
                <c:pt idx="7375">
                  <c:v>45226</c:v>
                </c:pt>
                <c:pt idx="7376">
                  <c:v>45226</c:v>
                </c:pt>
                <c:pt idx="7377">
                  <c:v>45226</c:v>
                </c:pt>
                <c:pt idx="7378">
                  <c:v>45226</c:v>
                </c:pt>
                <c:pt idx="7379">
                  <c:v>45226</c:v>
                </c:pt>
                <c:pt idx="7380">
                  <c:v>45226</c:v>
                </c:pt>
                <c:pt idx="7381">
                  <c:v>45226</c:v>
                </c:pt>
                <c:pt idx="7382">
                  <c:v>45226</c:v>
                </c:pt>
                <c:pt idx="7383">
                  <c:v>45226</c:v>
                </c:pt>
                <c:pt idx="7384">
                  <c:v>45226</c:v>
                </c:pt>
                <c:pt idx="7385">
                  <c:v>45226</c:v>
                </c:pt>
                <c:pt idx="7386">
                  <c:v>45226</c:v>
                </c:pt>
                <c:pt idx="7387">
                  <c:v>45226</c:v>
                </c:pt>
                <c:pt idx="7388">
                  <c:v>45226</c:v>
                </c:pt>
                <c:pt idx="7389">
                  <c:v>45226</c:v>
                </c:pt>
                <c:pt idx="7390">
                  <c:v>45226</c:v>
                </c:pt>
                <c:pt idx="7391">
                  <c:v>45226</c:v>
                </c:pt>
                <c:pt idx="7392">
                  <c:v>45227</c:v>
                </c:pt>
                <c:pt idx="7393">
                  <c:v>45227</c:v>
                </c:pt>
                <c:pt idx="7394">
                  <c:v>45227</c:v>
                </c:pt>
                <c:pt idx="7395">
                  <c:v>45227</c:v>
                </c:pt>
                <c:pt idx="7396">
                  <c:v>45227</c:v>
                </c:pt>
                <c:pt idx="7397">
                  <c:v>45227</c:v>
                </c:pt>
                <c:pt idx="7398">
                  <c:v>45227</c:v>
                </c:pt>
                <c:pt idx="7399">
                  <c:v>45227</c:v>
                </c:pt>
                <c:pt idx="7400">
                  <c:v>45227</c:v>
                </c:pt>
                <c:pt idx="7401">
                  <c:v>45227</c:v>
                </c:pt>
                <c:pt idx="7402">
                  <c:v>45227</c:v>
                </c:pt>
                <c:pt idx="7403">
                  <c:v>45227</c:v>
                </c:pt>
                <c:pt idx="7404">
                  <c:v>45227</c:v>
                </c:pt>
                <c:pt idx="7405">
                  <c:v>45227</c:v>
                </c:pt>
                <c:pt idx="7406">
                  <c:v>45227</c:v>
                </c:pt>
                <c:pt idx="7407">
                  <c:v>45227</c:v>
                </c:pt>
                <c:pt idx="7408">
                  <c:v>45227</c:v>
                </c:pt>
                <c:pt idx="7409">
                  <c:v>45227</c:v>
                </c:pt>
                <c:pt idx="7410">
                  <c:v>45227</c:v>
                </c:pt>
                <c:pt idx="7411">
                  <c:v>45227</c:v>
                </c:pt>
                <c:pt idx="7412">
                  <c:v>45227</c:v>
                </c:pt>
                <c:pt idx="7413">
                  <c:v>45227</c:v>
                </c:pt>
                <c:pt idx="7414">
                  <c:v>45227</c:v>
                </c:pt>
                <c:pt idx="7415">
                  <c:v>45227</c:v>
                </c:pt>
                <c:pt idx="7416">
                  <c:v>45228</c:v>
                </c:pt>
                <c:pt idx="7417">
                  <c:v>45228</c:v>
                </c:pt>
                <c:pt idx="7418">
                  <c:v>45228</c:v>
                </c:pt>
                <c:pt idx="7419">
                  <c:v>45228</c:v>
                </c:pt>
                <c:pt idx="7420">
                  <c:v>45228</c:v>
                </c:pt>
                <c:pt idx="7421">
                  <c:v>45228</c:v>
                </c:pt>
                <c:pt idx="7422">
                  <c:v>45228</c:v>
                </c:pt>
                <c:pt idx="7423">
                  <c:v>45228</c:v>
                </c:pt>
                <c:pt idx="7424">
                  <c:v>45228</c:v>
                </c:pt>
                <c:pt idx="7425">
                  <c:v>45228</c:v>
                </c:pt>
                <c:pt idx="7426">
                  <c:v>45228</c:v>
                </c:pt>
                <c:pt idx="7427">
                  <c:v>45228</c:v>
                </c:pt>
                <c:pt idx="7428">
                  <c:v>45228</c:v>
                </c:pt>
                <c:pt idx="7429">
                  <c:v>45228</c:v>
                </c:pt>
                <c:pt idx="7430">
                  <c:v>45228</c:v>
                </c:pt>
                <c:pt idx="7431">
                  <c:v>45228</c:v>
                </c:pt>
                <c:pt idx="7432">
                  <c:v>45228</c:v>
                </c:pt>
                <c:pt idx="7433">
                  <c:v>45228</c:v>
                </c:pt>
                <c:pt idx="7434">
                  <c:v>45228</c:v>
                </c:pt>
                <c:pt idx="7435">
                  <c:v>45228</c:v>
                </c:pt>
                <c:pt idx="7436">
                  <c:v>45228</c:v>
                </c:pt>
                <c:pt idx="7437">
                  <c:v>45228</c:v>
                </c:pt>
                <c:pt idx="7438">
                  <c:v>45228</c:v>
                </c:pt>
                <c:pt idx="7439">
                  <c:v>45228</c:v>
                </c:pt>
                <c:pt idx="7440">
                  <c:v>45229</c:v>
                </c:pt>
                <c:pt idx="7441">
                  <c:v>45229</c:v>
                </c:pt>
                <c:pt idx="7442">
                  <c:v>45229</c:v>
                </c:pt>
                <c:pt idx="7443">
                  <c:v>45229</c:v>
                </c:pt>
                <c:pt idx="7444">
                  <c:v>45229</c:v>
                </c:pt>
                <c:pt idx="7445">
                  <c:v>45229</c:v>
                </c:pt>
                <c:pt idx="7446">
                  <c:v>45229</c:v>
                </c:pt>
                <c:pt idx="7447">
                  <c:v>45229</c:v>
                </c:pt>
                <c:pt idx="7448">
                  <c:v>45229</c:v>
                </c:pt>
                <c:pt idx="7449">
                  <c:v>45229</c:v>
                </c:pt>
                <c:pt idx="7450">
                  <c:v>45229</c:v>
                </c:pt>
                <c:pt idx="7451">
                  <c:v>45229</c:v>
                </c:pt>
                <c:pt idx="7452">
                  <c:v>45229</c:v>
                </c:pt>
                <c:pt idx="7453">
                  <c:v>45229</c:v>
                </c:pt>
                <c:pt idx="7454">
                  <c:v>45229</c:v>
                </c:pt>
                <c:pt idx="7455">
                  <c:v>45229</c:v>
                </c:pt>
                <c:pt idx="7456">
                  <c:v>45229</c:v>
                </c:pt>
                <c:pt idx="7457">
                  <c:v>45229</c:v>
                </c:pt>
                <c:pt idx="7458">
                  <c:v>45229</c:v>
                </c:pt>
                <c:pt idx="7459">
                  <c:v>45229</c:v>
                </c:pt>
                <c:pt idx="7460">
                  <c:v>45229</c:v>
                </c:pt>
                <c:pt idx="7461">
                  <c:v>45229</c:v>
                </c:pt>
                <c:pt idx="7462">
                  <c:v>45229</c:v>
                </c:pt>
                <c:pt idx="7463">
                  <c:v>45229</c:v>
                </c:pt>
                <c:pt idx="7464">
                  <c:v>45230</c:v>
                </c:pt>
                <c:pt idx="7465">
                  <c:v>45230</c:v>
                </c:pt>
                <c:pt idx="7466">
                  <c:v>45230</c:v>
                </c:pt>
                <c:pt idx="7467">
                  <c:v>45230</c:v>
                </c:pt>
                <c:pt idx="7468">
                  <c:v>45230</c:v>
                </c:pt>
                <c:pt idx="7469">
                  <c:v>45230</c:v>
                </c:pt>
                <c:pt idx="7470">
                  <c:v>45230</c:v>
                </c:pt>
                <c:pt idx="7471">
                  <c:v>45230</c:v>
                </c:pt>
                <c:pt idx="7472">
                  <c:v>45230</c:v>
                </c:pt>
                <c:pt idx="7473">
                  <c:v>45230</c:v>
                </c:pt>
                <c:pt idx="7474">
                  <c:v>45230</c:v>
                </c:pt>
                <c:pt idx="7475">
                  <c:v>45230</c:v>
                </c:pt>
                <c:pt idx="7476">
                  <c:v>45230</c:v>
                </c:pt>
                <c:pt idx="7477">
                  <c:v>45230</c:v>
                </c:pt>
                <c:pt idx="7478">
                  <c:v>45230</c:v>
                </c:pt>
                <c:pt idx="7479">
                  <c:v>45230</c:v>
                </c:pt>
                <c:pt idx="7480">
                  <c:v>45230</c:v>
                </c:pt>
                <c:pt idx="7481">
                  <c:v>45230</c:v>
                </c:pt>
                <c:pt idx="7482">
                  <c:v>45230</c:v>
                </c:pt>
                <c:pt idx="7483">
                  <c:v>45230</c:v>
                </c:pt>
                <c:pt idx="7484">
                  <c:v>45230</c:v>
                </c:pt>
                <c:pt idx="7485">
                  <c:v>45230</c:v>
                </c:pt>
                <c:pt idx="7486">
                  <c:v>45230</c:v>
                </c:pt>
                <c:pt idx="7487">
                  <c:v>45230</c:v>
                </c:pt>
                <c:pt idx="7488">
                  <c:v>45231</c:v>
                </c:pt>
                <c:pt idx="7489">
                  <c:v>45231</c:v>
                </c:pt>
                <c:pt idx="7490">
                  <c:v>45231</c:v>
                </c:pt>
                <c:pt idx="7491">
                  <c:v>45231</c:v>
                </c:pt>
                <c:pt idx="7492">
                  <c:v>45231</c:v>
                </c:pt>
                <c:pt idx="7493">
                  <c:v>45231</c:v>
                </c:pt>
                <c:pt idx="7494">
                  <c:v>45231</c:v>
                </c:pt>
                <c:pt idx="7495">
                  <c:v>45231</c:v>
                </c:pt>
                <c:pt idx="7496">
                  <c:v>45231</c:v>
                </c:pt>
                <c:pt idx="7497">
                  <c:v>45231</c:v>
                </c:pt>
                <c:pt idx="7498">
                  <c:v>45231</c:v>
                </c:pt>
                <c:pt idx="7499">
                  <c:v>45231</c:v>
                </c:pt>
                <c:pt idx="7500">
                  <c:v>45231</c:v>
                </c:pt>
                <c:pt idx="7501">
                  <c:v>45231</c:v>
                </c:pt>
                <c:pt idx="7502">
                  <c:v>45231</c:v>
                </c:pt>
                <c:pt idx="7503">
                  <c:v>45231</c:v>
                </c:pt>
                <c:pt idx="7504">
                  <c:v>45231</c:v>
                </c:pt>
                <c:pt idx="7505">
                  <c:v>45231</c:v>
                </c:pt>
                <c:pt idx="7506">
                  <c:v>45231</c:v>
                </c:pt>
                <c:pt idx="7507">
                  <c:v>45231</c:v>
                </c:pt>
                <c:pt idx="7508">
                  <c:v>45231</c:v>
                </c:pt>
                <c:pt idx="7509">
                  <c:v>45231</c:v>
                </c:pt>
                <c:pt idx="7510">
                  <c:v>45231</c:v>
                </c:pt>
                <c:pt idx="7511">
                  <c:v>45231</c:v>
                </c:pt>
                <c:pt idx="7512">
                  <c:v>45232</c:v>
                </c:pt>
                <c:pt idx="7513">
                  <c:v>45232</c:v>
                </c:pt>
                <c:pt idx="7514">
                  <c:v>45232</c:v>
                </c:pt>
                <c:pt idx="7515">
                  <c:v>45232</c:v>
                </c:pt>
                <c:pt idx="7516">
                  <c:v>45232</c:v>
                </c:pt>
                <c:pt idx="7517">
                  <c:v>45232</c:v>
                </c:pt>
                <c:pt idx="7518">
                  <c:v>45232</c:v>
                </c:pt>
                <c:pt idx="7519">
                  <c:v>45232</c:v>
                </c:pt>
                <c:pt idx="7520">
                  <c:v>45232</c:v>
                </c:pt>
                <c:pt idx="7521">
                  <c:v>45232</c:v>
                </c:pt>
                <c:pt idx="7522">
                  <c:v>45232</c:v>
                </c:pt>
                <c:pt idx="7523">
                  <c:v>45232</c:v>
                </c:pt>
                <c:pt idx="7524">
                  <c:v>45232</c:v>
                </c:pt>
                <c:pt idx="7525">
                  <c:v>45232</c:v>
                </c:pt>
                <c:pt idx="7526">
                  <c:v>45232</c:v>
                </c:pt>
                <c:pt idx="7527">
                  <c:v>45232</c:v>
                </c:pt>
                <c:pt idx="7528">
                  <c:v>45232</c:v>
                </c:pt>
                <c:pt idx="7529">
                  <c:v>45232</c:v>
                </c:pt>
                <c:pt idx="7530">
                  <c:v>45232</c:v>
                </c:pt>
                <c:pt idx="7531">
                  <c:v>45232</c:v>
                </c:pt>
                <c:pt idx="7532">
                  <c:v>45232</c:v>
                </c:pt>
                <c:pt idx="7533">
                  <c:v>45232</c:v>
                </c:pt>
                <c:pt idx="7534">
                  <c:v>45232</c:v>
                </c:pt>
                <c:pt idx="7535">
                  <c:v>45232</c:v>
                </c:pt>
                <c:pt idx="7536">
                  <c:v>45233</c:v>
                </c:pt>
                <c:pt idx="7537">
                  <c:v>45233</c:v>
                </c:pt>
                <c:pt idx="7538">
                  <c:v>45233</c:v>
                </c:pt>
                <c:pt idx="7539">
                  <c:v>45233</c:v>
                </c:pt>
                <c:pt idx="7540">
                  <c:v>45233</c:v>
                </c:pt>
                <c:pt idx="7541">
                  <c:v>45233</c:v>
                </c:pt>
                <c:pt idx="7542">
                  <c:v>45233</c:v>
                </c:pt>
                <c:pt idx="7543">
                  <c:v>45233</c:v>
                </c:pt>
                <c:pt idx="7544">
                  <c:v>45233</c:v>
                </c:pt>
                <c:pt idx="7545">
                  <c:v>45233</c:v>
                </c:pt>
                <c:pt idx="7546">
                  <c:v>45233</c:v>
                </c:pt>
                <c:pt idx="7547">
                  <c:v>45233</c:v>
                </c:pt>
                <c:pt idx="7548">
                  <c:v>45233</c:v>
                </c:pt>
                <c:pt idx="7549">
                  <c:v>45233</c:v>
                </c:pt>
                <c:pt idx="7550">
                  <c:v>45233</c:v>
                </c:pt>
                <c:pt idx="7551">
                  <c:v>45233</c:v>
                </c:pt>
                <c:pt idx="7552">
                  <c:v>45233</c:v>
                </c:pt>
                <c:pt idx="7553">
                  <c:v>45233</c:v>
                </c:pt>
                <c:pt idx="7554">
                  <c:v>45233</c:v>
                </c:pt>
                <c:pt idx="7555">
                  <c:v>45233</c:v>
                </c:pt>
                <c:pt idx="7556">
                  <c:v>45233</c:v>
                </c:pt>
                <c:pt idx="7557">
                  <c:v>45233</c:v>
                </c:pt>
                <c:pt idx="7558">
                  <c:v>45233</c:v>
                </c:pt>
                <c:pt idx="7559">
                  <c:v>45233</c:v>
                </c:pt>
                <c:pt idx="7560">
                  <c:v>45234</c:v>
                </c:pt>
                <c:pt idx="7561">
                  <c:v>45234</c:v>
                </c:pt>
                <c:pt idx="7562">
                  <c:v>45234</c:v>
                </c:pt>
                <c:pt idx="7563">
                  <c:v>45234</c:v>
                </c:pt>
                <c:pt idx="7564">
                  <c:v>45234</c:v>
                </c:pt>
                <c:pt idx="7565">
                  <c:v>45234</c:v>
                </c:pt>
                <c:pt idx="7566">
                  <c:v>45234</c:v>
                </c:pt>
                <c:pt idx="7567">
                  <c:v>45234</c:v>
                </c:pt>
                <c:pt idx="7568">
                  <c:v>45234</c:v>
                </c:pt>
                <c:pt idx="7569">
                  <c:v>45234</c:v>
                </c:pt>
                <c:pt idx="7570">
                  <c:v>45234</c:v>
                </c:pt>
                <c:pt idx="7571">
                  <c:v>45234</c:v>
                </c:pt>
                <c:pt idx="7572">
                  <c:v>45234</c:v>
                </c:pt>
                <c:pt idx="7573">
                  <c:v>45234</c:v>
                </c:pt>
                <c:pt idx="7574">
                  <c:v>45234</c:v>
                </c:pt>
                <c:pt idx="7575">
                  <c:v>45234</c:v>
                </c:pt>
                <c:pt idx="7576">
                  <c:v>45234</c:v>
                </c:pt>
                <c:pt idx="7577">
                  <c:v>45234</c:v>
                </c:pt>
                <c:pt idx="7578">
                  <c:v>45234</c:v>
                </c:pt>
                <c:pt idx="7579">
                  <c:v>45234</c:v>
                </c:pt>
                <c:pt idx="7580">
                  <c:v>45234</c:v>
                </c:pt>
                <c:pt idx="7581">
                  <c:v>45234</c:v>
                </c:pt>
                <c:pt idx="7582">
                  <c:v>45234</c:v>
                </c:pt>
                <c:pt idx="7583">
                  <c:v>45234</c:v>
                </c:pt>
                <c:pt idx="7584">
                  <c:v>45235</c:v>
                </c:pt>
                <c:pt idx="7585">
                  <c:v>45235</c:v>
                </c:pt>
                <c:pt idx="7586">
                  <c:v>45235</c:v>
                </c:pt>
                <c:pt idx="7587">
                  <c:v>45235</c:v>
                </c:pt>
                <c:pt idx="7588">
                  <c:v>45235</c:v>
                </c:pt>
                <c:pt idx="7589">
                  <c:v>45235</c:v>
                </c:pt>
                <c:pt idx="7590">
                  <c:v>45235</c:v>
                </c:pt>
                <c:pt idx="7591">
                  <c:v>45235</c:v>
                </c:pt>
                <c:pt idx="7592">
                  <c:v>45235</c:v>
                </c:pt>
                <c:pt idx="7593">
                  <c:v>45235</c:v>
                </c:pt>
                <c:pt idx="7594">
                  <c:v>45235</c:v>
                </c:pt>
                <c:pt idx="7595">
                  <c:v>45235</c:v>
                </c:pt>
                <c:pt idx="7596">
                  <c:v>45235</c:v>
                </c:pt>
                <c:pt idx="7597">
                  <c:v>45235</c:v>
                </c:pt>
                <c:pt idx="7598">
                  <c:v>45235</c:v>
                </c:pt>
                <c:pt idx="7599">
                  <c:v>45235</c:v>
                </c:pt>
                <c:pt idx="7600">
                  <c:v>45235</c:v>
                </c:pt>
                <c:pt idx="7601">
                  <c:v>45235</c:v>
                </c:pt>
                <c:pt idx="7602">
                  <c:v>45235</c:v>
                </c:pt>
                <c:pt idx="7603">
                  <c:v>45235</c:v>
                </c:pt>
                <c:pt idx="7604">
                  <c:v>45235</c:v>
                </c:pt>
                <c:pt idx="7605">
                  <c:v>45235</c:v>
                </c:pt>
                <c:pt idx="7606">
                  <c:v>45235</c:v>
                </c:pt>
                <c:pt idx="7607">
                  <c:v>45235</c:v>
                </c:pt>
                <c:pt idx="7608">
                  <c:v>45236</c:v>
                </c:pt>
                <c:pt idx="7609">
                  <c:v>45236</c:v>
                </c:pt>
                <c:pt idx="7610">
                  <c:v>45236</c:v>
                </c:pt>
                <c:pt idx="7611">
                  <c:v>45236</c:v>
                </c:pt>
                <c:pt idx="7612">
                  <c:v>45236</c:v>
                </c:pt>
                <c:pt idx="7613">
                  <c:v>45236</c:v>
                </c:pt>
                <c:pt idx="7614">
                  <c:v>45236</c:v>
                </c:pt>
                <c:pt idx="7615">
                  <c:v>45236</c:v>
                </c:pt>
                <c:pt idx="7616">
                  <c:v>45236</c:v>
                </c:pt>
                <c:pt idx="7617">
                  <c:v>45236</c:v>
                </c:pt>
                <c:pt idx="7618">
                  <c:v>45236</c:v>
                </c:pt>
                <c:pt idx="7619">
                  <c:v>45236</c:v>
                </c:pt>
                <c:pt idx="7620">
                  <c:v>45236</c:v>
                </c:pt>
                <c:pt idx="7621">
                  <c:v>45236</c:v>
                </c:pt>
                <c:pt idx="7622">
                  <c:v>45236</c:v>
                </c:pt>
                <c:pt idx="7623">
                  <c:v>45236</c:v>
                </c:pt>
                <c:pt idx="7624">
                  <c:v>45236</c:v>
                </c:pt>
                <c:pt idx="7625">
                  <c:v>45236</c:v>
                </c:pt>
                <c:pt idx="7626">
                  <c:v>45236</c:v>
                </c:pt>
                <c:pt idx="7627">
                  <c:v>45236</c:v>
                </c:pt>
                <c:pt idx="7628">
                  <c:v>45236</c:v>
                </c:pt>
                <c:pt idx="7629">
                  <c:v>45236</c:v>
                </c:pt>
                <c:pt idx="7630">
                  <c:v>45236</c:v>
                </c:pt>
                <c:pt idx="7631">
                  <c:v>45236</c:v>
                </c:pt>
                <c:pt idx="7632">
                  <c:v>45237</c:v>
                </c:pt>
                <c:pt idx="7633">
                  <c:v>45237</c:v>
                </c:pt>
                <c:pt idx="7634">
                  <c:v>45237</c:v>
                </c:pt>
                <c:pt idx="7635">
                  <c:v>45237</c:v>
                </c:pt>
                <c:pt idx="7636">
                  <c:v>45237</c:v>
                </c:pt>
                <c:pt idx="7637">
                  <c:v>45237</c:v>
                </c:pt>
                <c:pt idx="7638">
                  <c:v>45237</c:v>
                </c:pt>
                <c:pt idx="7639">
                  <c:v>45237</c:v>
                </c:pt>
                <c:pt idx="7640">
                  <c:v>45237</c:v>
                </c:pt>
                <c:pt idx="7641">
                  <c:v>45237</c:v>
                </c:pt>
                <c:pt idx="7642">
                  <c:v>45237</c:v>
                </c:pt>
                <c:pt idx="7643">
                  <c:v>45237</c:v>
                </c:pt>
                <c:pt idx="7644">
                  <c:v>45237</c:v>
                </c:pt>
                <c:pt idx="7645">
                  <c:v>45237</c:v>
                </c:pt>
                <c:pt idx="7646">
                  <c:v>45237</c:v>
                </c:pt>
                <c:pt idx="7647">
                  <c:v>45237</c:v>
                </c:pt>
                <c:pt idx="7648">
                  <c:v>45237</c:v>
                </c:pt>
                <c:pt idx="7649">
                  <c:v>45237</c:v>
                </c:pt>
                <c:pt idx="7650">
                  <c:v>45237</c:v>
                </c:pt>
                <c:pt idx="7651">
                  <c:v>45237</c:v>
                </c:pt>
                <c:pt idx="7652">
                  <c:v>45237</c:v>
                </c:pt>
                <c:pt idx="7653">
                  <c:v>45237</c:v>
                </c:pt>
                <c:pt idx="7654">
                  <c:v>45237</c:v>
                </c:pt>
                <c:pt idx="7655">
                  <c:v>45237</c:v>
                </c:pt>
                <c:pt idx="7656">
                  <c:v>45238</c:v>
                </c:pt>
                <c:pt idx="7657">
                  <c:v>45238</c:v>
                </c:pt>
                <c:pt idx="7658">
                  <c:v>45238</c:v>
                </c:pt>
                <c:pt idx="7659">
                  <c:v>45238</c:v>
                </c:pt>
                <c:pt idx="7660">
                  <c:v>45238</c:v>
                </c:pt>
                <c:pt idx="7661">
                  <c:v>45238</c:v>
                </c:pt>
                <c:pt idx="7662">
                  <c:v>45238</c:v>
                </c:pt>
                <c:pt idx="7663">
                  <c:v>45238</c:v>
                </c:pt>
                <c:pt idx="7664">
                  <c:v>45238</c:v>
                </c:pt>
                <c:pt idx="7665">
                  <c:v>45238</c:v>
                </c:pt>
                <c:pt idx="7666">
                  <c:v>45238</c:v>
                </c:pt>
                <c:pt idx="7667">
                  <c:v>45238</c:v>
                </c:pt>
                <c:pt idx="7668">
                  <c:v>45238</c:v>
                </c:pt>
                <c:pt idx="7669">
                  <c:v>45238</c:v>
                </c:pt>
                <c:pt idx="7670">
                  <c:v>45238</c:v>
                </c:pt>
                <c:pt idx="7671">
                  <c:v>45238</c:v>
                </c:pt>
                <c:pt idx="7672">
                  <c:v>45238</c:v>
                </c:pt>
                <c:pt idx="7673">
                  <c:v>45238</c:v>
                </c:pt>
                <c:pt idx="7674">
                  <c:v>45238</c:v>
                </c:pt>
                <c:pt idx="7675">
                  <c:v>45238</c:v>
                </c:pt>
                <c:pt idx="7676">
                  <c:v>45238</c:v>
                </c:pt>
                <c:pt idx="7677">
                  <c:v>45238</c:v>
                </c:pt>
                <c:pt idx="7678">
                  <c:v>45238</c:v>
                </c:pt>
                <c:pt idx="7679">
                  <c:v>45238</c:v>
                </c:pt>
                <c:pt idx="7680">
                  <c:v>45239</c:v>
                </c:pt>
                <c:pt idx="7681">
                  <c:v>45239</c:v>
                </c:pt>
                <c:pt idx="7682">
                  <c:v>45239</c:v>
                </c:pt>
                <c:pt idx="7683">
                  <c:v>45239</c:v>
                </c:pt>
                <c:pt idx="7684">
                  <c:v>45239</c:v>
                </c:pt>
                <c:pt idx="7685">
                  <c:v>45239</c:v>
                </c:pt>
                <c:pt idx="7686">
                  <c:v>45239</c:v>
                </c:pt>
                <c:pt idx="7687">
                  <c:v>45239</c:v>
                </c:pt>
                <c:pt idx="7688">
                  <c:v>45239</c:v>
                </c:pt>
                <c:pt idx="7689">
                  <c:v>45239</c:v>
                </c:pt>
                <c:pt idx="7690">
                  <c:v>45239</c:v>
                </c:pt>
                <c:pt idx="7691">
                  <c:v>45239</c:v>
                </c:pt>
                <c:pt idx="7692">
                  <c:v>45239</c:v>
                </c:pt>
                <c:pt idx="7693">
                  <c:v>45239</c:v>
                </c:pt>
                <c:pt idx="7694">
                  <c:v>45239</c:v>
                </c:pt>
                <c:pt idx="7695">
                  <c:v>45239</c:v>
                </c:pt>
                <c:pt idx="7696">
                  <c:v>45239</c:v>
                </c:pt>
                <c:pt idx="7697">
                  <c:v>45239</c:v>
                </c:pt>
                <c:pt idx="7698">
                  <c:v>45239</c:v>
                </c:pt>
                <c:pt idx="7699">
                  <c:v>45239</c:v>
                </c:pt>
                <c:pt idx="7700">
                  <c:v>45239</c:v>
                </c:pt>
                <c:pt idx="7701">
                  <c:v>45239</c:v>
                </c:pt>
                <c:pt idx="7702">
                  <c:v>45239</c:v>
                </c:pt>
                <c:pt idx="7703">
                  <c:v>45239</c:v>
                </c:pt>
                <c:pt idx="7704">
                  <c:v>45240</c:v>
                </c:pt>
                <c:pt idx="7705">
                  <c:v>45240</c:v>
                </c:pt>
                <c:pt idx="7706">
                  <c:v>45240</c:v>
                </c:pt>
                <c:pt idx="7707">
                  <c:v>45240</c:v>
                </c:pt>
                <c:pt idx="7708">
                  <c:v>45240</c:v>
                </c:pt>
                <c:pt idx="7709">
                  <c:v>45240</c:v>
                </c:pt>
                <c:pt idx="7710">
                  <c:v>45240</c:v>
                </c:pt>
                <c:pt idx="7711">
                  <c:v>45240</c:v>
                </c:pt>
                <c:pt idx="7712">
                  <c:v>45240</c:v>
                </c:pt>
                <c:pt idx="7713">
                  <c:v>45240</c:v>
                </c:pt>
                <c:pt idx="7714">
                  <c:v>45240</c:v>
                </c:pt>
                <c:pt idx="7715">
                  <c:v>45240</c:v>
                </c:pt>
                <c:pt idx="7716">
                  <c:v>45240</c:v>
                </c:pt>
                <c:pt idx="7717">
                  <c:v>45240</c:v>
                </c:pt>
                <c:pt idx="7718">
                  <c:v>45240</c:v>
                </c:pt>
                <c:pt idx="7719">
                  <c:v>45240</c:v>
                </c:pt>
                <c:pt idx="7720">
                  <c:v>45240</c:v>
                </c:pt>
                <c:pt idx="7721">
                  <c:v>45240</c:v>
                </c:pt>
                <c:pt idx="7722">
                  <c:v>45240</c:v>
                </c:pt>
                <c:pt idx="7723">
                  <c:v>45240</c:v>
                </c:pt>
                <c:pt idx="7724">
                  <c:v>45240</c:v>
                </c:pt>
                <c:pt idx="7725">
                  <c:v>45240</c:v>
                </c:pt>
                <c:pt idx="7726">
                  <c:v>45240</c:v>
                </c:pt>
                <c:pt idx="7727">
                  <c:v>45240</c:v>
                </c:pt>
                <c:pt idx="7728">
                  <c:v>45241</c:v>
                </c:pt>
                <c:pt idx="7729">
                  <c:v>45241</c:v>
                </c:pt>
                <c:pt idx="7730">
                  <c:v>45241</c:v>
                </c:pt>
                <c:pt idx="7731">
                  <c:v>45241</c:v>
                </c:pt>
                <c:pt idx="7732">
                  <c:v>45241</c:v>
                </c:pt>
                <c:pt idx="7733">
                  <c:v>45241</c:v>
                </c:pt>
                <c:pt idx="7734">
                  <c:v>45241</c:v>
                </c:pt>
                <c:pt idx="7735">
                  <c:v>45241</c:v>
                </c:pt>
                <c:pt idx="7736">
                  <c:v>45241</c:v>
                </c:pt>
                <c:pt idx="7737">
                  <c:v>45241</c:v>
                </c:pt>
                <c:pt idx="7738">
                  <c:v>45241</c:v>
                </c:pt>
                <c:pt idx="7739">
                  <c:v>45241</c:v>
                </c:pt>
                <c:pt idx="7740">
                  <c:v>45241</c:v>
                </c:pt>
                <c:pt idx="7741">
                  <c:v>45241</c:v>
                </c:pt>
                <c:pt idx="7742">
                  <c:v>45241</c:v>
                </c:pt>
                <c:pt idx="7743">
                  <c:v>45241</c:v>
                </c:pt>
                <c:pt idx="7744">
                  <c:v>45241</c:v>
                </c:pt>
                <c:pt idx="7745">
                  <c:v>45241</c:v>
                </c:pt>
                <c:pt idx="7746">
                  <c:v>45241</c:v>
                </c:pt>
                <c:pt idx="7747">
                  <c:v>45241</c:v>
                </c:pt>
                <c:pt idx="7748">
                  <c:v>45241</c:v>
                </c:pt>
                <c:pt idx="7749">
                  <c:v>45241</c:v>
                </c:pt>
                <c:pt idx="7750">
                  <c:v>45241</c:v>
                </c:pt>
                <c:pt idx="7751">
                  <c:v>45241</c:v>
                </c:pt>
                <c:pt idx="7752">
                  <c:v>45242</c:v>
                </c:pt>
                <c:pt idx="7753">
                  <c:v>45242</c:v>
                </c:pt>
                <c:pt idx="7754">
                  <c:v>45242</c:v>
                </c:pt>
                <c:pt idx="7755">
                  <c:v>45242</c:v>
                </c:pt>
                <c:pt idx="7756">
                  <c:v>45242</c:v>
                </c:pt>
                <c:pt idx="7757">
                  <c:v>45242</c:v>
                </c:pt>
                <c:pt idx="7758">
                  <c:v>45242</c:v>
                </c:pt>
                <c:pt idx="7759">
                  <c:v>45242</c:v>
                </c:pt>
                <c:pt idx="7760">
                  <c:v>45242</c:v>
                </c:pt>
                <c:pt idx="7761">
                  <c:v>45242</c:v>
                </c:pt>
                <c:pt idx="7762">
                  <c:v>45242</c:v>
                </c:pt>
                <c:pt idx="7763">
                  <c:v>45242</c:v>
                </c:pt>
                <c:pt idx="7764">
                  <c:v>45242</c:v>
                </c:pt>
                <c:pt idx="7765">
                  <c:v>45242</c:v>
                </c:pt>
                <c:pt idx="7766">
                  <c:v>45242</c:v>
                </c:pt>
                <c:pt idx="7767">
                  <c:v>45242</c:v>
                </c:pt>
                <c:pt idx="7768">
                  <c:v>45242</c:v>
                </c:pt>
                <c:pt idx="7769">
                  <c:v>45242</c:v>
                </c:pt>
                <c:pt idx="7770">
                  <c:v>45242</c:v>
                </c:pt>
                <c:pt idx="7771">
                  <c:v>45242</c:v>
                </c:pt>
                <c:pt idx="7772">
                  <c:v>45242</c:v>
                </c:pt>
                <c:pt idx="7773">
                  <c:v>45242</c:v>
                </c:pt>
                <c:pt idx="7774">
                  <c:v>45242</c:v>
                </c:pt>
                <c:pt idx="7775">
                  <c:v>45242</c:v>
                </c:pt>
                <c:pt idx="7776">
                  <c:v>45243</c:v>
                </c:pt>
                <c:pt idx="7777">
                  <c:v>45243</c:v>
                </c:pt>
                <c:pt idx="7778">
                  <c:v>45243</c:v>
                </c:pt>
                <c:pt idx="7779">
                  <c:v>45243</c:v>
                </c:pt>
                <c:pt idx="7780">
                  <c:v>45243</c:v>
                </c:pt>
                <c:pt idx="7781">
                  <c:v>45243</c:v>
                </c:pt>
                <c:pt idx="7782">
                  <c:v>45243</c:v>
                </c:pt>
                <c:pt idx="7783">
                  <c:v>45243</c:v>
                </c:pt>
                <c:pt idx="7784">
                  <c:v>45243</c:v>
                </c:pt>
                <c:pt idx="7785">
                  <c:v>45243</c:v>
                </c:pt>
                <c:pt idx="7786">
                  <c:v>45243</c:v>
                </c:pt>
                <c:pt idx="7787">
                  <c:v>45243</c:v>
                </c:pt>
                <c:pt idx="7788">
                  <c:v>45243</c:v>
                </c:pt>
                <c:pt idx="7789">
                  <c:v>45243</c:v>
                </c:pt>
                <c:pt idx="7790">
                  <c:v>45243</c:v>
                </c:pt>
                <c:pt idx="7791">
                  <c:v>45243</c:v>
                </c:pt>
                <c:pt idx="7792">
                  <c:v>45243</c:v>
                </c:pt>
                <c:pt idx="7793">
                  <c:v>45243</c:v>
                </c:pt>
                <c:pt idx="7794">
                  <c:v>45243</c:v>
                </c:pt>
                <c:pt idx="7795">
                  <c:v>45243</c:v>
                </c:pt>
                <c:pt idx="7796">
                  <c:v>45243</c:v>
                </c:pt>
                <c:pt idx="7797">
                  <c:v>45243</c:v>
                </c:pt>
                <c:pt idx="7798">
                  <c:v>45243</c:v>
                </c:pt>
                <c:pt idx="7799">
                  <c:v>45243</c:v>
                </c:pt>
                <c:pt idx="7800">
                  <c:v>45244</c:v>
                </c:pt>
                <c:pt idx="7801">
                  <c:v>45244</c:v>
                </c:pt>
                <c:pt idx="7802">
                  <c:v>45244</c:v>
                </c:pt>
                <c:pt idx="7803">
                  <c:v>45244</c:v>
                </c:pt>
                <c:pt idx="7804">
                  <c:v>45244</c:v>
                </c:pt>
                <c:pt idx="7805">
                  <c:v>45244</c:v>
                </c:pt>
                <c:pt idx="7806">
                  <c:v>45244</c:v>
                </c:pt>
                <c:pt idx="7807">
                  <c:v>45244</c:v>
                </c:pt>
                <c:pt idx="7808">
                  <c:v>45244</c:v>
                </c:pt>
                <c:pt idx="7809">
                  <c:v>45244</c:v>
                </c:pt>
                <c:pt idx="7810">
                  <c:v>45244</c:v>
                </c:pt>
                <c:pt idx="7811">
                  <c:v>45244</c:v>
                </c:pt>
                <c:pt idx="7812">
                  <c:v>45244</c:v>
                </c:pt>
                <c:pt idx="7813">
                  <c:v>45244</c:v>
                </c:pt>
                <c:pt idx="7814">
                  <c:v>45244</c:v>
                </c:pt>
                <c:pt idx="7815">
                  <c:v>45244</c:v>
                </c:pt>
                <c:pt idx="7816">
                  <c:v>45244</c:v>
                </c:pt>
                <c:pt idx="7817">
                  <c:v>45244</c:v>
                </c:pt>
                <c:pt idx="7818">
                  <c:v>45244</c:v>
                </c:pt>
                <c:pt idx="7819">
                  <c:v>45244</c:v>
                </c:pt>
                <c:pt idx="7820">
                  <c:v>45244</c:v>
                </c:pt>
                <c:pt idx="7821">
                  <c:v>45244</c:v>
                </c:pt>
                <c:pt idx="7822">
                  <c:v>45244</c:v>
                </c:pt>
                <c:pt idx="7823">
                  <c:v>45244</c:v>
                </c:pt>
                <c:pt idx="7824">
                  <c:v>45245</c:v>
                </c:pt>
                <c:pt idx="7825">
                  <c:v>45245</c:v>
                </c:pt>
                <c:pt idx="7826">
                  <c:v>45245</c:v>
                </c:pt>
                <c:pt idx="7827">
                  <c:v>45245</c:v>
                </c:pt>
                <c:pt idx="7828">
                  <c:v>45245</c:v>
                </c:pt>
                <c:pt idx="7829">
                  <c:v>45245</c:v>
                </c:pt>
                <c:pt idx="7830">
                  <c:v>45245</c:v>
                </c:pt>
                <c:pt idx="7831">
                  <c:v>45245</c:v>
                </c:pt>
                <c:pt idx="7832">
                  <c:v>45245</c:v>
                </c:pt>
                <c:pt idx="7833">
                  <c:v>45245</c:v>
                </c:pt>
                <c:pt idx="7834">
                  <c:v>45245</c:v>
                </c:pt>
                <c:pt idx="7835">
                  <c:v>45245</c:v>
                </c:pt>
                <c:pt idx="7836">
                  <c:v>45245</c:v>
                </c:pt>
                <c:pt idx="7837">
                  <c:v>45245</c:v>
                </c:pt>
                <c:pt idx="7838">
                  <c:v>45245</c:v>
                </c:pt>
                <c:pt idx="7839">
                  <c:v>45245</c:v>
                </c:pt>
                <c:pt idx="7840">
                  <c:v>45245</c:v>
                </c:pt>
                <c:pt idx="7841">
                  <c:v>45245</c:v>
                </c:pt>
                <c:pt idx="7842">
                  <c:v>45245</c:v>
                </c:pt>
                <c:pt idx="7843">
                  <c:v>45245</c:v>
                </c:pt>
                <c:pt idx="7844">
                  <c:v>45245</c:v>
                </c:pt>
                <c:pt idx="7845">
                  <c:v>45245</c:v>
                </c:pt>
                <c:pt idx="7846">
                  <c:v>45245</c:v>
                </c:pt>
                <c:pt idx="7847">
                  <c:v>45245</c:v>
                </c:pt>
                <c:pt idx="7848">
                  <c:v>45246</c:v>
                </c:pt>
                <c:pt idx="7849">
                  <c:v>45246</c:v>
                </c:pt>
                <c:pt idx="7850">
                  <c:v>45246</c:v>
                </c:pt>
                <c:pt idx="7851">
                  <c:v>45246</c:v>
                </c:pt>
                <c:pt idx="7852">
                  <c:v>45246</c:v>
                </c:pt>
                <c:pt idx="7853">
                  <c:v>45246</c:v>
                </c:pt>
                <c:pt idx="7854">
                  <c:v>45246</c:v>
                </c:pt>
                <c:pt idx="7855">
                  <c:v>45246</c:v>
                </c:pt>
                <c:pt idx="7856">
                  <c:v>45246</c:v>
                </c:pt>
                <c:pt idx="7857">
                  <c:v>45246</c:v>
                </c:pt>
                <c:pt idx="7858">
                  <c:v>45246</c:v>
                </c:pt>
                <c:pt idx="7859">
                  <c:v>45246</c:v>
                </c:pt>
                <c:pt idx="7860">
                  <c:v>45246</c:v>
                </c:pt>
                <c:pt idx="7861">
                  <c:v>45246</c:v>
                </c:pt>
                <c:pt idx="7862">
                  <c:v>45246</c:v>
                </c:pt>
                <c:pt idx="7863">
                  <c:v>45246</c:v>
                </c:pt>
                <c:pt idx="7864">
                  <c:v>45246</c:v>
                </c:pt>
                <c:pt idx="7865">
                  <c:v>45246</c:v>
                </c:pt>
                <c:pt idx="7866">
                  <c:v>45246</c:v>
                </c:pt>
                <c:pt idx="7867">
                  <c:v>45246</c:v>
                </c:pt>
                <c:pt idx="7868">
                  <c:v>45246</c:v>
                </c:pt>
                <c:pt idx="7869">
                  <c:v>45246</c:v>
                </c:pt>
                <c:pt idx="7870">
                  <c:v>45246</c:v>
                </c:pt>
                <c:pt idx="7871">
                  <c:v>45246</c:v>
                </c:pt>
                <c:pt idx="7872">
                  <c:v>45247</c:v>
                </c:pt>
                <c:pt idx="7873">
                  <c:v>45247</c:v>
                </c:pt>
                <c:pt idx="7874">
                  <c:v>45247</c:v>
                </c:pt>
                <c:pt idx="7875">
                  <c:v>45247</c:v>
                </c:pt>
                <c:pt idx="7876">
                  <c:v>45247</c:v>
                </c:pt>
                <c:pt idx="7877">
                  <c:v>45247</c:v>
                </c:pt>
                <c:pt idx="7878">
                  <c:v>45247</c:v>
                </c:pt>
                <c:pt idx="7879">
                  <c:v>45247</c:v>
                </c:pt>
                <c:pt idx="7880">
                  <c:v>45247</c:v>
                </c:pt>
                <c:pt idx="7881">
                  <c:v>45247</c:v>
                </c:pt>
                <c:pt idx="7882">
                  <c:v>45247</c:v>
                </c:pt>
                <c:pt idx="7883">
                  <c:v>45247</c:v>
                </c:pt>
                <c:pt idx="7884">
                  <c:v>45247</c:v>
                </c:pt>
                <c:pt idx="7885">
                  <c:v>45247</c:v>
                </c:pt>
                <c:pt idx="7886">
                  <c:v>45247</c:v>
                </c:pt>
                <c:pt idx="7887">
                  <c:v>45247</c:v>
                </c:pt>
                <c:pt idx="7888">
                  <c:v>45247</c:v>
                </c:pt>
                <c:pt idx="7889">
                  <c:v>45247</c:v>
                </c:pt>
                <c:pt idx="7890">
                  <c:v>45247</c:v>
                </c:pt>
                <c:pt idx="7891">
                  <c:v>45247</c:v>
                </c:pt>
                <c:pt idx="7892">
                  <c:v>45247</c:v>
                </c:pt>
                <c:pt idx="7893">
                  <c:v>45247</c:v>
                </c:pt>
                <c:pt idx="7894">
                  <c:v>45247</c:v>
                </c:pt>
                <c:pt idx="7895">
                  <c:v>45247</c:v>
                </c:pt>
                <c:pt idx="7896">
                  <c:v>45248</c:v>
                </c:pt>
                <c:pt idx="7897">
                  <c:v>45248</c:v>
                </c:pt>
                <c:pt idx="7898">
                  <c:v>45248</c:v>
                </c:pt>
                <c:pt idx="7899">
                  <c:v>45248</c:v>
                </c:pt>
                <c:pt idx="7900">
                  <c:v>45248</c:v>
                </c:pt>
                <c:pt idx="7901">
                  <c:v>45248</c:v>
                </c:pt>
                <c:pt idx="7902">
                  <c:v>45248</c:v>
                </c:pt>
                <c:pt idx="7903">
                  <c:v>45248</c:v>
                </c:pt>
                <c:pt idx="7904">
                  <c:v>45248</c:v>
                </c:pt>
                <c:pt idx="7905">
                  <c:v>45248</c:v>
                </c:pt>
                <c:pt idx="7906">
                  <c:v>45248</c:v>
                </c:pt>
                <c:pt idx="7907">
                  <c:v>45248</c:v>
                </c:pt>
                <c:pt idx="7908">
                  <c:v>45248</c:v>
                </c:pt>
                <c:pt idx="7909">
                  <c:v>45248</c:v>
                </c:pt>
                <c:pt idx="7910">
                  <c:v>45248</c:v>
                </c:pt>
                <c:pt idx="7911">
                  <c:v>45248</c:v>
                </c:pt>
                <c:pt idx="7912">
                  <c:v>45248</c:v>
                </c:pt>
                <c:pt idx="7913">
                  <c:v>45248</c:v>
                </c:pt>
                <c:pt idx="7914">
                  <c:v>45248</c:v>
                </c:pt>
                <c:pt idx="7915">
                  <c:v>45248</c:v>
                </c:pt>
                <c:pt idx="7916">
                  <c:v>45248</c:v>
                </c:pt>
                <c:pt idx="7917">
                  <c:v>45248</c:v>
                </c:pt>
                <c:pt idx="7918">
                  <c:v>45248</c:v>
                </c:pt>
                <c:pt idx="7919">
                  <c:v>45248</c:v>
                </c:pt>
                <c:pt idx="7920">
                  <c:v>45249</c:v>
                </c:pt>
                <c:pt idx="7921">
                  <c:v>45249</c:v>
                </c:pt>
                <c:pt idx="7922">
                  <c:v>45249</c:v>
                </c:pt>
                <c:pt idx="7923">
                  <c:v>45249</c:v>
                </c:pt>
                <c:pt idx="7924">
                  <c:v>45249</c:v>
                </c:pt>
                <c:pt idx="7925">
                  <c:v>45249</c:v>
                </c:pt>
                <c:pt idx="7926">
                  <c:v>45249</c:v>
                </c:pt>
                <c:pt idx="7927">
                  <c:v>45249</c:v>
                </c:pt>
                <c:pt idx="7928">
                  <c:v>45249</c:v>
                </c:pt>
                <c:pt idx="7929">
                  <c:v>45249</c:v>
                </c:pt>
                <c:pt idx="7930">
                  <c:v>45249</c:v>
                </c:pt>
                <c:pt idx="7931">
                  <c:v>45249</c:v>
                </c:pt>
                <c:pt idx="7932">
                  <c:v>45249</c:v>
                </c:pt>
                <c:pt idx="7933">
                  <c:v>45249</c:v>
                </c:pt>
                <c:pt idx="7934">
                  <c:v>45249</c:v>
                </c:pt>
                <c:pt idx="7935">
                  <c:v>45249</c:v>
                </c:pt>
                <c:pt idx="7936">
                  <c:v>45249</c:v>
                </c:pt>
                <c:pt idx="7937">
                  <c:v>45249</c:v>
                </c:pt>
                <c:pt idx="7938">
                  <c:v>45249</c:v>
                </c:pt>
                <c:pt idx="7939">
                  <c:v>45249</c:v>
                </c:pt>
                <c:pt idx="7940">
                  <c:v>45249</c:v>
                </c:pt>
                <c:pt idx="7941">
                  <c:v>45249</c:v>
                </c:pt>
                <c:pt idx="7942">
                  <c:v>45249</c:v>
                </c:pt>
                <c:pt idx="7943">
                  <c:v>45249</c:v>
                </c:pt>
                <c:pt idx="7944">
                  <c:v>45250</c:v>
                </c:pt>
                <c:pt idx="7945">
                  <c:v>45250</c:v>
                </c:pt>
                <c:pt idx="7946">
                  <c:v>45250</c:v>
                </c:pt>
                <c:pt idx="7947">
                  <c:v>45250</c:v>
                </c:pt>
                <c:pt idx="7948">
                  <c:v>45250</c:v>
                </c:pt>
                <c:pt idx="7949">
                  <c:v>45250</c:v>
                </c:pt>
                <c:pt idx="7950">
                  <c:v>45250</c:v>
                </c:pt>
                <c:pt idx="7951">
                  <c:v>45250</c:v>
                </c:pt>
                <c:pt idx="7952">
                  <c:v>45250</c:v>
                </c:pt>
                <c:pt idx="7953">
                  <c:v>45250</c:v>
                </c:pt>
                <c:pt idx="7954">
                  <c:v>45250</c:v>
                </c:pt>
                <c:pt idx="7955">
                  <c:v>45250</c:v>
                </c:pt>
                <c:pt idx="7956">
                  <c:v>45250</c:v>
                </c:pt>
                <c:pt idx="7957">
                  <c:v>45250</c:v>
                </c:pt>
                <c:pt idx="7958">
                  <c:v>45250</c:v>
                </c:pt>
                <c:pt idx="7959">
                  <c:v>45250</c:v>
                </c:pt>
                <c:pt idx="7960">
                  <c:v>45250</c:v>
                </c:pt>
                <c:pt idx="7961">
                  <c:v>45250</c:v>
                </c:pt>
                <c:pt idx="7962">
                  <c:v>45250</c:v>
                </c:pt>
                <c:pt idx="7963">
                  <c:v>45250</c:v>
                </c:pt>
                <c:pt idx="7964">
                  <c:v>45250</c:v>
                </c:pt>
                <c:pt idx="7965">
                  <c:v>45250</c:v>
                </c:pt>
                <c:pt idx="7966">
                  <c:v>45250</c:v>
                </c:pt>
                <c:pt idx="7967">
                  <c:v>45250</c:v>
                </c:pt>
                <c:pt idx="7968">
                  <c:v>45251</c:v>
                </c:pt>
                <c:pt idx="7969">
                  <c:v>45251</c:v>
                </c:pt>
                <c:pt idx="7970">
                  <c:v>45251</c:v>
                </c:pt>
                <c:pt idx="7971">
                  <c:v>45251</c:v>
                </c:pt>
                <c:pt idx="7972">
                  <c:v>45251</c:v>
                </c:pt>
                <c:pt idx="7973">
                  <c:v>45251</c:v>
                </c:pt>
                <c:pt idx="7974">
                  <c:v>45251</c:v>
                </c:pt>
                <c:pt idx="7975">
                  <c:v>45251</c:v>
                </c:pt>
                <c:pt idx="7976">
                  <c:v>45251</c:v>
                </c:pt>
                <c:pt idx="7977">
                  <c:v>45251</c:v>
                </c:pt>
                <c:pt idx="7978">
                  <c:v>45251</c:v>
                </c:pt>
                <c:pt idx="7979">
                  <c:v>45251</c:v>
                </c:pt>
                <c:pt idx="7980">
                  <c:v>45251</c:v>
                </c:pt>
                <c:pt idx="7981">
                  <c:v>45251</c:v>
                </c:pt>
                <c:pt idx="7982">
                  <c:v>45251</c:v>
                </c:pt>
                <c:pt idx="7983">
                  <c:v>45251</c:v>
                </c:pt>
                <c:pt idx="7984">
                  <c:v>45251</c:v>
                </c:pt>
                <c:pt idx="7985">
                  <c:v>45251</c:v>
                </c:pt>
                <c:pt idx="7986">
                  <c:v>45251</c:v>
                </c:pt>
                <c:pt idx="7987">
                  <c:v>45251</c:v>
                </c:pt>
                <c:pt idx="7988">
                  <c:v>45251</c:v>
                </c:pt>
                <c:pt idx="7989">
                  <c:v>45251</c:v>
                </c:pt>
                <c:pt idx="7990">
                  <c:v>45251</c:v>
                </c:pt>
                <c:pt idx="7991">
                  <c:v>45251</c:v>
                </c:pt>
                <c:pt idx="7992">
                  <c:v>45252</c:v>
                </c:pt>
                <c:pt idx="7993">
                  <c:v>45252</c:v>
                </c:pt>
                <c:pt idx="7994">
                  <c:v>45252</c:v>
                </c:pt>
                <c:pt idx="7995">
                  <c:v>45252</c:v>
                </c:pt>
                <c:pt idx="7996">
                  <c:v>45252</c:v>
                </c:pt>
                <c:pt idx="7997">
                  <c:v>45252</c:v>
                </c:pt>
                <c:pt idx="7998">
                  <c:v>45252</c:v>
                </c:pt>
                <c:pt idx="7999">
                  <c:v>45252</c:v>
                </c:pt>
                <c:pt idx="8000">
                  <c:v>45252</c:v>
                </c:pt>
                <c:pt idx="8001">
                  <c:v>45252</c:v>
                </c:pt>
                <c:pt idx="8002">
                  <c:v>45252</c:v>
                </c:pt>
                <c:pt idx="8003">
                  <c:v>45252</c:v>
                </c:pt>
                <c:pt idx="8004">
                  <c:v>45252</c:v>
                </c:pt>
                <c:pt idx="8005">
                  <c:v>45252</c:v>
                </c:pt>
                <c:pt idx="8006">
                  <c:v>45252</c:v>
                </c:pt>
                <c:pt idx="8007">
                  <c:v>45252</c:v>
                </c:pt>
                <c:pt idx="8008">
                  <c:v>45252</c:v>
                </c:pt>
                <c:pt idx="8009">
                  <c:v>45252</c:v>
                </c:pt>
                <c:pt idx="8010">
                  <c:v>45252</c:v>
                </c:pt>
                <c:pt idx="8011">
                  <c:v>45252</c:v>
                </c:pt>
                <c:pt idx="8012">
                  <c:v>45252</c:v>
                </c:pt>
                <c:pt idx="8013">
                  <c:v>45252</c:v>
                </c:pt>
                <c:pt idx="8014">
                  <c:v>45252</c:v>
                </c:pt>
                <c:pt idx="8015">
                  <c:v>45252</c:v>
                </c:pt>
                <c:pt idx="8016">
                  <c:v>45253</c:v>
                </c:pt>
                <c:pt idx="8017">
                  <c:v>45253</c:v>
                </c:pt>
                <c:pt idx="8018">
                  <c:v>45253</c:v>
                </c:pt>
                <c:pt idx="8019">
                  <c:v>45253</c:v>
                </c:pt>
                <c:pt idx="8020">
                  <c:v>45253</c:v>
                </c:pt>
                <c:pt idx="8021">
                  <c:v>45253</c:v>
                </c:pt>
                <c:pt idx="8022">
                  <c:v>45253</c:v>
                </c:pt>
                <c:pt idx="8023">
                  <c:v>45253</c:v>
                </c:pt>
                <c:pt idx="8024">
                  <c:v>45253</c:v>
                </c:pt>
                <c:pt idx="8025">
                  <c:v>45253</c:v>
                </c:pt>
                <c:pt idx="8026">
                  <c:v>45253</c:v>
                </c:pt>
                <c:pt idx="8027">
                  <c:v>45253</c:v>
                </c:pt>
                <c:pt idx="8028">
                  <c:v>45253</c:v>
                </c:pt>
                <c:pt idx="8029">
                  <c:v>45253</c:v>
                </c:pt>
                <c:pt idx="8030">
                  <c:v>45253</c:v>
                </c:pt>
                <c:pt idx="8031">
                  <c:v>45253</c:v>
                </c:pt>
                <c:pt idx="8032">
                  <c:v>45253</c:v>
                </c:pt>
                <c:pt idx="8033">
                  <c:v>45253</c:v>
                </c:pt>
                <c:pt idx="8034">
                  <c:v>45253</c:v>
                </c:pt>
                <c:pt idx="8035">
                  <c:v>45253</c:v>
                </c:pt>
                <c:pt idx="8036">
                  <c:v>45253</c:v>
                </c:pt>
                <c:pt idx="8037">
                  <c:v>45253</c:v>
                </c:pt>
                <c:pt idx="8038">
                  <c:v>45253</c:v>
                </c:pt>
                <c:pt idx="8039">
                  <c:v>45253</c:v>
                </c:pt>
                <c:pt idx="8040">
                  <c:v>45254</c:v>
                </c:pt>
                <c:pt idx="8041">
                  <c:v>45254</c:v>
                </c:pt>
                <c:pt idx="8042">
                  <c:v>45254</c:v>
                </c:pt>
                <c:pt idx="8043">
                  <c:v>45254</c:v>
                </c:pt>
                <c:pt idx="8044">
                  <c:v>45254</c:v>
                </c:pt>
                <c:pt idx="8045">
                  <c:v>45254</c:v>
                </c:pt>
                <c:pt idx="8046">
                  <c:v>45254</c:v>
                </c:pt>
                <c:pt idx="8047">
                  <c:v>45254</c:v>
                </c:pt>
                <c:pt idx="8048">
                  <c:v>45254</c:v>
                </c:pt>
                <c:pt idx="8049">
                  <c:v>45254</c:v>
                </c:pt>
                <c:pt idx="8050">
                  <c:v>45254</c:v>
                </c:pt>
                <c:pt idx="8051">
                  <c:v>45254</c:v>
                </c:pt>
                <c:pt idx="8052">
                  <c:v>45254</c:v>
                </c:pt>
                <c:pt idx="8053">
                  <c:v>45254</c:v>
                </c:pt>
                <c:pt idx="8054">
                  <c:v>45254</c:v>
                </c:pt>
                <c:pt idx="8055">
                  <c:v>45254</c:v>
                </c:pt>
                <c:pt idx="8056">
                  <c:v>45254</c:v>
                </c:pt>
                <c:pt idx="8057">
                  <c:v>45254</c:v>
                </c:pt>
                <c:pt idx="8058">
                  <c:v>45254</c:v>
                </c:pt>
                <c:pt idx="8059">
                  <c:v>45254</c:v>
                </c:pt>
                <c:pt idx="8060">
                  <c:v>45254</c:v>
                </c:pt>
                <c:pt idx="8061">
                  <c:v>45254</c:v>
                </c:pt>
                <c:pt idx="8062">
                  <c:v>45254</c:v>
                </c:pt>
                <c:pt idx="8063">
                  <c:v>45254</c:v>
                </c:pt>
                <c:pt idx="8064">
                  <c:v>45255</c:v>
                </c:pt>
                <c:pt idx="8065">
                  <c:v>45255</c:v>
                </c:pt>
                <c:pt idx="8066">
                  <c:v>45255</c:v>
                </c:pt>
                <c:pt idx="8067">
                  <c:v>45255</c:v>
                </c:pt>
                <c:pt idx="8068">
                  <c:v>45255</c:v>
                </c:pt>
                <c:pt idx="8069">
                  <c:v>45255</c:v>
                </c:pt>
                <c:pt idx="8070">
                  <c:v>45255</c:v>
                </c:pt>
                <c:pt idx="8071">
                  <c:v>45255</c:v>
                </c:pt>
                <c:pt idx="8072">
                  <c:v>45255</c:v>
                </c:pt>
                <c:pt idx="8073">
                  <c:v>45255</c:v>
                </c:pt>
                <c:pt idx="8074">
                  <c:v>45255</c:v>
                </c:pt>
                <c:pt idx="8075">
                  <c:v>45255</c:v>
                </c:pt>
                <c:pt idx="8076">
                  <c:v>45255</c:v>
                </c:pt>
                <c:pt idx="8077">
                  <c:v>45255</c:v>
                </c:pt>
                <c:pt idx="8078">
                  <c:v>45255</c:v>
                </c:pt>
                <c:pt idx="8079">
                  <c:v>45255</c:v>
                </c:pt>
                <c:pt idx="8080">
                  <c:v>45255</c:v>
                </c:pt>
                <c:pt idx="8081">
                  <c:v>45255</c:v>
                </c:pt>
                <c:pt idx="8082">
                  <c:v>45255</c:v>
                </c:pt>
                <c:pt idx="8083">
                  <c:v>45255</c:v>
                </c:pt>
                <c:pt idx="8084">
                  <c:v>45255</c:v>
                </c:pt>
                <c:pt idx="8085">
                  <c:v>45255</c:v>
                </c:pt>
                <c:pt idx="8086">
                  <c:v>45255</c:v>
                </c:pt>
                <c:pt idx="8087">
                  <c:v>45255</c:v>
                </c:pt>
                <c:pt idx="8088">
                  <c:v>45256</c:v>
                </c:pt>
                <c:pt idx="8089">
                  <c:v>45256</c:v>
                </c:pt>
                <c:pt idx="8090">
                  <c:v>45256</c:v>
                </c:pt>
                <c:pt idx="8091">
                  <c:v>45256</c:v>
                </c:pt>
                <c:pt idx="8092">
                  <c:v>45256</c:v>
                </c:pt>
                <c:pt idx="8093">
                  <c:v>45256</c:v>
                </c:pt>
                <c:pt idx="8094">
                  <c:v>45256</c:v>
                </c:pt>
                <c:pt idx="8095">
                  <c:v>45256</c:v>
                </c:pt>
                <c:pt idx="8096">
                  <c:v>45256</c:v>
                </c:pt>
                <c:pt idx="8097">
                  <c:v>45256</c:v>
                </c:pt>
                <c:pt idx="8098">
                  <c:v>45256</c:v>
                </c:pt>
                <c:pt idx="8099">
                  <c:v>45256</c:v>
                </c:pt>
                <c:pt idx="8100">
                  <c:v>45256</c:v>
                </c:pt>
                <c:pt idx="8101">
                  <c:v>45256</c:v>
                </c:pt>
                <c:pt idx="8102">
                  <c:v>45256</c:v>
                </c:pt>
                <c:pt idx="8103">
                  <c:v>45256</c:v>
                </c:pt>
                <c:pt idx="8104">
                  <c:v>45256</c:v>
                </c:pt>
                <c:pt idx="8105">
                  <c:v>45256</c:v>
                </c:pt>
                <c:pt idx="8106">
                  <c:v>45256</c:v>
                </c:pt>
                <c:pt idx="8107">
                  <c:v>45256</c:v>
                </c:pt>
                <c:pt idx="8108">
                  <c:v>45256</c:v>
                </c:pt>
                <c:pt idx="8109">
                  <c:v>45256</c:v>
                </c:pt>
                <c:pt idx="8110">
                  <c:v>45256</c:v>
                </c:pt>
                <c:pt idx="8111">
                  <c:v>45256</c:v>
                </c:pt>
                <c:pt idx="8112">
                  <c:v>45257</c:v>
                </c:pt>
                <c:pt idx="8113">
                  <c:v>45257</c:v>
                </c:pt>
                <c:pt idx="8114">
                  <c:v>45257</c:v>
                </c:pt>
                <c:pt idx="8115">
                  <c:v>45257</c:v>
                </c:pt>
                <c:pt idx="8116">
                  <c:v>45257</c:v>
                </c:pt>
                <c:pt idx="8117">
                  <c:v>45257</c:v>
                </c:pt>
                <c:pt idx="8118">
                  <c:v>45257</c:v>
                </c:pt>
                <c:pt idx="8119">
                  <c:v>45257</c:v>
                </c:pt>
                <c:pt idx="8120">
                  <c:v>45257</c:v>
                </c:pt>
                <c:pt idx="8121">
                  <c:v>45257</c:v>
                </c:pt>
                <c:pt idx="8122">
                  <c:v>45257</c:v>
                </c:pt>
                <c:pt idx="8123">
                  <c:v>45257</c:v>
                </c:pt>
                <c:pt idx="8124">
                  <c:v>45257</c:v>
                </c:pt>
                <c:pt idx="8125">
                  <c:v>45257</c:v>
                </c:pt>
                <c:pt idx="8126">
                  <c:v>45257</c:v>
                </c:pt>
                <c:pt idx="8127">
                  <c:v>45257</c:v>
                </c:pt>
                <c:pt idx="8128">
                  <c:v>45257</c:v>
                </c:pt>
                <c:pt idx="8129">
                  <c:v>45257</c:v>
                </c:pt>
                <c:pt idx="8130">
                  <c:v>45257</c:v>
                </c:pt>
                <c:pt idx="8131">
                  <c:v>45257</c:v>
                </c:pt>
                <c:pt idx="8132">
                  <c:v>45257</c:v>
                </c:pt>
                <c:pt idx="8133">
                  <c:v>45257</c:v>
                </c:pt>
                <c:pt idx="8134">
                  <c:v>45257</c:v>
                </c:pt>
                <c:pt idx="8135">
                  <c:v>45257</c:v>
                </c:pt>
                <c:pt idx="8136">
                  <c:v>45258</c:v>
                </c:pt>
                <c:pt idx="8137">
                  <c:v>45258</c:v>
                </c:pt>
                <c:pt idx="8138">
                  <c:v>45258</c:v>
                </c:pt>
                <c:pt idx="8139">
                  <c:v>45258</c:v>
                </c:pt>
                <c:pt idx="8140">
                  <c:v>45258</c:v>
                </c:pt>
                <c:pt idx="8141">
                  <c:v>45258</c:v>
                </c:pt>
                <c:pt idx="8142">
                  <c:v>45258</c:v>
                </c:pt>
                <c:pt idx="8143">
                  <c:v>45258</c:v>
                </c:pt>
                <c:pt idx="8144">
                  <c:v>45258</c:v>
                </c:pt>
                <c:pt idx="8145">
                  <c:v>45258</c:v>
                </c:pt>
                <c:pt idx="8146">
                  <c:v>45258</c:v>
                </c:pt>
                <c:pt idx="8147">
                  <c:v>45258</c:v>
                </c:pt>
                <c:pt idx="8148">
                  <c:v>45258</c:v>
                </c:pt>
                <c:pt idx="8149">
                  <c:v>45258</c:v>
                </c:pt>
                <c:pt idx="8150">
                  <c:v>45258</c:v>
                </c:pt>
                <c:pt idx="8151">
                  <c:v>45258</c:v>
                </c:pt>
                <c:pt idx="8152">
                  <c:v>45258</c:v>
                </c:pt>
                <c:pt idx="8153">
                  <c:v>45258</c:v>
                </c:pt>
                <c:pt idx="8154">
                  <c:v>45258</c:v>
                </c:pt>
                <c:pt idx="8155">
                  <c:v>45258</c:v>
                </c:pt>
                <c:pt idx="8156">
                  <c:v>45258</c:v>
                </c:pt>
                <c:pt idx="8157">
                  <c:v>45258</c:v>
                </c:pt>
                <c:pt idx="8158">
                  <c:v>45258</c:v>
                </c:pt>
                <c:pt idx="8159">
                  <c:v>45258</c:v>
                </c:pt>
                <c:pt idx="8160">
                  <c:v>45259</c:v>
                </c:pt>
                <c:pt idx="8161">
                  <c:v>45259</c:v>
                </c:pt>
                <c:pt idx="8162">
                  <c:v>45259</c:v>
                </c:pt>
                <c:pt idx="8163">
                  <c:v>45259</c:v>
                </c:pt>
                <c:pt idx="8164">
                  <c:v>45259</c:v>
                </c:pt>
                <c:pt idx="8165">
                  <c:v>45259</c:v>
                </c:pt>
                <c:pt idx="8166">
                  <c:v>45259</c:v>
                </c:pt>
                <c:pt idx="8167">
                  <c:v>45259</c:v>
                </c:pt>
                <c:pt idx="8168">
                  <c:v>45259</c:v>
                </c:pt>
                <c:pt idx="8169">
                  <c:v>45259</c:v>
                </c:pt>
                <c:pt idx="8170">
                  <c:v>45259</c:v>
                </c:pt>
                <c:pt idx="8171">
                  <c:v>45259</c:v>
                </c:pt>
                <c:pt idx="8172">
                  <c:v>45259</c:v>
                </c:pt>
                <c:pt idx="8173">
                  <c:v>45259</c:v>
                </c:pt>
                <c:pt idx="8174">
                  <c:v>45259</c:v>
                </c:pt>
                <c:pt idx="8175">
                  <c:v>45259</c:v>
                </c:pt>
                <c:pt idx="8176">
                  <c:v>45259</c:v>
                </c:pt>
                <c:pt idx="8177">
                  <c:v>45259</c:v>
                </c:pt>
                <c:pt idx="8178">
                  <c:v>45259</c:v>
                </c:pt>
                <c:pt idx="8179">
                  <c:v>45259</c:v>
                </c:pt>
                <c:pt idx="8180">
                  <c:v>45259</c:v>
                </c:pt>
                <c:pt idx="8181">
                  <c:v>45259</c:v>
                </c:pt>
                <c:pt idx="8182">
                  <c:v>45259</c:v>
                </c:pt>
                <c:pt idx="8183">
                  <c:v>45259</c:v>
                </c:pt>
                <c:pt idx="8184">
                  <c:v>45260</c:v>
                </c:pt>
                <c:pt idx="8185">
                  <c:v>45260</c:v>
                </c:pt>
                <c:pt idx="8186">
                  <c:v>45260</c:v>
                </c:pt>
                <c:pt idx="8187">
                  <c:v>45260</c:v>
                </c:pt>
                <c:pt idx="8188">
                  <c:v>45260</c:v>
                </c:pt>
                <c:pt idx="8189">
                  <c:v>45260</c:v>
                </c:pt>
                <c:pt idx="8190">
                  <c:v>45260</c:v>
                </c:pt>
                <c:pt idx="8191">
                  <c:v>45260</c:v>
                </c:pt>
                <c:pt idx="8192">
                  <c:v>45260</c:v>
                </c:pt>
                <c:pt idx="8193">
                  <c:v>45260</c:v>
                </c:pt>
                <c:pt idx="8194">
                  <c:v>45260</c:v>
                </c:pt>
                <c:pt idx="8195">
                  <c:v>45260</c:v>
                </c:pt>
                <c:pt idx="8196">
                  <c:v>45260</c:v>
                </c:pt>
                <c:pt idx="8197">
                  <c:v>45260</c:v>
                </c:pt>
                <c:pt idx="8198">
                  <c:v>45260</c:v>
                </c:pt>
                <c:pt idx="8199">
                  <c:v>45260</c:v>
                </c:pt>
                <c:pt idx="8200">
                  <c:v>45260</c:v>
                </c:pt>
                <c:pt idx="8201">
                  <c:v>45260</c:v>
                </c:pt>
                <c:pt idx="8202">
                  <c:v>45260</c:v>
                </c:pt>
                <c:pt idx="8203">
                  <c:v>45260</c:v>
                </c:pt>
                <c:pt idx="8204">
                  <c:v>45260</c:v>
                </c:pt>
                <c:pt idx="8205">
                  <c:v>45260</c:v>
                </c:pt>
                <c:pt idx="8206">
                  <c:v>45260</c:v>
                </c:pt>
                <c:pt idx="8207">
                  <c:v>45260</c:v>
                </c:pt>
                <c:pt idx="8208">
                  <c:v>45261</c:v>
                </c:pt>
                <c:pt idx="8209">
                  <c:v>45261</c:v>
                </c:pt>
                <c:pt idx="8210">
                  <c:v>45261</c:v>
                </c:pt>
                <c:pt idx="8211">
                  <c:v>45261</c:v>
                </c:pt>
                <c:pt idx="8212">
                  <c:v>45261</c:v>
                </c:pt>
                <c:pt idx="8213">
                  <c:v>45261</c:v>
                </c:pt>
                <c:pt idx="8214">
                  <c:v>45261</c:v>
                </c:pt>
                <c:pt idx="8215">
                  <c:v>45261</c:v>
                </c:pt>
                <c:pt idx="8216">
                  <c:v>45261</c:v>
                </c:pt>
                <c:pt idx="8217">
                  <c:v>45261</c:v>
                </c:pt>
                <c:pt idx="8218">
                  <c:v>45261</c:v>
                </c:pt>
                <c:pt idx="8219">
                  <c:v>45261</c:v>
                </c:pt>
                <c:pt idx="8220">
                  <c:v>45261</c:v>
                </c:pt>
                <c:pt idx="8221">
                  <c:v>45261</c:v>
                </c:pt>
                <c:pt idx="8222">
                  <c:v>45261</c:v>
                </c:pt>
                <c:pt idx="8223">
                  <c:v>45261</c:v>
                </c:pt>
                <c:pt idx="8224">
                  <c:v>45261</c:v>
                </c:pt>
                <c:pt idx="8225">
                  <c:v>45261</c:v>
                </c:pt>
                <c:pt idx="8226">
                  <c:v>45261</c:v>
                </c:pt>
                <c:pt idx="8227">
                  <c:v>45261</c:v>
                </c:pt>
                <c:pt idx="8228">
                  <c:v>45261</c:v>
                </c:pt>
                <c:pt idx="8229">
                  <c:v>45261</c:v>
                </c:pt>
                <c:pt idx="8230">
                  <c:v>45261</c:v>
                </c:pt>
                <c:pt idx="8231">
                  <c:v>45261</c:v>
                </c:pt>
                <c:pt idx="8232">
                  <c:v>45262</c:v>
                </c:pt>
                <c:pt idx="8233">
                  <c:v>45262</c:v>
                </c:pt>
                <c:pt idx="8234">
                  <c:v>45262</c:v>
                </c:pt>
                <c:pt idx="8235">
                  <c:v>45262</c:v>
                </c:pt>
                <c:pt idx="8236">
                  <c:v>45262</c:v>
                </c:pt>
                <c:pt idx="8237">
                  <c:v>45262</c:v>
                </c:pt>
                <c:pt idx="8238">
                  <c:v>45262</c:v>
                </c:pt>
                <c:pt idx="8239">
                  <c:v>45262</c:v>
                </c:pt>
                <c:pt idx="8240">
                  <c:v>45262</c:v>
                </c:pt>
                <c:pt idx="8241">
                  <c:v>45262</c:v>
                </c:pt>
                <c:pt idx="8242">
                  <c:v>45262</c:v>
                </c:pt>
                <c:pt idx="8243">
                  <c:v>45262</c:v>
                </c:pt>
                <c:pt idx="8244">
                  <c:v>45262</c:v>
                </c:pt>
                <c:pt idx="8245">
                  <c:v>45262</c:v>
                </c:pt>
                <c:pt idx="8246">
                  <c:v>45262</c:v>
                </c:pt>
                <c:pt idx="8247">
                  <c:v>45262</c:v>
                </c:pt>
                <c:pt idx="8248">
                  <c:v>45262</c:v>
                </c:pt>
                <c:pt idx="8249">
                  <c:v>45262</c:v>
                </c:pt>
                <c:pt idx="8250">
                  <c:v>45262</c:v>
                </c:pt>
                <c:pt idx="8251">
                  <c:v>45262</c:v>
                </c:pt>
                <c:pt idx="8252">
                  <c:v>45262</c:v>
                </c:pt>
                <c:pt idx="8253">
                  <c:v>45262</c:v>
                </c:pt>
                <c:pt idx="8254">
                  <c:v>45262</c:v>
                </c:pt>
                <c:pt idx="8255">
                  <c:v>45262</c:v>
                </c:pt>
                <c:pt idx="8256">
                  <c:v>45263</c:v>
                </c:pt>
                <c:pt idx="8257">
                  <c:v>45263</c:v>
                </c:pt>
                <c:pt idx="8258">
                  <c:v>45263</c:v>
                </c:pt>
                <c:pt idx="8259">
                  <c:v>45263</c:v>
                </c:pt>
                <c:pt idx="8260">
                  <c:v>45263</c:v>
                </c:pt>
                <c:pt idx="8261">
                  <c:v>45263</c:v>
                </c:pt>
                <c:pt idx="8262">
                  <c:v>45263</c:v>
                </c:pt>
                <c:pt idx="8263">
                  <c:v>45263</c:v>
                </c:pt>
                <c:pt idx="8264">
                  <c:v>45263</c:v>
                </c:pt>
                <c:pt idx="8265">
                  <c:v>45263</c:v>
                </c:pt>
                <c:pt idx="8266">
                  <c:v>45263</c:v>
                </c:pt>
                <c:pt idx="8267">
                  <c:v>45263</c:v>
                </c:pt>
                <c:pt idx="8268">
                  <c:v>45263</c:v>
                </c:pt>
                <c:pt idx="8269">
                  <c:v>45263</c:v>
                </c:pt>
                <c:pt idx="8270">
                  <c:v>45263</c:v>
                </c:pt>
                <c:pt idx="8271">
                  <c:v>45263</c:v>
                </c:pt>
                <c:pt idx="8272">
                  <c:v>45263</c:v>
                </c:pt>
                <c:pt idx="8273">
                  <c:v>45263</c:v>
                </c:pt>
                <c:pt idx="8274">
                  <c:v>45263</c:v>
                </c:pt>
                <c:pt idx="8275">
                  <c:v>45263</c:v>
                </c:pt>
                <c:pt idx="8276">
                  <c:v>45263</c:v>
                </c:pt>
                <c:pt idx="8277">
                  <c:v>45263</c:v>
                </c:pt>
                <c:pt idx="8278">
                  <c:v>45263</c:v>
                </c:pt>
                <c:pt idx="8279">
                  <c:v>45263</c:v>
                </c:pt>
                <c:pt idx="8280">
                  <c:v>45264</c:v>
                </c:pt>
                <c:pt idx="8281">
                  <c:v>45264</c:v>
                </c:pt>
                <c:pt idx="8282">
                  <c:v>45264</c:v>
                </c:pt>
                <c:pt idx="8283">
                  <c:v>45264</c:v>
                </c:pt>
                <c:pt idx="8284">
                  <c:v>45264</c:v>
                </c:pt>
                <c:pt idx="8285">
                  <c:v>45264</c:v>
                </c:pt>
                <c:pt idx="8286">
                  <c:v>45264</c:v>
                </c:pt>
                <c:pt idx="8287">
                  <c:v>45264</c:v>
                </c:pt>
                <c:pt idx="8288">
                  <c:v>45264</c:v>
                </c:pt>
                <c:pt idx="8289">
                  <c:v>45264</c:v>
                </c:pt>
                <c:pt idx="8290">
                  <c:v>45264</c:v>
                </c:pt>
                <c:pt idx="8291">
                  <c:v>45264</c:v>
                </c:pt>
                <c:pt idx="8292">
                  <c:v>45264</c:v>
                </c:pt>
                <c:pt idx="8293">
                  <c:v>45264</c:v>
                </c:pt>
                <c:pt idx="8294">
                  <c:v>45264</c:v>
                </c:pt>
                <c:pt idx="8295">
                  <c:v>45264</c:v>
                </c:pt>
                <c:pt idx="8296">
                  <c:v>45264</c:v>
                </c:pt>
                <c:pt idx="8297">
                  <c:v>45264</c:v>
                </c:pt>
                <c:pt idx="8298">
                  <c:v>45264</c:v>
                </c:pt>
                <c:pt idx="8299">
                  <c:v>45264</c:v>
                </c:pt>
                <c:pt idx="8300">
                  <c:v>45264</c:v>
                </c:pt>
                <c:pt idx="8301">
                  <c:v>45264</c:v>
                </c:pt>
                <c:pt idx="8302">
                  <c:v>45264</c:v>
                </c:pt>
                <c:pt idx="8303">
                  <c:v>45264</c:v>
                </c:pt>
                <c:pt idx="8304">
                  <c:v>45265</c:v>
                </c:pt>
                <c:pt idx="8305">
                  <c:v>45265</c:v>
                </c:pt>
                <c:pt idx="8306">
                  <c:v>45265</c:v>
                </c:pt>
                <c:pt idx="8307">
                  <c:v>45265</c:v>
                </c:pt>
                <c:pt idx="8308">
                  <c:v>45265</c:v>
                </c:pt>
                <c:pt idx="8309">
                  <c:v>45265</c:v>
                </c:pt>
                <c:pt idx="8310">
                  <c:v>45265</c:v>
                </c:pt>
                <c:pt idx="8311">
                  <c:v>45265</c:v>
                </c:pt>
                <c:pt idx="8312">
                  <c:v>45265</c:v>
                </c:pt>
                <c:pt idx="8313">
                  <c:v>45265</c:v>
                </c:pt>
                <c:pt idx="8314">
                  <c:v>45265</c:v>
                </c:pt>
                <c:pt idx="8315">
                  <c:v>45265</c:v>
                </c:pt>
                <c:pt idx="8316">
                  <c:v>45265</c:v>
                </c:pt>
                <c:pt idx="8317">
                  <c:v>45265</c:v>
                </c:pt>
                <c:pt idx="8318">
                  <c:v>45265</c:v>
                </c:pt>
                <c:pt idx="8319">
                  <c:v>45265</c:v>
                </c:pt>
                <c:pt idx="8320">
                  <c:v>45265</c:v>
                </c:pt>
                <c:pt idx="8321">
                  <c:v>45265</c:v>
                </c:pt>
                <c:pt idx="8322">
                  <c:v>45265</c:v>
                </c:pt>
                <c:pt idx="8323">
                  <c:v>45265</c:v>
                </c:pt>
                <c:pt idx="8324">
                  <c:v>45265</c:v>
                </c:pt>
                <c:pt idx="8325">
                  <c:v>45265</c:v>
                </c:pt>
                <c:pt idx="8326">
                  <c:v>45265</c:v>
                </c:pt>
                <c:pt idx="8327">
                  <c:v>45265</c:v>
                </c:pt>
                <c:pt idx="8328">
                  <c:v>45266</c:v>
                </c:pt>
                <c:pt idx="8329">
                  <c:v>45266</c:v>
                </c:pt>
                <c:pt idx="8330">
                  <c:v>45266</c:v>
                </c:pt>
                <c:pt idx="8331">
                  <c:v>45266</c:v>
                </c:pt>
                <c:pt idx="8332">
                  <c:v>45266</c:v>
                </c:pt>
                <c:pt idx="8333">
                  <c:v>45266</c:v>
                </c:pt>
                <c:pt idx="8334">
                  <c:v>45266</c:v>
                </c:pt>
                <c:pt idx="8335">
                  <c:v>45266</c:v>
                </c:pt>
                <c:pt idx="8336">
                  <c:v>45266</c:v>
                </c:pt>
                <c:pt idx="8337">
                  <c:v>45266</c:v>
                </c:pt>
                <c:pt idx="8338">
                  <c:v>45266</c:v>
                </c:pt>
                <c:pt idx="8339">
                  <c:v>45266</c:v>
                </c:pt>
                <c:pt idx="8340">
                  <c:v>45266</c:v>
                </c:pt>
                <c:pt idx="8341">
                  <c:v>45266</c:v>
                </c:pt>
                <c:pt idx="8342">
                  <c:v>45266</c:v>
                </c:pt>
                <c:pt idx="8343">
                  <c:v>45266</c:v>
                </c:pt>
                <c:pt idx="8344">
                  <c:v>45266</c:v>
                </c:pt>
                <c:pt idx="8345">
                  <c:v>45266</c:v>
                </c:pt>
                <c:pt idx="8346">
                  <c:v>45266</c:v>
                </c:pt>
                <c:pt idx="8347">
                  <c:v>45266</c:v>
                </c:pt>
                <c:pt idx="8348">
                  <c:v>45266</c:v>
                </c:pt>
                <c:pt idx="8349">
                  <c:v>45266</c:v>
                </c:pt>
                <c:pt idx="8350">
                  <c:v>45266</c:v>
                </c:pt>
                <c:pt idx="8351">
                  <c:v>45266</c:v>
                </c:pt>
                <c:pt idx="8352">
                  <c:v>45267</c:v>
                </c:pt>
                <c:pt idx="8353">
                  <c:v>45267</c:v>
                </c:pt>
                <c:pt idx="8354">
                  <c:v>45267</c:v>
                </c:pt>
                <c:pt idx="8355">
                  <c:v>45267</c:v>
                </c:pt>
                <c:pt idx="8356">
                  <c:v>45267</c:v>
                </c:pt>
                <c:pt idx="8357">
                  <c:v>45267</c:v>
                </c:pt>
                <c:pt idx="8358">
                  <c:v>45267</c:v>
                </c:pt>
                <c:pt idx="8359">
                  <c:v>45267</c:v>
                </c:pt>
                <c:pt idx="8360">
                  <c:v>45267</c:v>
                </c:pt>
                <c:pt idx="8361">
                  <c:v>45267</c:v>
                </c:pt>
                <c:pt idx="8362">
                  <c:v>45267</c:v>
                </c:pt>
                <c:pt idx="8363">
                  <c:v>45267</c:v>
                </c:pt>
                <c:pt idx="8364">
                  <c:v>45267</c:v>
                </c:pt>
                <c:pt idx="8365">
                  <c:v>45267</c:v>
                </c:pt>
                <c:pt idx="8366">
                  <c:v>45267</c:v>
                </c:pt>
                <c:pt idx="8367">
                  <c:v>45267</c:v>
                </c:pt>
                <c:pt idx="8368">
                  <c:v>45267</c:v>
                </c:pt>
                <c:pt idx="8369">
                  <c:v>45267</c:v>
                </c:pt>
                <c:pt idx="8370">
                  <c:v>45267</c:v>
                </c:pt>
                <c:pt idx="8371">
                  <c:v>45267</c:v>
                </c:pt>
                <c:pt idx="8372">
                  <c:v>45267</c:v>
                </c:pt>
                <c:pt idx="8373">
                  <c:v>45267</c:v>
                </c:pt>
                <c:pt idx="8374">
                  <c:v>45267</c:v>
                </c:pt>
                <c:pt idx="8375">
                  <c:v>45267</c:v>
                </c:pt>
                <c:pt idx="8376">
                  <c:v>45268</c:v>
                </c:pt>
                <c:pt idx="8377">
                  <c:v>45268</c:v>
                </c:pt>
                <c:pt idx="8378">
                  <c:v>45268</c:v>
                </c:pt>
                <c:pt idx="8379">
                  <c:v>45268</c:v>
                </c:pt>
                <c:pt idx="8380">
                  <c:v>45268</c:v>
                </c:pt>
                <c:pt idx="8381">
                  <c:v>45268</c:v>
                </c:pt>
                <c:pt idx="8382">
                  <c:v>45268</c:v>
                </c:pt>
                <c:pt idx="8383">
                  <c:v>45268</c:v>
                </c:pt>
                <c:pt idx="8384">
                  <c:v>45268</c:v>
                </c:pt>
                <c:pt idx="8385">
                  <c:v>45268</c:v>
                </c:pt>
                <c:pt idx="8386">
                  <c:v>45268</c:v>
                </c:pt>
                <c:pt idx="8387">
                  <c:v>45268</c:v>
                </c:pt>
                <c:pt idx="8388">
                  <c:v>45268</c:v>
                </c:pt>
                <c:pt idx="8389">
                  <c:v>45268</c:v>
                </c:pt>
                <c:pt idx="8390">
                  <c:v>45268</c:v>
                </c:pt>
                <c:pt idx="8391">
                  <c:v>45268</c:v>
                </c:pt>
                <c:pt idx="8392">
                  <c:v>45268</c:v>
                </c:pt>
                <c:pt idx="8393">
                  <c:v>45268</c:v>
                </c:pt>
                <c:pt idx="8394">
                  <c:v>45268</c:v>
                </c:pt>
                <c:pt idx="8395">
                  <c:v>45268</c:v>
                </c:pt>
                <c:pt idx="8396">
                  <c:v>45268</c:v>
                </c:pt>
                <c:pt idx="8397">
                  <c:v>45268</c:v>
                </c:pt>
                <c:pt idx="8398">
                  <c:v>45268</c:v>
                </c:pt>
                <c:pt idx="8399">
                  <c:v>45268</c:v>
                </c:pt>
                <c:pt idx="8400">
                  <c:v>45269</c:v>
                </c:pt>
                <c:pt idx="8401">
                  <c:v>45269</c:v>
                </c:pt>
                <c:pt idx="8402">
                  <c:v>45269</c:v>
                </c:pt>
                <c:pt idx="8403">
                  <c:v>45269</c:v>
                </c:pt>
                <c:pt idx="8404">
                  <c:v>45269</c:v>
                </c:pt>
                <c:pt idx="8405">
                  <c:v>45269</c:v>
                </c:pt>
                <c:pt idx="8406">
                  <c:v>45269</c:v>
                </c:pt>
                <c:pt idx="8407">
                  <c:v>45269</c:v>
                </c:pt>
                <c:pt idx="8408">
                  <c:v>45269</c:v>
                </c:pt>
                <c:pt idx="8409">
                  <c:v>45269</c:v>
                </c:pt>
                <c:pt idx="8410">
                  <c:v>45269</c:v>
                </c:pt>
                <c:pt idx="8411">
                  <c:v>45269</c:v>
                </c:pt>
                <c:pt idx="8412">
                  <c:v>45269</c:v>
                </c:pt>
                <c:pt idx="8413">
                  <c:v>45269</c:v>
                </c:pt>
                <c:pt idx="8414">
                  <c:v>45269</c:v>
                </c:pt>
                <c:pt idx="8415">
                  <c:v>45269</c:v>
                </c:pt>
                <c:pt idx="8416">
                  <c:v>45269</c:v>
                </c:pt>
                <c:pt idx="8417">
                  <c:v>45269</c:v>
                </c:pt>
                <c:pt idx="8418">
                  <c:v>45269</c:v>
                </c:pt>
                <c:pt idx="8419">
                  <c:v>45269</c:v>
                </c:pt>
                <c:pt idx="8420">
                  <c:v>45269</c:v>
                </c:pt>
                <c:pt idx="8421">
                  <c:v>45269</c:v>
                </c:pt>
                <c:pt idx="8422">
                  <c:v>45269</c:v>
                </c:pt>
                <c:pt idx="8423">
                  <c:v>45269</c:v>
                </c:pt>
                <c:pt idx="8424">
                  <c:v>45270</c:v>
                </c:pt>
                <c:pt idx="8425">
                  <c:v>45270</c:v>
                </c:pt>
                <c:pt idx="8426">
                  <c:v>45270</c:v>
                </c:pt>
                <c:pt idx="8427">
                  <c:v>45270</c:v>
                </c:pt>
                <c:pt idx="8428">
                  <c:v>45270</c:v>
                </c:pt>
                <c:pt idx="8429">
                  <c:v>45270</c:v>
                </c:pt>
                <c:pt idx="8430">
                  <c:v>45270</c:v>
                </c:pt>
                <c:pt idx="8431">
                  <c:v>45270</c:v>
                </c:pt>
                <c:pt idx="8432">
                  <c:v>45270</c:v>
                </c:pt>
                <c:pt idx="8433">
                  <c:v>45270</c:v>
                </c:pt>
                <c:pt idx="8434">
                  <c:v>45270</c:v>
                </c:pt>
                <c:pt idx="8435">
                  <c:v>45270</c:v>
                </c:pt>
                <c:pt idx="8436">
                  <c:v>45270</c:v>
                </c:pt>
                <c:pt idx="8437">
                  <c:v>45270</c:v>
                </c:pt>
                <c:pt idx="8438">
                  <c:v>45270</c:v>
                </c:pt>
                <c:pt idx="8439">
                  <c:v>45270</c:v>
                </c:pt>
                <c:pt idx="8440">
                  <c:v>45270</c:v>
                </c:pt>
                <c:pt idx="8441">
                  <c:v>45270</c:v>
                </c:pt>
                <c:pt idx="8442">
                  <c:v>45270</c:v>
                </c:pt>
                <c:pt idx="8443">
                  <c:v>45270</c:v>
                </c:pt>
                <c:pt idx="8444">
                  <c:v>45270</c:v>
                </c:pt>
                <c:pt idx="8445">
                  <c:v>45270</c:v>
                </c:pt>
                <c:pt idx="8446">
                  <c:v>45270</c:v>
                </c:pt>
                <c:pt idx="8447">
                  <c:v>45270</c:v>
                </c:pt>
                <c:pt idx="8448">
                  <c:v>45271</c:v>
                </c:pt>
                <c:pt idx="8449">
                  <c:v>45271</c:v>
                </c:pt>
                <c:pt idx="8450">
                  <c:v>45271</c:v>
                </c:pt>
                <c:pt idx="8451">
                  <c:v>45271</c:v>
                </c:pt>
                <c:pt idx="8452">
                  <c:v>45271</c:v>
                </c:pt>
                <c:pt idx="8453">
                  <c:v>45271</c:v>
                </c:pt>
                <c:pt idx="8454">
                  <c:v>45271</c:v>
                </c:pt>
                <c:pt idx="8455">
                  <c:v>45271</c:v>
                </c:pt>
                <c:pt idx="8456">
                  <c:v>45271</c:v>
                </c:pt>
                <c:pt idx="8457">
                  <c:v>45271</c:v>
                </c:pt>
                <c:pt idx="8458">
                  <c:v>45271</c:v>
                </c:pt>
                <c:pt idx="8459">
                  <c:v>45271</c:v>
                </c:pt>
                <c:pt idx="8460">
                  <c:v>45271</c:v>
                </c:pt>
                <c:pt idx="8461">
                  <c:v>45271</c:v>
                </c:pt>
                <c:pt idx="8462">
                  <c:v>45271</c:v>
                </c:pt>
                <c:pt idx="8463">
                  <c:v>45271</c:v>
                </c:pt>
                <c:pt idx="8464">
                  <c:v>45271</c:v>
                </c:pt>
                <c:pt idx="8465">
                  <c:v>45271</c:v>
                </c:pt>
                <c:pt idx="8466">
                  <c:v>45271</c:v>
                </c:pt>
                <c:pt idx="8467">
                  <c:v>45271</c:v>
                </c:pt>
                <c:pt idx="8468">
                  <c:v>45271</c:v>
                </c:pt>
                <c:pt idx="8469">
                  <c:v>45271</c:v>
                </c:pt>
                <c:pt idx="8470">
                  <c:v>45271</c:v>
                </c:pt>
                <c:pt idx="8471">
                  <c:v>45271</c:v>
                </c:pt>
                <c:pt idx="8472">
                  <c:v>45272</c:v>
                </c:pt>
                <c:pt idx="8473">
                  <c:v>45272</c:v>
                </c:pt>
                <c:pt idx="8474">
                  <c:v>45272</c:v>
                </c:pt>
                <c:pt idx="8475">
                  <c:v>45272</c:v>
                </c:pt>
                <c:pt idx="8476">
                  <c:v>45272</c:v>
                </c:pt>
                <c:pt idx="8477">
                  <c:v>45272</c:v>
                </c:pt>
                <c:pt idx="8478">
                  <c:v>45272</c:v>
                </c:pt>
                <c:pt idx="8479">
                  <c:v>45272</c:v>
                </c:pt>
                <c:pt idx="8480">
                  <c:v>45272</c:v>
                </c:pt>
                <c:pt idx="8481">
                  <c:v>45272</c:v>
                </c:pt>
                <c:pt idx="8482">
                  <c:v>45272</c:v>
                </c:pt>
                <c:pt idx="8483">
                  <c:v>45272</c:v>
                </c:pt>
                <c:pt idx="8484">
                  <c:v>45272</c:v>
                </c:pt>
                <c:pt idx="8485">
                  <c:v>45272</c:v>
                </c:pt>
                <c:pt idx="8486">
                  <c:v>45272</c:v>
                </c:pt>
                <c:pt idx="8487">
                  <c:v>45272</c:v>
                </c:pt>
                <c:pt idx="8488">
                  <c:v>45272</c:v>
                </c:pt>
                <c:pt idx="8489">
                  <c:v>45272</c:v>
                </c:pt>
                <c:pt idx="8490">
                  <c:v>45272</c:v>
                </c:pt>
                <c:pt idx="8491">
                  <c:v>45272</c:v>
                </c:pt>
                <c:pt idx="8492">
                  <c:v>45272</c:v>
                </c:pt>
                <c:pt idx="8493">
                  <c:v>45272</c:v>
                </c:pt>
                <c:pt idx="8494">
                  <c:v>45272</c:v>
                </c:pt>
                <c:pt idx="8495">
                  <c:v>45272</c:v>
                </c:pt>
                <c:pt idx="8496">
                  <c:v>45273</c:v>
                </c:pt>
                <c:pt idx="8497">
                  <c:v>45273</c:v>
                </c:pt>
                <c:pt idx="8498">
                  <c:v>45273</c:v>
                </c:pt>
                <c:pt idx="8499">
                  <c:v>45273</c:v>
                </c:pt>
                <c:pt idx="8500">
                  <c:v>45273</c:v>
                </c:pt>
                <c:pt idx="8501">
                  <c:v>45273</c:v>
                </c:pt>
                <c:pt idx="8502">
                  <c:v>45273</c:v>
                </c:pt>
                <c:pt idx="8503">
                  <c:v>45273</c:v>
                </c:pt>
                <c:pt idx="8504">
                  <c:v>45273</c:v>
                </c:pt>
                <c:pt idx="8505">
                  <c:v>45273</c:v>
                </c:pt>
                <c:pt idx="8506">
                  <c:v>45273</c:v>
                </c:pt>
                <c:pt idx="8507">
                  <c:v>45273</c:v>
                </c:pt>
                <c:pt idx="8508">
                  <c:v>45273</c:v>
                </c:pt>
                <c:pt idx="8509">
                  <c:v>45273</c:v>
                </c:pt>
                <c:pt idx="8510">
                  <c:v>45273</c:v>
                </c:pt>
                <c:pt idx="8511">
                  <c:v>45273</c:v>
                </c:pt>
                <c:pt idx="8512">
                  <c:v>45273</c:v>
                </c:pt>
                <c:pt idx="8513">
                  <c:v>45273</c:v>
                </c:pt>
                <c:pt idx="8514">
                  <c:v>45273</c:v>
                </c:pt>
                <c:pt idx="8515">
                  <c:v>45273</c:v>
                </c:pt>
                <c:pt idx="8516">
                  <c:v>45273</c:v>
                </c:pt>
                <c:pt idx="8517">
                  <c:v>45273</c:v>
                </c:pt>
                <c:pt idx="8518">
                  <c:v>45273</c:v>
                </c:pt>
                <c:pt idx="8519">
                  <c:v>45273</c:v>
                </c:pt>
                <c:pt idx="8520">
                  <c:v>45274</c:v>
                </c:pt>
                <c:pt idx="8521">
                  <c:v>45274</c:v>
                </c:pt>
                <c:pt idx="8522">
                  <c:v>45274</c:v>
                </c:pt>
                <c:pt idx="8523">
                  <c:v>45274</c:v>
                </c:pt>
                <c:pt idx="8524">
                  <c:v>45274</c:v>
                </c:pt>
                <c:pt idx="8525">
                  <c:v>45274</c:v>
                </c:pt>
                <c:pt idx="8526">
                  <c:v>45274</c:v>
                </c:pt>
                <c:pt idx="8527">
                  <c:v>45274</c:v>
                </c:pt>
                <c:pt idx="8528">
                  <c:v>45274</c:v>
                </c:pt>
                <c:pt idx="8529">
                  <c:v>45274</c:v>
                </c:pt>
                <c:pt idx="8530">
                  <c:v>45274</c:v>
                </c:pt>
                <c:pt idx="8531">
                  <c:v>45274</c:v>
                </c:pt>
                <c:pt idx="8532">
                  <c:v>45274</c:v>
                </c:pt>
                <c:pt idx="8533">
                  <c:v>45274</c:v>
                </c:pt>
                <c:pt idx="8534">
                  <c:v>45274</c:v>
                </c:pt>
                <c:pt idx="8535">
                  <c:v>45274</c:v>
                </c:pt>
                <c:pt idx="8536">
                  <c:v>45274</c:v>
                </c:pt>
                <c:pt idx="8537">
                  <c:v>45274</c:v>
                </c:pt>
                <c:pt idx="8538">
                  <c:v>45274</c:v>
                </c:pt>
                <c:pt idx="8539">
                  <c:v>45274</c:v>
                </c:pt>
                <c:pt idx="8540">
                  <c:v>45274</c:v>
                </c:pt>
                <c:pt idx="8541">
                  <c:v>45274</c:v>
                </c:pt>
                <c:pt idx="8542">
                  <c:v>45274</c:v>
                </c:pt>
                <c:pt idx="8543">
                  <c:v>45274</c:v>
                </c:pt>
                <c:pt idx="8544">
                  <c:v>45275</c:v>
                </c:pt>
                <c:pt idx="8545">
                  <c:v>45275</c:v>
                </c:pt>
                <c:pt idx="8546">
                  <c:v>45275</c:v>
                </c:pt>
                <c:pt idx="8547">
                  <c:v>45275</c:v>
                </c:pt>
                <c:pt idx="8548">
                  <c:v>45275</c:v>
                </c:pt>
                <c:pt idx="8549">
                  <c:v>45275</c:v>
                </c:pt>
                <c:pt idx="8550">
                  <c:v>45275</c:v>
                </c:pt>
                <c:pt idx="8551">
                  <c:v>45275</c:v>
                </c:pt>
                <c:pt idx="8552">
                  <c:v>45275</c:v>
                </c:pt>
                <c:pt idx="8553">
                  <c:v>45275</c:v>
                </c:pt>
                <c:pt idx="8554">
                  <c:v>45275</c:v>
                </c:pt>
                <c:pt idx="8555">
                  <c:v>45275</c:v>
                </c:pt>
                <c:pt idx="8556">
                  <c:v>45275</c:v>
                </c:pt>
                <c:pt idx="8557">
                  <c:v>45275</c:v>
                </c:pt>
                <c:pt idx="8558">
                  <c:v>45275</c:v>
                </c:pt>
                <c:pt idx="8559">
                  <c:v>45275</c:v>
                </c:pt>
                <c:pt idx="8560">
                  <c:v>45275</c:v>
                </c:pt>
                <c:pt idx="8561">
                  <c:v>45275</c:v>
                </c:pt>
                <c:pt idx="8562">
                  <c:v>45275</c:v>
                </c:pt>
                <c:pt idx="8563">
                  <c:v>45275</c:v>
                </c:pt>
                <c:pt idx="8564">
                  <c:v>45275</c:v>
                </c:pt>
                <c:pt idx="8565">
                  <c:v>45275</c:v>
                </c:pt>
                <c:pt idx="8566">
                  <c:v>45275</c:v>
                </c:pt>
                <c:pt idx="8567">
                  <c:v>45275</c:v>
                </c:pt>
                <c:pt idx="8568">
                  <c:v>45276</c:v>
                </c:pt>
                <c:pt idx="8569">
                  <c:v>45276</c:v>
                </c:pt>
                <c:pt idx="8570">
                  <c:v>45276</c:v>
                </c:pt>
                <c:pt idx="8571">
                  <c:v>45276</c:v>
                </c:pt>
                <c:pt idx="8572">
                  <c:v>45276</c:v>
                </c:pt>
                <c:pt idx="8573">
                  <c:v>45276</c:v>
                </c:pt>
                <c:pt idx="8574">
                  <c:v>45276</c:v>
                </c:pt>
                <c:pt idx="8575">
                  <c:v>45276</c:v>
                </c:pt>
                <c:pt idx="8576">
                  <c:v>45276</c:v>
                </c:pt>
                <c:pt idx="8577">
                  <c:v>45276</c:v>
                </c:pt>
                <c:pt idx="8578">
                  <c:v>45276</c:v>
                </c:pt>
                <c:pt idx="8579">
                  <c:v>45276</c:v>
                </c:pt>
                <c:pt idx="8580">
                  <c:v>45276</c:v>
                </c:pt>
                <c:pt idx="8581">
                  <c:v>45276</c:v>
                </c:pt>
                <c:pt idx="8582">
                  <c:v>45276</c:v>
                </c:pt>
                <c:pt idx="8583">
                  <c:v>45276</c:v>
                </c:pt>
                <c:pt idx="8584">
                  <c:v>45276</c:v>
                </c:pt>
                <c:pt idx="8585">
                  <c:v>45276</c:v>
                </c:pt>
                <c:pt idx="8586">
                  <c:v>45276</c:v>
                </c:pt>
                <c:pt idx="8587">
                  <c:v>45276</c:v>
                </c:pt>
                <c:pt idx="8588">
                  <c:v>45276</c:v>
                </c:pt>
                <c:pt idx="8589">
                  <c:v>45276</c:v>
                </c:pt>
                <c:pt idx="8590">
                  <c:v>45276</c:v>
                </c:pt>
                <c:pt idx="8591">
                  <c:v>45276</c:v>
                </c:pt>
                <c:pt idx="8592">
                  <c:v>45277</c:v>
                </c:pt>
                <c:pt idx="8593">
                  <c:v>45277</c:v>
                </c:pt>
                <c:pt idx="8594">
                  <c:v>45277</c:v>
                </c:pt>
                <c:pt idx="8595">
                  <c:v>45277</c:v>
                </c:pt>
                <c:pt idx="8596">
                  <c:v>45277</c:v>
                </c:pt>
                <c:pt idx="8597">
                  <c:v>45277</c:v>
                </c:pt>
                <c:pt idx="8598">
                  <c:v>45277</c:v>
                </c:pt>
                <c:pt idx="8599">
                  <c:v>45277</c:v>
                </c:pt>
                <c:pt idx="8600">
                  <c:v>45277</c:v>
                </c:pt>
                <c:pt idx="8601">
                  <c:v>45277</c:v>
                </c:pt>
                <c:pt idx="8602">
                  <c:v>45277</c:v>
                </c:pt>
                <c:pt idx="8603">
                  <c:v>45277</c:v>
                </c:pt>
                <c:pt idx="8604">
                  <c:v>45277</c:v>
                </c:pt>
                <c:pt idx="8605">
                  <c:v>45277</c:v>
                </c:pt>
                <c:pt idx="8606">
                  <c:v>45277</c:v>
                </c:pt>
                <c:pt idx="8607">
                  <c:v>45277</c:v>
                </c:pt>
                <c:pt idx="8608">
                  <c:v>45277</c:v>
                </c:pt>
                <c:pt idx="8609">
                  <c:v>45277</c:v>
                </c:pt>
                <c:pt idx="8610">
                  <c:v>45277</c:v>
                </c:pt>
                <c:pt idx="8611">
                  <c:v>45277</c:v>
                </c:pt>
                <c:pt idx="8612">
                  <c:v>45277</c:v>
                </c:pt>
                <c:pt idx="8613">
                  <c:v>45277</c:v>
                </c:pt>
                <c:pt idx="8614">
                  <c:v>45277</c:v>
                </c:pt>
                <c:pt idx="8615">
                  <c:v>45277</c:v>
                </c:pt>
                <c:pt idx="8616">
                  <c:v>45278</c:v>
                </c:pt>
                <c:pt idx="8617">
                  <c:v>45278</c:v>
                </c:pt>
                <c:pt idx="8618">
                  <c:v>45278</c:v>
                </c:pt>
                <c:pt idx="8619">
                  <c:v>45278</c:v>
                </c:pt>
                <c:pt idx="8620">
                  <c:v>45278</c:v>
                </c:pt>
                <c:pt idx="8621">
                  <c:v>45278</c:v>
                </c:pt>
                <c:pt idx="8622">
                  <c:v>45278</c:v>
                </c:pt>
                <c:pt idx="8623">
                  <c:v>45278</c:v>
                </c:pt>
                <c:pt idx="8624">
                  <c:v>45278</c:v>
                </c:pt>
                <c:pt idx="8625">
                  <c:v>45278</c:v>
                </c:pt>
                <c:pt idx="8626">
                  <c:v>45278</c:v>
                </c:pt>
                <c:pt idx="8627">
                  <c:v>45278</c:v>
                </c:pt>
                <c:pt idx="8628">
                  <c:v>45278</c:v>
                </c:pt>
                <c:pt idx="8629">
                  <c:v>45278</c:v>
                </c:pt>
                <c:pt idx="8630">
                  <c:v>45278</c:v>
                </c:pt>
                <c:pt idx="8631">
                  <c:v>45278</c:v>
                </c:pt>
                <c:pt idx="8632">
                  <c:v>45278</c:v>
                </c:pt>
                <c:pt idx="8633">
                  <c:v>45278</c:v>
                </c:pt>
                <c:pt idx="8634">
                  <c:v>45278</c:v>
                </c:pt>
                <c:pt idx="8635">
                  <c:v>45278</c:v>
                </c:pt>
                <c:pt idx="8636">
                  <c:v>45278</c:v>
                </c:pt>
                <c:pt idx="8637">
                  <c:v>45278</c:v>
                </c:pt>
                <c:pt idx="8638">
                  <c:v>45278</c:v>
                </c:pt>
                <c:pt idx="8639">
                  <c:v>45278</c:v>
                </c:pt>
                <c:pt idx="8640">
                  <c:v>45279</c:v>
                </c:pt>
                <c:pt idx="8641">
                  <c:v>45279</c:v>
                </c:pt>
                <c:pt idx="8642">
                  <c:v>45279</c:v>
                </c:pt>
                <c:pt idx="8643">
                  <c:v>45279</c:v>
                </c:pt>
                <c:pt idx="8644">
                  <c:v>45279</c:v>
                </c:pt>
                <c:pt idx="8645">
                  <c:v>45279</c:v>
                </c:pt>
                <c:pt idx="8646">
                  <c:v>45279</c:v>
                </c:pt>
                <c:pt idx="8647">
                  <c:v>45279</c:v>
                </c:pt>
                <c:pt idx="8648">
                  <c:v>45279</c:v>
                </c:pt>
                <c:pt idx="8649">
                  <c:v>45279</c:v>
                </c:pt>
                <c:pt idx="8650">
                  <c:v>45279</c:v>
                </c:pt>
                <c:pt idx="8651">
                  <c:v>45279</c:v>
                </c:pt>
                <c:pt idx="8652">
                  <c:v>45279</c:v>
                </c:pt>
                <c:pt idx="8653">
                  <c:v>45279</c:v>
                </c:pt>
                <c:pt idx="8654">
                  <c:v>45279</c:v>
                </c:pt>
                <c:pt idx="8655">
                  <c:v>45279</c:v>
                </c:pt>
                <c:pt idx="8656">
                  <c:v>45279</c:v>
                </c:pt>
                <c:pt idx="8657">
                  <c:v>45279</c:v>
                </c:pt>
                <c:pt idx="8658">
                  <c:v>45279</c:v>
                </c:pt>
                <c:pt idx="8659">
                  <c:v>45279</c:v>
                </c:pt>
                <c:pt idx="8660">
                  <c:v>45279</c:v>
                </c:pt>
                <c:pt idx="8661">
                  <c:v>45279</c:v>
                </c:pt>
                <c:pt idx="8662">
                  <c:v>45279</c:v>
                </c:pt>
                <c:pt idx="8663">
                  <c:v>45279</c:v>
                </c:pt>
                <c:pt idx="8664">
                  <c:v>45280</c:v>
                </c:pt>
                <c:pt idx="8665">
                  <c:v>45280</c:v>
                </c:pt>
                <c:pt idx="8666">
                  <c:v>45280</c:v>
                </c:pt>
                <c:pt idx="8667">
                  <c:v>45280</c:v>
                </c:pt>
                <c:pt idx="8668">
                  <c:v>45280</c:v>
                </c:pt>
                <c:pt idx="8669">
                  <c:v>45280</c:v>
                </c:pt>
                <c:pt idx="8670">
                  <c:v>45280</c:v>
                </c:pt>
                <c:pt idx="8671">
                  <c:v>45280</c:v>
                </c:pt>
                <c:pt idx="8672">
                  <c:v>45280</c:v>
                </c:pt>
                <c:pt idx="8673">
                  <c:v>45280</c:v>
                </c:pt>
                <c:pt idx="8674">
                  <c:v>45280</c:v>
                </c:pt>
                <c:pt idx="8675">
                  <c:v>45280</c:v>
                </c:pt>
                <c:pt idx="8676">
                  <c:v>45280</c:v>
                </c:pt>
                <c:pt idx="8677">
                  <c:v>45280</c:v>
                </c:pt>
                <c:pt idx="8678">
                  <c:v>45280</c:v>
                </c:pt>
                <c:pt idx="8679">
                  <c:v>45280</c:v>
                </c:pt>
                <c:pt idx="8680">
                  <c:v>45280</c:v>
                </c:pt>
                <c:pt idx="8681">
                  <c:v>45280</c:v>
                </c:pt>
                <c:pt idx="8682">
                  <c:v>45280</c:v>
                </c:pt>
                <c:pt idx="8683">
                  <c:v>45280</c:v>
                </c:pt>
                <c:pt idx="8684">
                  <c:v>45280</c:v>
                </c:pt>
                <c:pt idx="8685">
                  <c:v>45280</c:v>
                </c:pt>
                <c:pt idx="8686">
                  <c:v>45280</c:v>
                </c:pt>
                <c:pt idx="8687">
                  <c:v>45280</c:v>
                </c:pt>
                <c:pt idx="8688">
                  <c:v>45281</c:v>
                </c:pt>
                <c:pt idx="8689">
                  <c:v>45281</c:v>
                </c:pt>
                <c:pt idx="8690">
                  <c:v>45281</c:v>
                </c:pt>
                <c:pt idx="8691">
                  <c:v>45281</c:v>
                </c:pt>
                <c:pt idx="8692">
                  <c:v>45281</c:v>
                </c:pt>
                <c:pt idx="8693">
                  <c:v>45281</c:v>
                </c:pt>
                <c:pt idx="8694">
                  <c:v>45281</c:v>
                </c:pt>
                <c:pt idx="8695">
                  <c:v>45281</c:v>
                </c:pt>
                <c:pt idx="8696">
                  <c:v>45281</c:v>
                </c:pt>
                <c:pt idx="8697">
                  <c:v>45281</c:v>
                </c:pt>
                <c:pt idx="8698">
                  <c:v>45281</c:v>
                </c:pt>
                <c:pt idx="8699">
                  <c:v>45281</c:v>
                </c:pt>
                <c:pt idx="8700">
                  <c:v>45281</c:v>
                </c:pt>
                <c:pt idx="8701">
                  <c:v>45281</c:v>
                </c:pt>
                <c:pt idx="8702">
                  <c:v>45281</c:v>
                </c:pt>
                <c:pt idx="8703">
                  <c:v>45281</c:v>
                </c:pt>
                <c:pt idx="8704">
                  <c:v>45281</c:v>
                </c:pt>
                <c:pt idx="8705">
                  <c:v>45281</c:v>
                </c:pt>
                <c:pt idx="8706">
                  <c:v>45281</c:v>
                </c:pt>
                <c:pt idx="8707">
                  <c:v>45281</c:v>
                </c:pt>
                <c:pt idx="8708">
                  <c:v>45281</c:v>
                </c:pt>
                <c:pt idx="8709">
                  <c:v>45281</c:v>
                </c:pt>
                <c:pt idx="8710">
                  <c:v>45281</c:v>
                </c:pt>
                <c:pt idx="8711">
                  <c:v>45281</c:v>
                </c:pt>
                <c:pt idx="8712">
                  <c:v>45282</c:v>
                </c:pt>
                <c:pt idx="8713">
                  <c:v>45282</c:v>
                </c:pt>
                <c:pt idx="8714">
                  <c:v>45282</c:v>
                </c:pt>
                <c:pt idx="8715">
                  <c:v>45282</c:v>
                </c:pt>
                <c:pt idx="8716">
                  <c:v>45282</c:v>
                </c:pt>
                <c:pt idx="8717">
                  <c:v>45282</c:v>
                </c:pt>
                <c:pt idx="8718">
                  <c:v>45282</c:v>
                </c:pt>
                <c:pt idx="8719">
                  <c:v>45282</c:v>
                </c:pt>
                <c:pt idx="8720">
                  <c:v>45282</c:v>
                </c:pt>
                <c:pt idx="8721">
                  <c:v>45282</c:v>
                </c:pt>
                <c:pt idx="8722">
                  <c:v>45282</c:v>
                </c:pt>
                <c:pt idx="8723">
                  <c:v>45282</c:v>
                </c:pt>
                <c:pt idx="8724">
                  <c:v>45282</c:v>
                </c:pt>
                <c:pt idx="8725">
                  <c:v>45282</c:v>
                </c:pt>
                <c:pt idx="8726">
                  <c:v>45282</c:v>
                </c:pt>
                <c:pt idx="8727">
                  <c:v>45282</c:v>
                </c:pt>
                <c:pt idx="8728">
                  <c:v>45282</c:v>
                </c:pt>
                <c:pt idx="8729">
                  <c:v>45282</c:v>
                </c:pt>
                <c:pt idx="8730">
                  <c:v>45282</c:v>
                </c:pt>
                <c:pt idx="8731">
                  <c:v>45282</c:v>
                </c:pt>
                <c:pt idx="8732">
                  <c:v>45282</c:v>
                </c:pt>
                <c:pt idx="8733">
                  <c:v>45282</c:v>
                </c:pt>
                <c:pt idx="8734">
                  <c:v>45282</c:v>
                </c:pt>
                <c:pt idx="8735">
                  <c:v>45282</c:v>
                </c:pt>
                <c:pt idx="8736">
                  <c:v>45283</c:v>
                </c:pt>
                <c:pt idx="8737">
                  <c:v>45283</c:v>
                </c:pt>
                <c:pt idx="8738">
                  <c:v>45283</c:v>
                </c:pt>
                <c:pt idx="8739">
                  <c:v>45283</c:v>
                </c:pt>
                <c:pt idx="8740">
                  <c:v>45283</c:v>
                </c:pt>
                <c:pt idx="8741">
                  <c:v>45283</c:v>
                </c:pt>
                <c:pt idx="8742">
                  <c:v>45283</c:v>
                </c:pt>
                <c:pt idx="8743">
                  <c:v>45283</c:v>
                </c:pt>
                <c:pt idx="8744">
                  <c:v>45283</c:v>
                </c:pt>
                <c:pt idx="8745">
                  <c:v>45283</c:v>
                </c:pt>
                <c:pt idx="8746">
                  <c:v>45283</c:v>
                </c:pt>
                <c:pt idx="8747">
                  <c:v>45283</c:v>
                </c:pt>
                <c:pt idx="8748">
                  <c:v>45283</c:v>
                </c:pt>
                <c:pt idx="8749">
                  <c:v>45283</c:v>
                </c:pt>
                <c:pt idx="8750">
                  <c:v>45283</c:v>
                </c:pt>
                <c:pt idx="8751">
                  <c:v>45283</c:v>
                </c:pt>
                <c:pt idx="8752">
                  <c:v>45283</c:v>
                </c:pt>
                <c:pt idx="8753">
                  <c:v>45283</c:v>
                </c:pt>
                <c:pt idx="8754">
                  <c:v>45283</c:v>
                </c:pt>
                <c:pt idx="8755">
                  <c:v>45283</c:v>
                </c:pt>
                <c:pt idx="8756">
                  <c:v>45283</c:v>
                </c:pt>
                <c:pt idx="8757">
                  <c:v>45283</c:v>
                </c:pt>
                <c:pt idx="8758">
                  <c:v>45283</c:v>
                </c:pt>
                <c:pt idx="8759">
                  <c:v>45283</c:v>
                </c:pt>
                <c:pt idx="8760">
                  <c:v>45284</c:v>
                </c:pt>
                <c:pt idx="8761">
                  <c:v>45284</c:v>
                </c:pt>
                <c:pt idx="8762">
                  <c:v>45284</c:v>
                </c:pt>
                <c:pt idx="8763">
                  <c:v>45284</c:v>
                </c:pt>
                <c:pt idx="8764">
                  <c:v>45284</c:v>
                </c:pt>
                <c:pt idx="8765">
                  <c:v>45284</c:v>
                </c:pt>
                <c:pt idx="8766">
                  <c:v>45284</c:v>
                </c:pt>
                <c:pt idx="8767">
                  <c:v>45284</c:v>
                </c:pt>
                <c:pt idx="8768">
                  <c:v>45284</c:v>
                </c:pt>
                <c:pt idx="8769">
                  <c:v>45284</c:v>
                </c:pt>
                <c:pt idx="8770">
                  <c:v>45284</c:v>
                </c:pt>
                <c:pt idx="8771">
                  <c:v>45284</c:v>
                </c:pt>
                <c:pt idx="8772">
                  <c:v>45284</c:v>
                </c:pt>
                <c:pt idx="8773">
                  <c:v>45284</c:v>
                </c:pt>
                <c:pt idx="8774">
                  <c:v>45284</c:v>
                </c:pt>
                <c:pt idx="8775">
                  <c:v>45284</c:v>
                </c:pt>
                <c:pt idx="8776">
                  <c:v>45284</c:v>
                </c:pt>
                <c:pt idx="8777">
                  <c:v>45284</c:v>
                </c:pt>
                <c:pt idx="8778">
                  <c:v>45284</c:v>
                </c:pt>
                <c:pt idx="8779">
                  <c:v>45284</c:v>
                </c:pt>
                <c:pt idx="8780">
                  <c:v>45284</c:v>
                </c:pt>
                <c:pt idx="8781">
                  <c:v>45284</c:v>
                </c:pt>
                <c:pt idx="8782">
                  <c:v>45284</c:v>
                </c:pt>
                <c:pt idx="8783">
                  <c:v>45284</c:v>
                </c:pt>
                <c:pt idx="8784">
                  <c:v>45285</c:v>
                </c:pt>
                <c:pt idx="8785">
                  <c:v>45285</c:v>
                </c:pt>
                <c:pt idx="8786">
                  <c:v>45285</c:v>
                </c:pt>
                <c:pt idx="8787">
                  <c:v>45285</c:v>
                </c:pt>
                <c:pt idx="8788">
                  <c:v>45285</c:v>
                </c:pt>
                <c:pt idx="8789">
                  <c:v>45285</c:v>
                </c:pt>
                <c:pt idx="8790">
                  <c:v>45285</c:v>
                </c:pt>
                <c:pt idx="8791">
                  <c:v>45285</c:v>
                </c:pt>
                <c:pt idx="8792">
                  <c:v>45285</c:v>
                </c:pt>
                <c:pt idx="8793">
                  <c:v>45285</c:v>
                </c:pt>
                <c:pt idx="8794">
                  <c:v>45285</c:v>
                </c:pt>
                <c:pt idx="8795">
                  <c:v>45285</c:v>
                </c:pt>
                <c:pt idx="8796">
                  <c:v>45285</c:v>
                </c:pt>
                <c:pt idx="8797">
                  <c:v>45285</c:v>
                </c:pt>
                <c:pt idx="8798">
                  <c:v>45285</c:v>
                </c:pt>
                <c:pt idx="8799">
                  <c:v>45285</c:v>
                </c:pt>
                <c:pt idx="8800">
                  <c:v>45285</c:v>
                </c:pt>
                <c:pt idx="8801">
                  <c:v>45285</c:v>
                </c:pt>
                <c:pt idx="8802">
                  <c:v>45285</c:v>
                </c:pt>
                <c:pt idx="8803">
                  <c:v>45285</c:v>
                </c:pt>
                <c:pt idx="8804">
                  <c:v>45285</c:v>
                </c:pt>
                <c:pt idx="8805">
                  <c:v>45285</c:v>
                </c:pt>
                <c:pt idx="8806">
                  <c:v>45285</c:v>
                </c:pt>
                <c:pt idx="8807">
                  <c:v>45285</c:v>
                </c:pt>
                <c:pt idx="8808">
                  <c:v>45286</c:v>
                </c:pt>
                <c:pt idx="8809">
                  <c:v>45286</c:v>
                </c:pt>
                <c:pt idx="8810">
                  <c:v>45286</c:v>
                </c:pt>
                <c:pt idx="8811">
                  <c:v>45286</c:v>
                </c:pt>
                <c:pt idx="8812">
                  <c:v>45286</c:v>
                </c:pt>
                <c:pt idx="8813">
                  <c:v>45286</c:v>
                </c:pt>
                <c:pt idx="8814">
                  <c:v>45286</c:v>
                </c:pt>
                <c:pt idx="8815">
                  <c:v>45286</c:v>
                </c:pt>
                <c:pt idx="8816">
                  <c:v>45286</c:v>
                </c:pt>
                <c:pt idx="8817">
                  <c:v>45286</c:v>
                </c:pt>
                <c:pt idx="8818">
                  <c:v>45286</c:v>
                </c:pt>
                <c:pt idx="8819">
                  <c:v>45286</c:v>
                </c:pt>
                <c:pt idx="8820">
                  <c:v>45286</c:v>
                </c:pt>
                <c:pt idx="8821">
                  <c:v>45286</c:v>
                </c:pt>
                <c:pt idx="8822">
                  <c:v>45286</c:v>
                </c:pt>
                <c:pt idx="8823">
                  <c:v>45286</c:v>
                </c:pt>
                <c:pt idx="8824">
                  <c:v>45286</c:v>
                </c:pt>
                <c:pt idx="8825">
                  <c:v>45286</c:v>
                </c:pt>
                <c:pt idx="8826">
                  <c:v>45286</c:v>
                </c:pt>
                <c:pt idx="8827">
                  <c:v>45286</c:v>
                </c:pt>
                <c:pt idx="8828">
                  <c:v>45286</c:v>
                </c:pt>
                <c:pt idx="8829">
                  <c:v>45286</c:v>
                </c:pt>
                <c:pt idx="8830">
                  <c:v>45286</c:v>
                </c:pt>
                <c:pt idx="8831">
                  <c:v>45286</c:v>
                </c:pt>
                <c:pt idx="8832">
                  <c:v>45287</c:v>
                </c:pt>
                <c:pt idx="8833">
                  <c:v>45287</c:v>
                </c:pt>
                <c:pt idx="8834">
                  <c:v>45287</c:v>
                </c:pt>
                <c:pt idx="8835">
                  <c:v>45287</c:v>
                </c:pt>
                <c:pt idx="8836">
                  <c:v>45287</c:v>
                </c:pt>
                <c:pt idx="8837">
                  <c:v>45287</c:v>
                </c:pt>
                <c:pt idx="8838">
                  <c:v>45287</c:v>
                </c:pt>
                <c:pt idx="8839">
                  <c:v>45287</c:v>
                </c:pt>
                <c:pt idx="8840">
                  <c:v>45287</c:v>
                </c:pt>
                <c:pt idx="8841">
                  <c:v>45287</c:v>
                </c:pt>
                <c:pt idx="8842">
                  <c:v>45287</c:v>
                </c:pt>
                <c:pt idx="8843">
                  <c:v>45287</c:v>
                </c:pt>
                <c:pt idx="8844">
                  <c:v>45287</c:v>
                </c:pt>
                <c:pt idx="8845">
                  <c:v>45287</c:v>
                </c:pt>
                <c:pt idx="8846">
                  <c:v>45287</c:v>
                </c:pt>
                <c:pt idx="8847">
                  <c:v>45287</c:v>
                </c:pt>
                <c:pt idx="8848">
                  <c:v>45287</c:v>
                </c:pt>
                <c:pt idx="8849">
                  <c:v>45287</c:v>
                </c:pt>
                <c:pt idx="8850">
                  <c:v>45287</c:v>
                </c:pt>
                <c:pt idx="8851">
                  <c:v>45287</c:v>
                </c:pt>
                <c:pt idx="8852">
                  <c:v>45287</c:v>
                </c:pt>
                <c:pt idx="8853">
                  <c:v>45287</c:v>
                </c:pt>
                <c:pt idx="8854">
                  <c:v>45287</c:v>
                </c:pt>
                <c:pt idx="8855">
                  <c:v>45287</c:v>
                </c:pt>
                <c:pt idx="8856">
                  <c:v>45288</c:v>
                </c:pt>
                <c:pt idx="8857">
                  <c:v>45288</c:v>
                </c:pt>
                <c:pt idx="8858">
                  <c:v>45288</c:v>
                </c:pt>
                <c:pt idx="8859">
                  <c:v>45288</c:v>
                </c:pt>
                <c:pt idx="8860">
                  <c:v>45288</c:v>
                </c:pt>
                <c:pt idx="8861">
                  <c:v>45288</c:v>
                </c:pt>
                <c:pt idx="8862">
                  <c:v>45288</c:v>
                </c:pt>
                <c:pt idx="8863">
                  <c:v>45288</c:v>
                </c:pt>
                <c:pt idx="8864">
                  <c:v>45288</c:v>
                </c:pt>
                <c:pt idx="8865">
                  <c:v>45288</c:v>
                </c:pt>
                <c:pt idx="8866">
                  <c:v>45288</c:v>
                </c:pt>
                <c:pt idx="8867">
                  <c:v>45288</c:v>
                </c:pt>
                <c:pt idx="8868">
                  <c:v>45288</c:v>
                </c:pt>
                <c:pt idx="8869">
                  <c:v>45288</c:v>
                </c:pt>
                <c:pt idx="8870">
                  <c:v>45288</c:v>
                </c:pt>
                <c:pt idx="8871">
                  <c:v>45288</c:v>
                </c:pt>
                <c:pt idx="8872">
                  <c:v>45288</c:v>
                </c:pt>
                <c:pt idx="8873">
                  <c:v>45288</c:v>
                </c:pt>
                <c:pt idx="8874">
                  <c:v>45288</c:v>
                </c:pt>
                <c:pt idx="8875">
                  <c:v>45288</c:v>
                </c:pt>
                <c:pt idx="8876">
                  <c:v>45288</c:v>
                </c:pt>
                <c:pt idx="8877">
                  <c:v>45288</c:v>
                </c:pt>
                <c:pt idx="8878">
                  <c:v>45288</c:v>
                </c:pt>
                <c:pt idx="8879">
                  <c:v>45288</c:v>
                </c:pt>
                <c:pt idx="8880">
                  <c:v>45289</c:v>
                </c:pt>
                <c:pt idx="8881">
                  <c:v>45289</c:v>
                </c:pt>
                <c:pt idx="8882">
                  <c:v>45289</c:v>
                </c:pt>
                <c:pt idx="8883">
                  <c:v>45289</c:v>
                </c:pt>
                <c:pt idx="8884">
                  <c:v>45289</c:v>
                </c:pt>
                <c:pt idx="8885">
                  <c:v>45289</c:v>
                </c:pt>
                <c:pt idx="8886">
                  <c:v>45289</c:v>
                </c:pt>
                <c:pt idx="8887">
                  <c:v>45289</c:v>
                </c:pt>
                <c:pt idx="8888">
                  <c:v>45289</c:v>
                </c:pt>
                <c:pt idx="8889">
                  <c:v>45289</c:v>
                </c:pt>
                <c:pt idx="8890">
                  <c:v>45289</c:v>
                </c:pt>
                <c:pt idx="8891">
                  <c:v>45289</c:v>
                </c:pt>
                <c:pt idx="8892">
                  <c:v>45289</c:v>
                </c:pt>
                <c:pt idx="8893">
                  <c:v>45289</c:v>
                </c:pt>
                <c:pt idx="8894">
                  <c:v>45289</c:v>
                </c:pt>
                <c:pt idx="8895">
                  <c:v>45289</c:v>
                </c:pt>
                <c:pt idx="8896">
                  <c:v>45289</c:v>
                </c:pt>
                <c:pt idx="8897">
                  <c:v>45289</c:v>
                </c:pt>
                <c:pt idx="8898">
                  <c:v>45289</c:v>
                </c:pt>
                <c:pt idx="8899">
                  <c:v>45289</c:v>
                </c:pt>
                <c:pt idx="8900">
                  <c:v>45289</c:v>
                </c:pt>
                <c:pt idx="8901">
                  <c:v>45289</c:v>
                </c:pt>
                <c:pt idx="8902">
                  <c:v>45289</c:v>
                </c:pt>
                <c:pt idx="8903">
                  <c:v>45289</c:v>
                </c:pt>
                <c:pt idx="8904">
                  <c:v>45290</c:v>
                </c:pt>
                <c:pt idx="8905">
                  <c:v>45290</c:v>
                </c:pt>
                <c:pt idx="8906">
                  <c:v>45290</c:v>
                </c:pt>
                <c:pt idx="8907">
                  <c:v>45290</c:v>
                </c:pt>
                <c:pt idx="8908">
                  <c:v>45290</c:v>
                </c:pt>
                <c:pt idx="8909">
                  <c:v>45290</c:v>
                </c:pt>
                <c:pt idx="8910">
                  <c:v>45290</c:v>
                </c:pt>
                <c:pt idx="8911">
                  <c:v>45290</c:v>
                </c:pt>
                <c:pt idx="8912">
                  <c:v>45290</c:v>
                </c:pt>
                <c:pt idx="8913">
                  <c:v>45290</c:v>
                </c:pt>
                <c:pt idx="8914">
                  <c:v>45290</c:v>
                </c:pt>
                <c:pt idx="8915">
                  <c:v>45290</c:v>
                </c:pt>
                <c:pt idx="8916">
                  <c:v>45290</c:v>
                </c:pt>
                <c:pt idx="8917">
                  <c:v>45290</c:v>
                </c:pt>
                <c:pt idx="8918">
                  <c:v>45290</c:v>
                </c:pt>
                <c:pt idx="8919">
                  <c:v>45290</c:v>
                </c:pt>
                <c:pt idx="8920">
                  <c:v>45290</c:v>
                </c:pt>
                <c:pt idx="8921">
                  <c:v>45290</c:v>
                </c:pt>
                <c:pt idx="8922">
                  <c:v>45290</c:v>
                </c:pt>
                <c:pt idx="8923">
                  <c:v>45290</c:v>
                </c:pt>
                <c:pt idx="8924">
                  <c:v>45290</c:v>
                </c:pt>
                <c:pt idx="8925">
                  <c:v>45290</c:v>
                </c:pt>
                <c:pt idx="8926">
                  <c:v>45290</c:v>
                </c:pt>
                <c:pt idx="8927">
                  <c:v>45290</c:v>
                </c:pt>
                <c:pt idx="8928">
                  <c:v>45291</c:v>
                </c:pt>
                <c:pt idx="8929">
                  <c:v>45291</c:v>
                </c:pt>
                <c:pt idx="8930">
                  <c:v>45291</c:v>
                </c:pt>
                <c:pt idx="8931">
                  <c:v>45291</c:v>
                </c:pt>
                <c:pt idx="8932">
                  <c:v>45291</c:v>
                </c:pt>
                <c:pt idx="8933">
                  <c:v>45291</c:v>
                </c:pt>
                <c:pt idx="8934">
                  <c:v>45291</c:v>
                </c:pt>
                <c:pt idx="8935">
                  <c:v>45291</c:v>
                </c:pt>
                <c:pt idx="8936">
                  <c:v>45291</c:v>
                </c:pt>
                <c:pt idx="8937">
                  <c:v>45291</c:v>
                </c:pt>
                <c:pt idx="8938">
                  <c:v>45291</c:v>
                </c:pt>
                <c:pt idx="8939">
                  <c:v>45291</c:v>
                </c:pt>
                <c:pt idx="8940">
                  <c:v>45291</c:v>
                </c:pt>
                <c:pt idx="8941">
                  <c:v>45291</c:v>
                </c:pt>
                <c:pt idx="8942">
                  <c:v>45291</c:v>
                </c:pt>
                <c:pt idx="8943">
                  <c:v>45291</c:v>
                </c:pt>
                <c:pt idx="8944">
                  <c:v>45291</c:v>
                </c:pt>
                <c:pt idx="8945">
                  <c:v>45291</c:v>
                </c:pt>
                <c:pt idx="8946">
                  <c:v>45291</c:v>
                </c:pt>
                <c:pt idx="8947">
                  <c:v>45291</c:v>
                </c:pt>
                <c:pt idx="8948">
                  <c:v>45291</c:v>
                </c:pt>
                <c:pt idx="8949">
                  <c:v>45291</c:v>
                </c:pt>
                <c:pt idx="8950">
                  <c:v>45291</c:v>
                </c:pt>
                <c:pt idx="8951">
                  <c:v>45291</c:v>
                </c:pt>
              </c:numCache>
            </c:numRef>
          </c:xVal>
          <c:yVal>
            <c:numRef>
              <c:f>'T° eau'!$E$9:$E$9056</c:f>
              <c:numCache>
                <c:formatCode>0.0</c:formatCode>
                <c:ptCount val="9048"/>
                <c:pt idx="0">
                  <c:v>7.1111111111111089</c:v>
                </c:pt>
                <c:pt idx="1">
                  <c:v>7.2777777777777786</c:v>
                </c:pt>
                <c:pt idx="2">
                  <c:v>7.0000000000000009</c:v>
                </c:pt>
                <c:pt idx="3">
                  <c:v>7.0000000000000009</c:v>
                </c:pt>
                <c:pt idx="4">
                  <c:v>6.5000000000000018</c:v>
                </c:pt>
                <c:pt idx="5">
                  <c:v>5.6111111111111116</c:v>
                </c:pt>
                <c:pt idx="6">
                  <c:v>4.8888888888888875</c:v>
                </c:pt>
                <c:pt idx="7">
                  <c:v>4.6111111111111098</c:v>
                </c:pt>
                <c:pt idx="8">
                  <c:v>4.8888888888888875</c:v>
                </c:pt>
                <c:pt idx="9">
                  <c:v>5.4999999999999991</c:v>
                </c:pt>
                <c:pt idx="10">
                  <c:v>6.5000000000000018</c:v>
                </c:pt>
                <c:pt idx="11">
                  <c:v>6.8888888888888875</c:v>
                </c:pt>
                <c:pt idx="12">
                  <c:v>7.2222222222222223</c:v>
                </c:pt>
                <c:pt idx="13">
                  <c:v>7.2777777777777786</c:v>
                </c:pt>
                <c:pt idx="14">
                  <c:v>7.3888888888888875</c:v>
                </c:pt>
                <c:pt idx="15">
                  <c:v>7.2777777777777786</c:v>
                </c:pt>
                <c:pt idx="16">
                  <c:v>7.0000000000000009</c:v>
                </c:pt>
                <c:pt idx="17">
                  <c:v>6.2222222222222232</c:v>
                </c:pt>
                <c:pt idx="18">
                  <c:v>5.4999999999999991</c:v>
                </c:pt>
                <c:pt idx="19">
                  <c:v>5.1111111111111125</c:v>
                </c:pt>
                <c:pt idx="20">
                  <c:v>4.7777777777777786</c:v>
                </c:pt>
                <c:pt idx="21">
                  <c:v>5</c:v>
                </c:pt>
                <c:pt idx="22">
                  <c:v>5.7222222222222205</c:v>
                </c:pt>
                <c:pt idx="23">
                  <c:v>6.7222222222222232</c:v>
                </c:pt>
                <c:pt idx="24">
                  <c:v>6.8888888888888875</c:v>
                </c:pt>
                <c:pt idx="25">
                  <c:v>7.0000000000000009</c:v>
                </c:pt>
                <c:pt idx="26">
                  <c:v>7.2222222222222223</c:v>
                </c:pt>
                <c:pt idx="27">
                  <c:v>7.0000000000000009</c:v>
                </c:pt>
                <c:pt idx="28">
                  <c:v>6.8888888888888875</c:v>
                </c:pt>
                <c:pt idx="29">
                  <c:v>6.3888888888888884</c:v>
                </c:pt>
                <c:pt idx="30">
                  <c:v>5.6111111111111116</c:v>
                </c:pt>
                <c:pt idx="31">
                  <c:v>5.1111111111111125</c:v>
                </c:pt>
                <c:pt idx="32">
                  <c:v>4.8888888888888875</c:v>
                </c:pt>
                <c:pt idx="33">
                  <c:v>5</c:v>
                </c:pt>
                <c:pt idx="34">
                  <c:v>5.8888888888888893</c:v>
                </c:pt>
                <c:pt idx="35">
                  <c:v>6.2777777777777759</c:v>
                </c:pt>
                <c:pt idx="36">
                  <c:v>6.6111111111111098</c:v>
                </c:pt>
                <c:pt idx="37">
                  <c:v>6.7777777777777795</c:v>
                </c:pt>
                <c:pt idx="38">
                  <c:v>6.8888888888888875</c:v>
                </c:pt>
                <c:pt idx="39">
                  <c:v>6.7777777777777795</c:v>
                </c:pt>
                <c:pt idx="40">
                  <c:v>6.8888888888888875</c:v>
                </c:pt>
                <c:pt idx="41">
                  <c:v>6.6111111111111098</c:v>
                </c:pt>
                <c:pt idx="42">
                  <c:v>5.9999999999999982</c:v>
                </c:pt>
                <c:pt idx="43">
                  <c:v>5.4999999999999991</c:v>
                </c:pt>
                <c:pt idx="44">
                  <c:v>5.1111111111111125</c:v>
                </c:pt>
                <c:pt idx="45">
                  <c:v>4.8888888888888875</c:v>
                </c:pt>
                <c:pt idx="46">
                  <c:v>5.1111111111111125</c:v>
                </c:pt>
                <c:pt idx="47">
                  <c:v>5.7777777777777768</c:v>
                </c:pt>
                <c:pt idx="48">
                  <c:v>6.1111111111111107</c:v>
                </c:pt>
                <c:pt idx="49">
                  <c:v>6.5000000000000018</c:v>
                </c:pt>
                <c:pt idx="50">
                  <c:v>6.7222222222222232</c:v>
                </c:pt>
                <c:pt idx="51">
                  <c:v>6.8888888888888875</c:v>
                </c:pt>
                <c:pt idx="52">
                  <c:v>6.6111111111111098</c:v>
                </c:pt>
                <c:pt idx="53">
                  <c:v>6.5000000000000018</c:v>
                </c:pt>
                <c:pt idx="54">
                  <c:v>6.2222222222222232</c:v>
                </c:pt>
                <c:pt idx="55">
                  <c:v>5.4999999999999991</c:v>
                </c:pt>
                <c:pt idx="56">
                  <c:v>5.1111111111111125</c:v>
                </c:pt>
                <c:pt idx="57">
                  <c:v>4.8888888888888875</c:v>
                </c:pt>
                <c:pt idx="58">
                  <c:v>5</c:v>
                </c:pt>
                <c:pt idx="59">
                  <c:v>5.7777777777777768</c:v>
                </c:pt>
                <c:pt idx="60">
                  <c:v>6.2222222222222232</c:v>
                </c:pt>
                <c:pt idx="61">
                  <c:v>6.5000000000000018</c:v>
                </c:pt>
                <c:pt idx="62">
                  <c:v>6.8888888888888875</c:v>
                </c:pt>
                <c:pt idx="63">
                  <c:v>7.1111111111111089</c:v>
                </c:pt>
                <c:pt idx="64">
                  <c:v>7.0000000000000009</c:v>
                </c:pt>
                <c:pt idx="65">
                  <c:v>7.0000000000000009</c:v>
                </c:pt>
                <c:pt idx="66">
                  <c:v>6.6111111111111098</c:v>
                </c:pt>
                <c:pt idx="67">
                  <c:v>5.7777777777777768</c:v>
                </c:pt>
                <c:pt idx="68">
                  <c:v>5.2777777777777777</c:v>
                </c:pt>
                <c:pt idx="69">
                  <c:v>5</c:v>
                </c:pt>
                <c:pt idx="70">
                  <c:v>4.7777777777777786</c:v>
                </c:pt>
                <c:pt idx="71">
                  <c:v>5.1111111111111125</c:v>
                </c:pt>
                <c:pt idx="72">
                  <c:v>5.7777777777777768</c:v>
                </c:pt>
                <c:pt idx="73">
                  <c:v>6.2777777777777759</c:v>
                </c:pt>
                <c:pt idx="74">
                  <c:v>6.7777777777777795</c:v>
                </c:pt>
                <c:pt idx="75">
                  <c:v>7.0000000000000009</c:v>
                </c:pt>
                <c:pt idx="76">
                  <c:v>7.2777777777777786</c:v>
                </c:pt>
                <c:pt idx="77">
                  <c:v>6.8888888888888875</c:v>
                </c:pt>
                <c:pt idx="78">
                  <c:v>6.7222222222222232</c:v>
                </c:pt>
                <c:pt idx="79">
                  <c:v>6.2222222222222232</c:v>
                </c:pt>
                <c:pt idx="80">
                  <c:v>5.6111111111111116</c:v>
                </c:pt>
                <c:pt idx="81">
                  <c:v>5.2222222222222214</c:v>
                </c:pt>
                <c:pt idx="82">
                  <c:v>5</c:v>
                </c:pt>
                <c:pt idx="83">
                  <c:v>5.3888888888888902</c:v>
                </c:pt>
                <c:pt idx="84">
                  <c:v>6.1111111111111107</c:v>
                </c:pt>
                <c:pt idx="85">
                  <c:v>6.5000000000000018</c:v>
                </c:pt>
                <c:pt idx="86">
                  <c:v>6.7777777777777795</c:v>
                </c:pt>
                <c:pt idx="87">
                  <c:v>7.1111111111111089</c:v>
                </c:pt>
                <c:pt idx="88">
                  <c:v>7.1111111111111089</c:v>
                </c:pt>
                <c:pt idx="89">
                  <c:v>7.1111111111111089</c:v>
                </c:pt>
                <c:pt idx="90">
                  <c:v>6.8888888888888875</c:v>
                </c:pt>
                <c:pt idx="91">
                  <c:v>6.5000000000000018</c:v>
                </c:pt>
                <c:pt idx="92">
                  <c:v>5.8888888888888893</c:v>
                </c:pt>
                <c:pt idx="93">
                  <c:v>5.4999999999999991</c:v>
                </c:pt>
                <c:pt idx="94">
                  <c:v>5.1111111111111125</c:v>
                </c:pt>
                <c:pt idx="95">
                  <c:v>5</c:v>
                </c:pt>
                <c:pt idx="96">
                  <c:v>5.2222222222222214</c:v>
                </c:pt>
                <c:pt idx="97">
                  <c:v>6.1111111111111107</c:v>
                </c:pt>
                <c:pt idx="98">
                  <c:v>6.2777777777777759</c:v>
                </c:pt>
                <c:pt idx="99">
                  <c:v>6.7222222222222232</c:v>
                </c:pt>
                <c:pt idx="100">
                  <c:v>7.0000000000000009</c:v>
                </c:pt>
                <c:pt idx="101">
                  <c:v>7.1111111111111089</c:v>
                </c:pt>
                <c:pt idx="102">
                  <c:v>6.8888888888888875</c:v>
                </c:pt>
                <c:pt idx="103">
                  <c:v>6.7222222222222232</c:v>
                </c:pt>
                <c:pt idx="104">
                  <c:v>6.2777777777777759</c:v>
                </c:pt>
                <c:pt idx="105">
                  <c:v>5.7777777777777768</c:v>
                </c:pt>
                <c:pt idx="106">
                  <c:v>5.4999999999999991</c:v>
                </c:pt>
                <c:pt idx="107">
                  <c:v>5.2777777777777777</c:v>
                </c:pt>
                <c:pt idx="108">
                  <c:v>5.7777777777777768</c:v>
                </c:pt>
                <c:pt idx="109">
                  <c:v>6.3888888888888884</c:v>
                </c:pt>
                <c:pt idx="110">
                  <c:v>6.6111111111111098</c:v>
                </c:pt>
                <c:pt idx="111">
                  <c:v>6.7777777777777795</c:v>
                </c:pt>
                <c:pt idx="112">
                  <c:v>6.8888888888888875</c:v>
                </c:pt>
                <c:pt idx="113">
                  <c:v>6.8888888888888875</c:v>
                </c:pt>
                <c:pt idx="114">
                  <c:v>6.7777777777777795</c:v>
                </c:pt>
                <c:pt idx="115">
                  <c:v>6.7222222222222232</c:v>
                </c:pt>
                <c:pt idx="116">
                  <c:v>6.2222222222222232</c:v>
                </c:pt>
                <c:pt idx="117">
                  <c:v>5.7777777777777768</c:v>
                </c:pt>
                <c:pt idx="118">
                  <c:v>5.3888888888888902</c:v>
                </c:pt>
                <c:pt idx="119">
                  <c:v>5.2222222222222214</c:v>
                </c:pt>
                <c:pt idx="120">
                  <c:v>5.1111111111111125</c:v>
                </c:pt>
                <c:pt idx="121">
                  <c:v>5.2777777777777777</c:v>
                </c:pt>
                <c:pt idx="122">
                  <c:v>6.2777777777777759</c:v>
                </c:pt>
                <c:pt idx="123">
                  <c:v>6.2777777777777759</c:v>
                </c:pt>
                <c:pt idx="124">
                  <c:v>6.5000000000000018</c:v>
                </c:pt>
                <c:pt idx="125">
                  <c:v>6.6111111111111098</c:v>
                </c:pt>
                <c:pt idx="126">
                  <c:v>6.5000000000000018</c:v>
                </c:pt>
                <c:pt idx="127">
                  <c:v>6.5000000000000018</c:v>
                </c:pt>
                <c:pt idx="128">
                  <c:v>6.2777777777777759</c:v>
                </c:pt>
                <c:pt idx="129">
                  <c:v>5.7777777777777768</c:v>
                </c:pt>
                <c:pt idx="130">
                  <c:v>5.3888888888888902</c:v>
                </c:pt>
                <c:pt idx="131">
                  <c:v>5.2222222222222214</c:v>
                </c:pt>
                <c:pt idx="132">
                  <c:v>5.2222222222222214</c:v>
                </c:pt>
                <c:pt idx="133">
                  <c:v>5.7222222222222205</c:v>
                </c:pt>
                <c:pt idx="134">
                  <c:v>5.9999999999999982</c:v>
                </c:pt>
                <c:pt idx="135">
                  <c:v>6.2777777777777759</c:v>
                </c:pt>
                <c:pt idx="136">
                  <c:v>6.3888888888888884</c:v>
                </c:pt>
                <c:pt idx="137">
                  <c:v>6.3888888888888884</c:v>
                </c:pt>
                <c:pt idx="138">
                  <c:v>6.5000000000000018</c:v>
                </c:pt>
                <c:pt idx="139">
                  <c:v>6.3888888888888884</c:v>
                </c:pt>
                <c:pt idx="140">
                  <c:v>6.2222222222222232</c:v>
                </c:pt>
                <c:pt idx="141">
                  <c:v>5.7222222222222205</c:v>
                </c:pt>
                <c:pt idx="142">
                  <c:v>5.2777777777777777</c:v>
                </c:pt>
                <c:pt idx="143">
                  <c:v>5</c:v>
                </c:pt>
                <c:pt idx="144">
                  <c:v>4.7777777777777786</c:v>
                </c:pt>
                <c:pt idx="145">
                  <c:v>4.7777777777777786</c:v>
                </c:pt>
                <c:pt idx="146">
                  <c:v>5.3888888888888902</c:v>
                </c:pt>
                <c:pt idx="147">
                  <c:v>5.7777777777777768</c:v>
                </c:pt>
                <c:pt idx="148">
                  <c:v>5.8888888888888893</c:v>
                </c:pt>
                <c:pt idx="149">
                  <c:v>6.1111111111111107</c:v>
                </c:pt>
                <c:pt idx="150">
                  <c:v>6.2222222222222232</c:v>
                </c:pt>
                <c:pt idx="151">
                  <c:v>5.9999999999999982</c:v>
                </c:pt>
                <c:pt idx="152">
                  <c:v>5.9999999999999982</c:v>
                </c:pt>
                <c:pt idx="153">
                  <c:v>5.7222222222222205</c:v>
                </c:pt>
                <c:pt idx="154">
                  <c:v>5.2777777777777777</c:v>
                </c:pt>
                <c:pt idx="155">
                  <c:v>4.8888888888888875</c:v>
                </c:pt>
                <c:pt idx="156">
                  <c:v>4.7777777777777786</c:v>
                </c:pt>
                <c:pt idx="157">
                  <c:v>5</c:v>
                </c:pt>
                <c:pt idx="158">
                  <c:v>5.2777777777777777</c:v>
                </c:pt>
                <c:pt idx="159">
                  <c:v>5.7222222222222205</c:v>
                </c:pt>
                <c:pt idx="160">
                  <c:v>5.8888888888888893</c:v>
                </c:pt>
                <c:pt idx="161">
                  <c:v>6.1111111111111107</c:v>
                </c:pt>
                <c:pt idx="162">
                  <c:v>6.1111111111111107</c:v>
                </c:pt>
                <c:pt idx="163">
                  <c:v>6.1111111111111107</c:v>
                </c:pt>
                <c:pt idx="164">
                  <c:v>6.1111111111111107</c:v>
                </c:pt>
                <c:pt idx="165">
                  <c:v>5.7777777777777768</c:v>
                </c:pt>
                <c:pt idx="166">
                  <c:v>5.3888888888888902</c:v>
                </c:pt>
                <c:pt idx="167">
                  <c:v>5.1111111111111125</c:v>
                </c:pt>
                <c:pt idx="168">
                  <c:v>4.7777777777777786</c:v>
                </c:pt>
                <c:pt idx="169">
                  <c:v>4.7222222222222223</c:v>
                </c:pt>
                <c:pt idx="170">
                  <c:v>4.8888888888888875</c:v>
                </c:pt>
                <c:pt idx="171">
                  <c:v>5.4999999999999991</c:v>
                </c:pt>
                <c:pt idx="172">
                  <c:v>5.6111111111111116</c:v>
                </c:pt>
                <c:pt idx="173">
                  <c:v>5.8888888888888893</c:v>
                </c:pt>
                <c:pt idx="174">
                  <c:v>5.8888888888888893</c:v>
                </c:pt>
                <c:pt idx="175">
                  <c:v>5.9999999999999982</c:v>
                </c:pt>
                <c:pt idx="176">
                  <c:v>5.8888888888888893</c:v>
                </c:pt>
                <c:pt idx="177">
                  <c:v>5.7222222222222205</c:v>
                </c:pt>
                <c:pt idx="178">
                  <c:v>5.2222222222222214</c:v>
                </c:pt>
                <c:pt idx="179">
                  <c:v>4.7777777777777786</c:v>
                </c:pt>
                <c:pt idx="180">
                  <c:v>4.5000000000000009</c:v>
                </c:pt>
                <c:pt idx="181">
                  <c:v>4.3888888888888884</c:v>
                </c:pt>
                <c:pt idx="182">
                  <c:v>4.7222222222222223</c:v>
                </c:pt>
                <c:pt idx="183">
                  <c:v>5.2222222222222214</c:v>
                </c:pt>
                <c:pt idx="184">
                  <c:v>5.6111111111111116</c:v>
                </c:pt>
                <c:pt idx="185">
                  <c:v>5.8888888888888893</c:v>
                </c:pt>
                <c:pt idx="186">
                  <c:v>6.1111111111111107</c:v>
                </c:pt>
                <c:pt idx="187">
                  <c:v>6.1111111111111107</c:v>
                </c:pt>
                <c:pt idx="188">
                  <c:v>5.9999999999999982</c:v>
                </c:pt>
                <c:pt idx="189">
                  <c:v>5.8888888888888893</c:v>
                </c:pt>
                <c:pt idx="190">
                  <c:v>5.4999999999999991</c:v>
                </c:pt>
                <c:pt idx="191">
                  <c:v>5</c:v>
                </c:pt>
                <c:pt idx="192">
                  <c:v>4.7222222222222223</c:v>
                </c:pt>
                <c:pt idx="193">
                  <c:v>4.3888888888888884</c:v>
                </c:pt>
                <c:pt idx="194">
                  <c:v>4.2777777777777795</c:v>
                </c:pt>
                <c:pt idx="195">
                  <c:v>4.6111111111111098</c:v>
                </c:pt>
                <c:pt idx="196">
                  <c:v>5.3888888888888902</c:v>
                </c:pt>
                <c:pt idx="197">
                  <c:v>5.6111111111111116</c:v>
                </c:pt>
                <c:pt idx="198">
                  <c:v>5.6111111111111116</c:v>
                </c:pt>
                <c:pt idx="199">
                  <c:v>5.8888888888888893</c:v>
                </c:pt>
                <c:pt idx="200">
                  <c:v>5.6111111111111116</c:v>
                </c:pt>
                <c:pt idx="201">
                  <c:v>5.7222222222222205</c:v>
                </c:pt>
                <c:pt idx="202">
                  <c:v>5.3888888888888902</c:v>
                </c:pt>
                <c:pt idx="203">
                  <c:v>5</c:v>
                </c:pt>
                <c:pt idx="204">
                  <c:v>4.5000000000000009</c:v>
                </c:pt>
                <c:pt idx="205">
                  <c:v>4.2777777777777795</c:v>
                </c:pt>
                <c:pt idx="206">
                  <c:v>4.5000000000000009</c:v>
                </c:pt>
                <c:pt idx="207">
                  <c:v>4.7777777777777786</c:v>
                </c:pt>
                <c:pt idx="208">
                  <c:v>5.2777777777777777</c:v>
                </c:pt>
                <c:pt idx="209">
                  <c:v>5.6111111111111116</c:v>
                </c:pt>
                <c:pt idx="210">
                  <c:v>5.8888888888888893</c:v>
                </c:pt>
                <c:pt idx="211">
                  <c:v>6.1111111111111107</c:v>
                </c:pt>
                <c:pt idx="212">
                  <c:v>5.9999999999999982</c:v>
                </c:pt>
                <c:pt idx="213">
                  <c:v>6.1111111111111107</c:v>
                </c:pt>
                <c:pt idx="214">
                  <c:v>5.7222222222222205</c:v>
                </c:pt>
                <c:pt idx="215">
                  <c:v>5.1111111111111125</c:v>
                </c:pt>
                <c:pt idx="216">
                  <c:v>4.6111111111111098</c:v>
                </c:pt>
                <c:pt idx="217">
                  <c:v>4.2777777777777795</c:v>
                </c:pt>
                <c:pt idx="218">
                  <c:v>4.1111111111111098</c:v>
                </c:pt>
                <c:pt idx="219">
                  <c:v>4.2777777777777795</c:v>
                </c:pt>
                <c:pt idx="220">
                  <c:v>4.8888888888888875</c:v>
                </c:pt>
                <c:pt idx="221">
                  <c:v>5.3888888888888902</c:v>
                </c:pt>
                <c:pt idx="222">
                  <c:v>5.7777777777777768</c:v>
                </c:pt>
                <c:pt idx="223">
                  <c:v>5.7777777777777768</c:v>
                </c:pt>
                <c:pt idx="224">
                  <c:v>6.2222222222222232</c:v>
                </c:pt>
                <c:pt idx="225">
                  <c:v>5.7777777777777768</c:v>
                </c:pt>
                <c:pt idx="226">
                  <c:v>5.7777777777777768</c:v>
                </c:pt>
                <c:pt idx="227">
                  <c:v>5.3888888888888902</c:v>
                </c:pt>
                <c:pt idx="228">
                  <c:v>4.7777777777777786</c:v>
                </c:pt>
                <c:pt idx="229">
                  <c:v>4.3888888888888884</c:v>
                </c:pt>
                <c:pt idx="230">
                  <c:v>4.2222222222222232</c:v>
                </c:pt>
                <c:pt idx="231">
                  <c:v>4.6111111111111098</c:v>
                </c:pt>
                <c:pt idx="232">
                  <c:v>5</c:v>
                </c:pt>
                <c:pt idx="233">
                  <c:v>5.4999999999999991</c:v>
                </c:pt>
                <c:pt idx="234">
                  <c:v>5.7777777777777768</c:v>
                </c:pt>
                <c:pt idx="235">
                  <c:v>5.9999999999999982</c:v>
                </c:pt>
                <c:pt idx="236">
                  <c:v>6.1111111111111107</c:v>
                </c:pt>
                <c:pt idx="237">
                  <c:v>5.9999999999999982</c:v>
                </c:pt>
                <c:pt idx="238">
                  <c:v>5.7777777777777768</c:v>
                </c:pt>
                <c:pt idx="239">
                  <c:v>5.3888888888888902</c:v>
                </c:pt>
                <c:pt idx="240">
                  <c:v>4.7777777777777786</c:v>
                </c:pt>
                <c:pt idx="241">
                  <c:v>4.2777777777777795</c:v>
                </c:pt>
                <c:pt idx="242">
                  <c:v>4.1111111111111098</c:v>
                </c:pt>
                <c:pt idx="243">
                  <c:v>3.8888888888888888</c:v>
                </c:pt>
                <c:pt idx="244">
                  <c:v>4.2222222222222232</c:v>
                </c:pt>
                <c:pt idx="245">
                  <c:v>5.3888888888888902</c:v>
                </c:pt>
                <c:pt idx="246">
                  <c:v>5.4999999999999991</c:v>
                </c:pt>
                <c:pt idx="247">
                  <c:v>5.7777777777777768</c:v>
                </c:pt>
                <c:pt idx="248">
                  <c:v>5.8888888888888893</c:v>
                </c:pt>
                <c:pt idx="249">
                  <c:v>5.9999999999999982</c:v>
                </c:pt>
                <c:pt idx="250">
                  <c:v>5.7777777777777768</c:v>
                </c:pt>
                <c:pt idx="251">
                  <c:v>5.4999999999999991</c:v>
                </c:pt>
                <c:pt idx="252">
                  <c:v>5</c:v>
                </c:pt>
                <c:pt idx="253">
                  <c:v>4.3888888888888884</c:v>
                </c:pt>
                <c:pt idx="254">
                  <c:v>4.0000000000000018</c:v>
                </c:pt>
                <c:pt idx="255">
                  <c:v>4.0000000000000018</c:v>
                </c:pt>
                <c:pt idx="256">
                  <c:v>4.3888888888888884</c:v>
                </c:pt>
                <c:pt idx="257">
                  <c:v>5.1111111111111125</c:v>
                </c:pt>
                <c:pt idx="258">
                  <c:v>5.3888888888888902</c:v>
                </c:pt>
                <c:pt idx="259">
                  <c:v>5.4999999999999991</c:v>
                </c:pt>
                <c:pt idx="260">
                  <c:v>5.6111111111111116</c:v>
                </c:pt>
                <c:pt idx="261">
                  <c:v>5.6111111111111116</c:v>
                </c:pt>
                <c:pt idx="262">
                  <c:v>5.4999999999999991</c:v>
                </c:pt>
                <c:pt idx="263">
                  <c:v>5.3888888888888902</c:v>
                </c:pt>
                <c:pt idx="264">
                  <c:v>5</c:v>
                </c:pt>
                <c:pt idx="265">
                  <c:v>4.3888888888888884</c:v>
                </c:pt>
                <c:pt idx="266">
                  <c:v>4.0000000000000018</c:v>
                </c:pt>
                <c:pt idx="267">
                  <c:v>3.7777777777777759</c:v>
                </c:pt>
                <c:pt idx="268">
                  <c:v>3.7777777777777759</c:v>
                </c:pt>
                <c:pt idx="269">
                  <c:v>4.2222222222222232</c:v>
                </c:pt>
                <c:pt idx="270">
                  <c:v>4.7222222222222223</c:v>
                </c:pt>
                <c:pt idx="271">
                  <c:v>5</c:v>
                </c:pt>
                <c:pt idx="272">
                  <c:v>5.2222222222222214</c:v>
                </c:pt>
                <c:pt idx="273">
                  <c:v>5.2777777777777777</c:v>
                </c:pt>
                <c:pt idx="274">
                  <c:v>5.2222222222222214</c:v>
                </c:pt>
                <c:pt idx="275">
                  <c:v>5.2222222222222214</c:v>
                </c:pt>
                <c:pt idx="276">
                  <c:v>4.8888888888888875</c:v>
                </c:pt>
                <c:pt idx="277">
                  <c:v>4.3888888888888884</c:v>
                </c:pt>
                <c:pt idx="278">
                  <c:v>4.0000000000000018</c:v>
                </c:pt>
                <c:pt idx="279">
                  <c:v>3.7777777777777759</c:v>
                </c:pt>
                <c:pt idx="280">
                  <c:v>4.0000000000000018</c:v>
                </c:pt>
                <c:pt idx="281">
                  <c:v>4.3888888888888884</c:v>
                </c:pt>
                <c:pt idx="282">
                  <c:v>4.7777777777777786</c:v>
                </c:pt>
                <c:pt idx="283">
                  <c:v>4.8888888888888875</c:v>
                </c:pt>
                <c:pt idx="284">
                  <c:v>5.1111111111111125</c:v>
                </c:pt>
                <c:pt idx="285">
                  <c:v>5.2222222222222214</c:v>
                </c:pt>
                <c:pt idx="286">
                  <c:v>5.1111111111111125</c:v>
                </c:pt>
                <c:pt idx="287">
                  <c:v>5.1111111111111125</c:v>
                </c:pt>
                <c:pt idx="288">
                  <c:v>4.8888888888888875</c:v>
                </c:pt>
                <c:pt idx="289">
                  <c:v>4.5000000000000009</c:v>
                </c:pt>
                <c:pt idx="290">
                  <c:v>4.0000000000000018</c:v>
                </c:pt>
                <c:pt idx="291">
                  <c:v>3.7777777777777759</c:v>
                </c:pt>
                <c:pt idx="292">
                  <c:v>3.7222222222222237</c:v>
                </c:pt>
                <c:pt idx="293">
                  <c:v>3.8888888888888888</c:v>
                </c:pt>
                <c:pt idx="294">
                  <c:v>4.5000000000000009</c:v>
                </c:pt>
                <c:pt idx="295">
                  <c:v>4.7222222222222223</c:v>
                </c:pt>
                <c:pt idx="296">
                  <c:v>4.8888888888888875</c:v>
                </c:pt>
                <c:pt idx="297">
                  <c:v>5.1111111111111125</c:v>
                </c:pt>
                <c:pt idx="298">
                  <c:v>5.1111111111111125</c:v>
                </c:pt>
                <c:pt idx="299">
                  <c:v>5.1111111111111125</c:v>
                </c:pt>
                <c:pt idx="300">
                  <c:v>5</c:v>
                </c:pt>
                <c:pt idx="301">
                  <c:v>4.7777777777777786</c:v>
                </c:pt>
                <c:pt idx="302">
                  <c:v>4.3888888888888884</c:v>
                </c:pt>
                <c:pt idx="303">
                  <c:v>4.1111111111111098</c:v>
                </c:pt>
                <c:pt idx="304">
                  <c:v>4.0000000000000018</c:v>
                </c:pt>
                <c:pt idx="305">
                  <c:v>4.0000000000000018</c:v>
                </c:pt>
                <c:pt idx="306">
                  <c:v>4.3888888888888884</c:v>
                </c:pt>
                <c:pt idx="307">
                  <c:v>4.7222222222222223</c:v>
                </c:pt>
                <c:pt idx="308">
                  <c:v>5</c:v>
                </c:pt>
                <c:pt idx="309">
                  <c:v>5.1111111111111125</c:v>
                </c:pt>
                <c:pt idx="310">
                  <c:v>5.2777777777777777</c:v>
                </c:pt>
                <c:pt idx="311">
                  <c:v>5.2222222222222214</c:v>
                </c:pt>
                <c:pt idx="312">
                  <c:v>5.1111111111111125</c:v>
                </c:pt>
                <c:pt idx="313">
                  <c:v>4.7777777777777786</c:v>
                </c:pt>
                <c:pt idx="314">
                  <c:v>4.3888888888888884</c:v>
                </c:pt>
                <c:pt idx="315">
                  <c:v>4.0000000000000018</c:v>
                </c:pt>
                <c:pt idx="316">
                  <c:v>3.7777777777777759</c:v>
                </c:pt>
                <c:pt idx="317">
                  <c:v>3.7777777777777759</c:v>
                </c:pt>
                <c:pt idx="318">
                  <c:v>4.0000000000000018</c:v>
                </c:pt>
                <c:pt idx="319">
                  <c:v>4.8888888888888875</c:v>
                </c:pt>
                <c:pt idx="320">
                  <c:v>5.2777777777777777</c:v>
                </c:pt>
                <c:pt idx="321">
                  <c:v>5.4999999999999991</c:v>
                </c:pt>
                <c:pt idx="322">
                  <c:v>5.4999999999999991</c:v>
                </c:pt>
                <c:pt idx="323">
                  <c:v>5.4999999999999991</c:v>
                </c:pt>
                <c:pt idx="324">
                  <c:v>5.3888888888888902</c:v>
                </c:pt>
                <c:pt idx="325">
                  <c:v>5.1111111111111125</c:v>
                </c:pt>
                <c:pt idx="326">
                  <c:v>4.6111111111111098</c:v>
                </c:pt>
                <c:pt idx="327">
                  <c:v>4.1111111111111098</c:v>
                </c:pt>
                <c:pt idx="328">
                  <c:v>3.7777777777777759</c:v>
                </c:pt>
                <c:pt idx="329">
                  <c:v>3.7222222222222237</c:v>
                </c:pt>
                <c:pt idx="330">
                  <c:v>3.8888888888888888</c:v>
                </c:pt>
                <c:pt idx="331">
                  <c:v>4.8888888888888875</c:v>
                </c:pt>
                <c:pt idx="332">
                  <c:v>5.2222222222222214</c:v>
                </c:pt>
                <c:pt idx="333">
                  <c:v>5.3888888888888902</c:v>
                </c:pt>
                <c:pt idx="334">
                  <c:v>5.6111111111111116</c:v>
                </c:pt>
                <c:pt idx="335">
                  <c:v>5.6111111111111116</c:v>
                </c:pt>
                <c:pt idx="336">
                  <c:v>5.3888888888888902</c:v>
                </c:pt>
                <c:pt idx="337">
                  <c:v>5.2777777777777777</c:v>
                </c:pt>
                <c:pt idx="338">
                  <c:v>4.7777777777777786</c:v>
                </c:pt>
                <c:pt idx="339">
                  <c:v>4.2222222222222232</c:v>
                </c:pt>
                <c:pt idx="340">
                  <c:v>3.7777777777777759</c:v>
                </c:pt>
                <c:pt idx="341">
                  <c:v>3.6111111111111112</c:v>
                </c:pt>
                <c:pt idx="342">
                  <c:v>3.6111111111111112</c:v>
                </c:pt>
                <c:pt idx="343">
                  <c:v>4.2222222222222232</c:v>
                </c:pt>
                <c:pt idx="344">
                  <c:v>5.1111111111111125</c:v>
                </c:pt>
                <c:pt idx="345">
                  <c:v>5</c:v>
                </c:pt>
                <c:pt idx="346">
                  <c:v>5.2222222222222214</c:v>
                </c:pt>
                <c:pt idx="347">
                  <c:v>5.2777777777777777</c:v>
                </c:pt>
                <c:pt idx="348">
                  <c:v>5.1111111111111125</c:v>
                </c:pt>
                <c:pt idx="349">
                  <c:v>5.1111111111111125</c:v>
                </c:pt>
                <c:pt idx="350">
                  <c:v>4.8888888888888875</c:v>
                </c:pt>
                <c:pt idx="351">
                  <c:v>4.3888888888888884</c:v>
                </c:pt>
                <c:pt idx="352">
                  <c:v>4.0000000000000018</c:v>
                </c:pt>
                <c:pt idx="353">
                  <c:v>3.7777777777777759</c:v>
                </c:pt>
                <c:pt idx="354">
                  <c:v>3.7222222222222237</c:v>
                </c:pt>
                <c:pt idx="355">
                  <c:v>4.1111111111111098</c:v>
                </c:pt>
                <c:pt idx="356">
                  <c:v>4.3888888888888884</c:v>
                </c:pt>
                <c:pt idx="357">
                  <c:v>4.7777777777777786</c:v>
                </c:pt>
                <c:pt idx="358">
                  <c:v>4.7777777777777786</c:v>
                </c:pt>
                <c:pt idx="359">
                  <c:v>4.7777777777777786</c:v>
                </c:pt>
                <c:pt idx="360">
                  <c:v>4.8888888888888875</c:v>
                </c:pt>
                <c:pt idx="361">
                  <c:v>4.7222222222222223</c:v>
                </c:pt>
                <c:pt idx="362">
                  <c:v>4.7222222222222223</c:v>
                </c:pt>
                <c:pt idx="363">
                  <c:v>4.2777777777777795</c:v>
                </c:pt>
                <c:pt idx="364">
                  <c:v>3.8888888888888888</c:v>
                </c:pt>
                <c:pt idx="365">
                  <c:v>3.6111111111111112</c:v>
                </c:pt>
                <c:pt idx="366">
                  <c:v>3.3888888888888897</c:v>
                </c:pt>
                <c:pt idx="367">
                  <c:v>3.4999999999999982</c:v>
                </c:pt>
                <c:pt idx="368">
                  <c:v>4.1111111111111098</c:v>
                </c:pt>
                <c:pt idx="369">
                  <c:v>4.2777777777777795</c:v>
                </c:pt>
                <c:pt idx="370">
                  <c:v>4.5000000000000009</c:v>
                </c:pt>
                <c:pt idx="371">
                  <c:v>4.5000000000000009</c:v>
                </c:pt>
                <c:pt idx="372">
                  <c:v>4.7222222222222223</c:v>
                </c:pt>
                <c:pt idx="373">
                  <c:v>4.5000000000000009</c:v>
                </c:pt>
                <c:pt idx="374">
                  <c:v>4.5000000000000009</c:v>
                </c:pt>
                <c:pt idx="375">
                  <c:v>4.2222222222222232</c:v>
                </c:pt>
                <c:pt idx="376">
                  <c:v>3.7777777777777759</c:v>
                </c:pt>
                <c:pt idx="377">
                  <c:v>3.3888888888888897</c:v>
                </c:pt>
                <c:pt idx="378">
                  <c:v>3.2222222222222205</c:v>
                </c:pt>
                <c:pt idx="379">
                  <c:v>3.2222222222222205</c:v>
                </c:pt>
                <c:pt idx="380">
                  <c:v>3.3888888888888897</c:v>
                </c:pt>
                <c:pt idx="381">
                  <c:v>3.8888888888888888</c:v>
                </c:pt>
                <c:pt idx="382">
                  <c:v>4.2777777777777795</c:v>
                </c:pt>
                <c:pt idx="383">
                  <c:v>4.2777777777777795</c:v>
                </c:pt>
                <c:pt idx="384">
                  <c:v>4.6111111111111098</c:v>
                </c:pt>
                <c:pt idx="385">
                  <c:v>4.5000000000000009</c:v>
                </c:pt>
                <c:pt idx="386">
                  <c:v>4.3888888888888884</c:v>
                </c:pt>
                <c:pt idx="387">
                  <c:v>4.2222222222222232</c:v>
                </c:pt>
                <c:pt idx="388">
                  <c:v>3.7777777777777759</c:v>
                </c:pt>
                <c:pt idx="389">
                  <c:v>3.3888888888888897</c:v>
                </c:pt>
                <c:pt idx="390">
                  <c:v>3.2222222222222205</c:v>
                </c:pt>
                <c:pt idx="391">
                  <c:v>3.1111111111111116</c:v>
                </c:pt>
                <c:pt idx="392">
                  <c:v>3.2777777777777768</c:v>
                </c:pt>
                <c:pt idx="393">
                  <c:v>3.7222222222222237</c:v>
                </c:pt>
                <c:pt idx="394">
                  <c:v>4.1111111111111098</c:v>
                </c:pt>
                <c:pt idx="395">
                  <c:v>4.3888888888888884</c:v>
                </c:pt>
                <c:pt idx="396">
                  <c:v>4.6111111111111098</c:v>
                </c:pt>
                <c:pt idx="397">
                  <c:v>4.7222222222222223</c:v>
                </c:pt>
                <c:pt idx="398">
                  <c:v>4.6111111111111098</c:v>
                </c:pt>
                <c:pt idx="399">
                  <c:v>4.6111111111111098</c:v>
                </c:pt>
                <c:pt idx="400">
                  <c:v>4.2777777777777795</c:v>
                </c:pt>
                <c:pt idx="401">
                  <c:v>3.7222222222222237</c:v>
                </c:pt>
                <c:pt idx="402">
                  <c:v>3.3888888888888897</c:v>
                </c:pt>
                <c:pt idx="403">
                  <c:v>3.2222222222222205</c:v>
                </c:pt>
                <c:pt idx="404">
                  <c:v>3.1111111111111116</c:v>
                </c:pt>
                <c:pt idx="405">
                  <c:v>3.2222222222222205</c:v>
                </c:pt>
                <c:pt idx="406">
                  <c:v>4.0000000000000018</c:v>
                </c:pt>
                <c:pt idx="407">
                  <c:v>4.5000000000000009</c:v>
                </c:pt>
                <c:pt idx="408">
                  <c:v>4.7222222222222223</c:v>
                </c:pt>
                <c:pt idx="409">
                  <c:v>4.7777777777777786</c:v>
                </c:pt>
                <c:pt idx="410">
                  <c:v>4.7777777777777786</c:v>
                </c:pt>
                <c:pt idx="411">
                  <c:v>4.7222222222222223</c:v>
                </c:pt>
                <c:pt idx="412">
                  <c:v>4.6111111111111098</c:v>
                </c:pt>
                <c:pt idx="413">
                  <c:v>4.1111111111111098</c:v>
                </c:pt>
                <c:pt idx="414">
                  <c:v>3.7222222222222237</c:v>
                </c:pt>
                <c:pt idx="415">
                  <c:v>3.2777777777777768</c:v>
                </c:pt>
                <c:pt idx="416">
                  <c:v>3.2222222222222205</c:v>
                </c:pt>
                <c:pt idx="417">
                  <c:v>3.6111111111111112</c:v>
                </c:pt>
                <c:pt idx="418">
                  <c:v>4.1111111111111098</c:v>
                </c:pt>
                <c:pt idx="419">
                  <c:v>4.3888888888888884</c:v>
                </c:pt>
                <c:pt idx="420">
                  <c:v>4.7222222222222223</c:v>
                </c:pt>
                <c:pt idx="421">
                  <c:v>4.8888888888888875</c:v>
                </c:pt>
                <c:pt idx="422">
                  <c:v>5</c:v>
                </c:pt>
                <c:pt idx="423">
                  <c:v>5</c:v>
                </c:pt>
                <c:pt idx="424">
                  <c:v>4.8888888888888875</c:v>
                </c:pt>
                <c:pt idx="425">
                  <c:v>4.6111111111111098</c:v>
                </c:pt>
                <c:pt idx="426">
                  <c:v>4.1111111111111098</c:v>
                </c:pt>
                <c:pt idx="427">
                  <c:v>3.7777777777777759</c:v>
                </c:pt>
                <c:pt idx="428">
                  <c:v>3.4999999999999982</c:v>
                </c:pt>
                <c:pt idx="429">
                  <c:v>3.3888888888888897</c:v>
                </c:pt>
                <c:pt idx="430">
                  <c:v>3.4999999999999982</c:v>
                </c:pt>
                <c:pt idx="431">
                  <c:v>4.1111111111111098</c:v>
                </c:pt>
                <c:pt idx="432">
                  <c:v>4.6111111111111098</c:v>
                </c:pt>
                <c:pt idx="433">
                  <c:v>5</c:v>
                </c:pt>
                <c:pt idx="434">
                  <c:v>5.1111111111111125</c:v>
                </c:pt>
                <c:pt idx="435">
                  <c:v>5.2222222222222214</c:v>
                </c:pt>
                <c:pt idx="436">
                  <c:v>5.1111111111111125</c:v>
                </c:pt>
                <c:pt idx="437">
                  <c:v>4.8888888888888875</c:v>
                </c:pt>
                <c:pt idx="438">
                  <c:v>4.3888888888888884</c:v>
                </c:pt>
                <c:pt idx="439">
                  <c:v>3.7777777777777759</c:v>
                </c:pt>
                <c:pt idx="440">
                  <c:v>3.4999999999999982</c:v>
                </c:pt>
                <c:pt idx="441">
                  <c:v>3.3888888888888897</c:v>
                </c:pt>
                <c:pt idx="442">
                  <c:v>3.7222222222222237</c:v>
                </c:pt>
                <c:pt idx="443">
                  <c:v>4.2777777777777795</c:v>
                </c:pt>
                <c:pt idx="444">
                  <c:v>4.7222222222222223</c:v>
                </c:pt>
                <c:pt idx="445">
                  <c:v>5.2222222222222214</c:v>
                </c:pt>
                <c:pt idx="446">
                  <c:v>5.3888888888888902</c:v>
                </c:pt>
                <c:pt idx="447">
                  <c:v>5.3888888888888902</c:v>
                </c:pt>
                <c:pt idx="448">
                  <c:v>5.3888888888888902</c:v>
                </c:pt>
                <c:pt idx="449">
                  <c:v>5.2777777777777777</c:v>
                </c:pt>
                <c:pt idx="450">
                  <c:v>5</c:v>
                </c:pt>
                <c:pt idx="451">
                  <c:v>4.3888888888888884</c:v>
                </c:pt>
                <c:pt idx="452">
                  <c:v>4.0000000000000018</c:v>
                </c:pt>
                <c:pt idx="453">
                  <c:v>3.7222222222222237</c:v>
                </c:pt>
                <c:pt idx="454">
                  <c:v>3.4999999999999982</c:v>
                </c:pt>
                <c:pt idx="455">
                  <c:v>3.7222222222222237</c:v>
                </c:pt>
                <c:pt idx="456">
                  <c:v>4.5000000000000009</c:v>
                </c:pt>
                <c:pt idx="457">
                  <c:v>4.7222222222222223</c:v>
                </c:pt>
                <c:pt idx="458">
                  <c:v>5</c:v>
                </c:pt>
                <c:pt idx="459">
                  <c:v>5.2222222222222214</c:v>
                </c:pt>
                <c:pt idx="460">
                  <c:v>5.2777777777777777</c:v>
                </c:pt>
                <c:pt idx="461">
                  <c:v>5.2222222222222214</c:v>
                </c:pt>
                <c:pt idx="462">
                  <c:v>5.1111111111111125</c:v>
                </c:pt>
                <c:pt idx="463">
                  <c:v>4.7222222222222223</c:v>
                </c:pt>
                <c:pt idx="464">
                  <c:v>4.1111111111111098</c:v>
                </c:pt>
                <c:pt idx="465">
                  <c:v>3.7777777777777759</c:v>
                </c:pt>
                <c:pt idx="466">
                  <c:v>3.6111111111111112</c:v>
                </c:pt>
                <c:pt idx="467">
                  <c:v>4.0000000000000018</c:v>
                </c:pt>
                <c:pt idx="468">
                  <c:v>4.5000000000000009</c:v>
                </c:pt>
                <c:pt idx="469">
                  <c:v>4.8888888888888875</c:v>
                </c:pt>
                <c:pt idx="470">
                  <c:v>5.2222222222222214</c:v>
                </c:pt>
                <c:pt idx="471">
                  <c:v>5.2777777777777777</c:v>
                </c:pt>
                <c:pt idx="472">
                  <c:v>5.2777777777777777</c:v>
                </c:pt>
                <c:pt idx="473">
                  <c:v>5.2222222222222214</c:v>
                </c:pt>
                <c:pt idx="474">
                  <c:v>5.1111111111111125</c:v>
                </c:pt>
                <c:pt idx="475">
                  <c:v>4.7777777777777786</c:v>
                </c:pt>
                <c:pt idx="476">
                  <c:v>4.2777777777777795</c:v>
                </c:pt>
                <c:pt idx="477">
                  <c:v>4.0000000000000018</c:v>
                </c:pt>
                <c:pt idx="478">
                  <c:v>3.7222222222222237</c:v>
                </c:pt>
                <c:pt idx="479">
                  <c:v>3.4999999999999982</c:v>
                </c:pt>
                <c:pt idx="480">
                  <c:v>3.7222222222222237</c:v>
                </c:pt>
                <c:pt idx="481">
                  <c:v>4.2222222222222232</c:v>
                </c:pt>
                <c:pt idx="482">
                  <c:v>4.6111111111111098</c:v>
                </c:pt>
                <c:pt idx="483">
                  <c:v>4.8888888888888875</c:v>
                </c:pt>
                <c:pt idx="484">
                  <c:v>5</c:v>
                </c:pt>
                <c:pt idx="485">
                  <c:v>5.1111111111111125</c:v>
                </c:pt>
                <c:pt idx="486">
                  <c:v>5</c:v>
                </c:pt>
                <c:pt idx="487">
                  <c:v>4.7777777777777786</c:v>
                </c:pt>
                <c:pt idx="488">
                  <c:v>4.2777777777777795</c:v>
                </c:pt>
                <c:pt idx="489">
                  <c:v>3.8888888888888888</c:v>
                </c:pt>
                <c:pt idx="490">
                  <c:v>3.6111111111111112</c:v>
                </c:pt>
                <c:pt idx="491">
                  <c:v>3.3888888888888897</c:v>
                </c:pt>
                <c:pt idx="492">
                  <c:v>3.6111111111111112</c:v>
                </c:pt>
                <c:pt idx="493">
                  <c:v>4.2222222222222232</c:v>
                </c:pt>
                <c:pt idx="494">
                  <c:v>4.6111111111111098</c:v>
                </c:pt>
                <c:pt idx="495">
                  <c:v>5</c:v>
                </c:pt>
                <c:pt idx="496">
                  <c:v>5.1111111111111125</c:v>
                </c:pt>
                <c:pt idx="497">
                  <c:v>5.1111111111111125</c:v>
                </c:pt>
                <c:pt idx="498">
                  <c:v>5</c:v>
                </c:pt>
                <c:pt idx="499">
                  <c:v>4.8888888888888875</c:v>
                </c:pt>
                <c:pt idx="500">
                  <c:v>4.6111111111111098</c:v>
                </c:pt>
                <c:pt idx="501">
                  <c:v>4.1111111111111098</c:v>
                </c:pt>
                <c:pt idx="502">
                  <c:v>3.7777777777777759</c:v>
                </c:pt>
                <c:pt idx="503">
                  <c:v>3.4999999999999982</c:v>
                </c:pt>
                <c:pt idx="504">
                  <c:v>3.2777777777777768</c:v>
                </c:pt>
                <c:pt idx="505">
                  <c:v>3.4999999999999982</c:v>
                </c:pt>
                <c:pt idx="506">
                  <c:v>4.1111111111111098</c:v>
                </c:pt>
                <c:pt idx="507">
                  <c:v>4.3888888888888884</c:v>
                </c:pt>
                <c:pt idx="508">
                  <c:v>4.7222222222222223</c:v>
                </c:pt>
                <c:pt idx="509">
                  <c:v>4.7777777777777786</c:v>
                </c:pt>
                <c:pt idx="510">
                  <c:v>4.8888888888888875</c:v>
                </c:pt>
                <c:pt idx="511">
                  <c:v>4.7777777777777786</c:v>
                </c:pt>
                <c:pt idx="512">
                  <c:v>4.6111111111111098</c:v>
                </c:pt>
                <c:pt idx="513">
                  <c:v>4.1111111111111098</c:v>
                </c:pt>
                <c:pt idx="514">
                  <c:v>3.7222222222222237</c:v>
                </c:pt>
                <c:pt idx="515">
                  <c:v>3.2777777777777768</c:v>
                </c:pt>
                <c:pt idx="516">
                  <c:v>3.2222222222222205</c:v>
                </c:pt>
                <c:pt idx="517">
                  <c:v>3.3888888888888897</c:v>
                </c:pt>
                <c:pt idx="518">
                  <c:v>4.0000000000000018</c:v>
                </c:pt>
                <c:pt idx="519">
                  <c:v>4.3888888888888884</c:v>
                </c:pt>
                <c:pt idx="520">
                  <c:v>4.7777777777777786</c:v>
                </c:pt>
                <c:pt idx="521">
                  <c:v>4.8888888888888875</c:v>
                </c:pt>
                <c:pt idx="522">
                  <c:v>4.8888888888888875</c:v>
                </c:pt>
                <c:pt idx="523">
                  <c:v>4.7777777777777786</c:v>
                </c:pt>
                <c:pt idx="524">
                  <c:v>4.7222222222222223</c:v>
                </c:pt>
                <c:pt idx="525">
                  <c:v>4.2777777777777795</c:v>
                </c:pt>
                <c:pt idx="526">
                  <c:v>3.8888888888888888</c:v>
                </c:pt>
                <c:pt idx="527">
                  <c:v>3.4999999999999982</c:v>
                </c:pt>
                <c:pt idx="528">
                  <c:v>3.2222222222222205</c:v>
                </c:pt>
                <c:pt idx="529">
                  <c:v>2.9999999999999991</c:v>
                </c:pt>
                <c:pt idx="530">
                  <c:v>3.2222222222222205</c:v>
                </c:pt>
                <c:pt idx="531">
                  <c:v>4.0000000000000018</c:v>
                </c:pt>
                <c:pt idx="532">
                  <c:v>4.3888888888888884</c:v>
                </c:pt>
                <c:pt idx="533">
                  <c:v>4.7777777777777786</c:v>
                </c:pt>
                <c:pt idx="534">
                  <c:v>4.8888888888888875</c:v>
                </c:pt>
                <c:pt idx="535">
                  <c:v>4.8888888888888875</c:v>
                </c:pt>
                <c:pt idx="536">
                  <c:v>4.7777777777777786</c:v>
                </c:pt>
                <c:pt idx="537">
                  <c:v>4.6111111111111098</c:v>
                </c:pt>
                <c:pt idx="538">
                  <c:v>4.1111111111111098</c:v>
                </c:pt>
                <c:pt idx="539">
                  <c:v>3.7222222222222237</c:v>
                </c:pt>
                <c:pt idx="540">
                  <c:v>3.3888888888888897</c:v>
                </c:pt>
                <c:pt idx="541">
                  <c:v>3.2222222222222205</c:v>
                </c:pt>
                <c:pt idx="542">
                  <c:v>3.7222222222222237</c:v>
                </c:pt>
                <c:pt idx="543">
                  <c:v>4.1111111111111098</c:v>
                </c:pt>
                <c:pt idx="544">
                  <c:v>4.6111111111111098</c:v>
                </c:pt>
                <c:pt idx="545">
                  <c:v>4.7777777777777786</c:v>
                </c:pt>
                <c:pt idx="546">
                  <c:v>4.7777777777777786</c:v>
                </c:pt>
                <c:pt idx="547">
                  <c:v>4.7777777777777786</c:v>
                </c:pt>
                <c:pt idx="548">
                  <c:v>4.7222222222222223</c:v>
                </c:pt>
                <c:pt idx="549">
                  <c:v>4.6111111111111098</c:v>
                </c:pt>
                <c:pt idx="550">
                  <c:v>4.2222222222222232</c:v>
                </c:pt>
                <c:pt idx="551">
                  <c:v>3.7777777777777759</c:v>
                </c:pt>
                <c:pt idx="552">
                  <c:v>3.3888888888888897</c:v>
                </c:pt>
                <c:pt idx="553">
                  <c:v>3.1111111111111116</c:v>
                </c:pt>
                <c:pt idx="554">
                  <c:v>2.9999999999999991</c:v>
                </c:pt>
                <c:pt idx="555">
                  <c:v>3.2222222222222205</c:v>
                </c:pt>
                <c:pt idx="556">
                  <c:v>3.7777777777777759</c:v>
                </c:pt>
                <c:pt idx="557">
                  <c:v>4.1111111111111098</c:v>
                </c:pt>
                <c:pt idx="558">
                  <c:v>4.5000000000000009</c:v>
                </c:pt>
                <c:pt idx="559">
                  <c:v>4.6111111111111098</c:v>
                </c:pt>
                <c:pt idx="560">
                  <c:v>4.7222222222222223</c:v>
                </c:pt>
                <c:pt idx="561">
                  <c:v>4.5000000000000009</c:v>
                </c:pt>
                <c:pt idx="562">
                  <c:v>4.1111111111111098</c:v>
                </c:pt>
                <c:pt idx="563">
                  <c:v>3.4999999999999982</c:v>
                </c:pt>
                <c:pt idx="564">
                  <c:v>3.1111111111111116</c:v>
                </c:pt>
                <c:pt idx="565">
                  <c:v>2.8888888888888906</c:v>
                </c:pt>
                <c:pt idx="566">
                  <c:v>2.7222222222222214</c:v>
                </c:pt>
                <c:pt idx="567">
                  <c:v>2.8888888888888906</c:v>
                </c:pt>
                <c:pt idx="568">
                  <c:v>3.6111111111111112</c:v>
                </c:pt>
                <c:pt idx="569">
                  <c:v>4.1111111111111098</c:v>
                </c:pt>
                <c:pt idx="570">
                  <c:v>4.5000000000000009</c:v>
                </c:pt>
                <c:pt idx="571">
                  <c:v>4.7777777777777786</c:v>
                </c:pt>
                <c:pt idx="572">
                  <c:v>4.7777777777777786</c:v>
                </c:pt>
                <c:pt idx="573">
                  <c:v>4.7777777777777786</c:v>
                </c:pt>
                <c:pt idx="574">
                  <c:v>4.5000000000000009</c:v>
                </c:pt>
                <c:pt idx="575">
                  <c:v>4.0000000000000018</c:v>
                </c:pt>
                <c:pt idx="576">
                  <c:v>3.4999999999999982</c:v>
                </c:pt>
                <c:pt idx="577">
                  <c:v>3.2222222222222205</c:v>
                </c:pt>
                <c:pt idx="578">
                  <c:v>2.8888888888888906</c:v>
                </c:pt>
                <c:pt idx="579">
                  <c:v>2.7777777777777777</c:v>
                </c:pt>
                <c:pt idx="580">
                  <c:v>3.3888888888888897</c:v>
                </c:pt>
                <c:pt idx="581">
                  <c:v>3.8888888888888888</c:v>
                </c:pt>
                <c:pt idx="582">
                  <c:v>4.5000000000000009</c:v>
                </c:pt>
                <c:pt idx="583">
                  <c:v>4.7777777777777786</c:v>
                </c:pt>
                <c:pt idx="584">
                  <c:v>4.8888888888888875</c:v>
                </c:pt>
                <c:pt idx="585">
                  <c:v>4.7222222222222223</c:v>
                </c:pt>
                <c:pt idx="586">
                  <c:v>4.7777777777777786</c:v>
                </c:pt>
                <c:pt idx="587">
                  <c:v>4.3888888888888884</c:v>
                </c:pt>
                <c:pt idx="588">
                  <c:v>3.7777777777777759</c:v>
                </c:pt>
                <c:pt idx="589">
                  <c:v>3.3888888888888897</c:v>
                </c:pt>
                <c:pt idx="590">
                  <c:v>3.1111111111111116</c:v>
                </c:pt>
                <c:pt idx="591">
                  <c:v>2.9999999999999991</c:v>
                </c:pt>
                <c:pt idx="592">
                  <c:v>3.2777777777777768</c:v>
                </c:pt>
                <c:pt idx="593">
                  <c:v>4.0000000000000018</c:v>
                </c:pt>
                <c:pt idx="594">
                  <c:v>4.6111111111111098</c:v>
                </c:pt>
                <c:pt idx="595">
                  <c:v>5</c:v>
                </c:pt>
                <c:pt idx="596">
                  <c:v>5</c:v>
                </c:pt>
                <c:pt idx="597">
                  <c:v>5</c:v>
                </c:pt>
                <c:pt idx="598">
                  <c:v>4.8888888888888875</c:v>
                </c:pt>
                <c:pt idx="599">
                  <c:v>4.7222222222222223</c:v>
                </c:pt>
                <c:pt idx="600">
                  <c:v>4.2222222222222232</c:v>
                </c:pt>
                <c:pt idx="601">
                  <c:v>3.7222222222222237</c:v>
                </c:pt>
                <c:pt idx="602">
                  <c:v>3.2777777777777768</c:v>
                </c:pt>
                <c:pt idx="603">
                  <c:v>3.1111111111111116</c:v>
                </c:pt>
                <c:pt idx="604">
                  <c:v>3.2222222222222205</c:v>
                </c:pt>
                <c:pt idx="605">
                  <c:v>3.8888888888888888</c:v>
                </c:pt>
                <c:pt idx="606">
                  <c:v>4.2777777777777795</c:v>
                </c:pt>
                <c:pt idx="607">
                  <c:v>4.7222222222222223</c:v>
                </c:pt>
                <c:pt idx="608">
                  <c:v>4.7222222222222223</c:v>
                </c:pt>
                <c:pt idx="609">
                  <c:v>4.7222222222222223</c:v>
                </c:pt>
                <c:pt idx="610">
                  <c:v>4.7222222222222223</c:v>
                </c:pt>
                <c:pt idx="611">
                  <c:v>4.7222222222222223</c:v>
                </c:pt>
                <c:pt idx="612">
                  <c:v>4.5000000000000009</c:v>
                </c:pt>
                <c:pt idx="613">
                  <c:v>4.0000000000000018</c:v>
                </c:pt>
                <c:pt idx="614">
                  <c:v>3.7222222222222237</c:v>
                </c:pt>
                <c:pt idx="615">
                  <c:v>3.3888888888888897</c:v>
                </c:pt>
                <c:pt idx="616">
                  <c:v>3.2777777777777768</c:v>
                </c:pt>
                <c:pt idx="617">
                  <c:v>3.4999999999999982</c:v>
                </c:pt>
                <c:pt idx="618">
                  <c:v>4.0000000000000018</c:v>
                </c:pt>
                <c:pt idx="619">
                  <c:v>4.2777777777777795</c:v>
                </c:pt>
                <c:pt idx="620">
                  <c:v>4.6111111111111098</c:v>
                </c:pt>
                <c:pt idx="621">
                  <c:v>4.7222222222222223</c:v>
                </c:pt>
                <c:pt idx="622">
                  <c:v>4.6111111111111098</c:v>
                </c:pt>
                <c:pt idx="623">
                  <c:v>4.6111111111111098</c:v>
                </c:pt>
                <c:pt idx="624">
                  <c:v>4.2777777777777795</c:v>
                </c:pt>
                <c:pt idx="625">
                  <c:v>3.7222222222222237</c:v>
                </c:pt>
                <c:pt idx="626">
                  <c:v>3.3888888888888897</c:v>
                </c:pt>
                <c:pt idx="627">
                  <c:v>3.1111111111111116</c:v>
                </c:pt>
                <c:pt idx="628">
                  <c:v>2.9999999999999991</c:v>
                </c:pt>
                <c:pt idx="629">
                  <c:v>2.9999999999999991</c:v>
                </c:pt>
                <c:pt idx="630">
                  <c:v>3.7222222222222237</c:v>
                </c:pt>
                <c:pt idx="631">
                  <c:v>4.1111111111111098</c:v>
                </c:pt>
                <c:pt idx="632">
                  <c:v>4.6111111111111098</c:v>
                </c:pt>
                <c:pt idx="633">
                  <c:v>4.6111111111111098</c:v>
                </c:pt>
                <c:pt idx="634">
                  <c:v>4.7222222222222223</c:v>
                </c:pt>
                <c:pt idx="635">
                  <c:v>4.6111111111111098</c:v>
                </c:pt>
                <c:pt idx="636">
                  <c:v>4.5000000000000009</c:v>
                </c:pt>
                <c:pt idx="637">
                  <c:v>4.0000000000000018</c:v>
                </c:pt>
                <c:pt idx="638">
                  <c:v>3.2777777777777768</c:v>
                </c:pt>
                <c:pt idx="639">
                  <c:v>2.9999999999999991</c:v>
                </c:pt>
                <c:pt idx="640">
                  <c:v>2.7777777777777777</c:v>
                </c:pt>
                <c:pt idx="641">
                  <c:v>2.7777777777777777</c:v>
                </c:pt>
                <c:pt idx="642">
                  <c:v>3.1111111111111116</c:v>
                </c:pt>
                <c:pt idx="643">
                  <c:v>4.2777777777777795</c:v>
                </c:pt>
                <c:pt idx="644">
                  <c:v>4.5000000000000009</c:v>
                </c:pt>
                <c:pt idx="645">
                  <c:v>4.7222222222222223</c:v>
                </c:pt>
                <c:pt idx="646">
                  <c:v>5</c:v>
                </c:pt>
                <c:pt idx="647">
                  <c:v>5</c:v>
                </c:pt>
                <c:pt idx="648">
                  <c:v>5</c:v>
                </c:pt>
                <c:pt idx="649">
                  <c:v>4.7222222222222223</c:v>
                </c:pt>
                <c:pt idx="650">
                  <c:v>3.8888888888888888</c:v>
                </c:pt>
                <c:pt idx="651">
                  <c:v>3.3888888888888897</c:v>
                </c:pt>
                <c:pt idx="652">
                  <c:v>2.9999999999999991</c:v>
                </c:pt>
                <c:pt idx="653">
                  <c:v>2.8888888888888906</c:v>
                </c:pt>
                <c:pt idx="654">
                  <c:v>3.2222222222222205</c:v>
                </c:pt>
                <c:pt idx="655">
                  <c:v>4.2777777777777795</c:v>
                </c:pt>
                <c:pt idx="656">
                  <c:v>4.3888888888888884</c:v>
                </c:pt>
                <c:pt idx="657">
                  <c:v>4.7222222222222223</c:v>
                </c:pt>
                <c:pt idx="658">
                  <c:v>5</c:v>
                </c:pt>
                <c:pt idx="659">
                  <c:v>5.2777777777777777</c:v>
                </c:pt>
                <c:pt idx="660">
                  <c:v>4.8888888888888875</c:v>
                </c:pt>
                <c:pt idx="661">
                  <c:v>4.7777777777777786</c:v>
                </c:pt>
                <c:pt idx="662">
                  <c:v>4.2222222222222232</c:v>
                </c:pt>
                <c:pt idx="663">
                  <c:v>3.4999999999999982</c:v>
                </c:pt>
                <c:pt idx="664">
                  <c:v>3.1111111111111116</c:v>
                </c:pt>
                <c:pt idx="665">
                  <c:v>2.8888888888888906</c:v>
                </c:pt>
                <c:pt idx="666">
                  <c:v>2.8888888888888906</c:v>
                </c:pt>
                <c:pt idx="667">
                  <c:v>3.2777777777777768</c:v>
                </c:pt>
                <c:pt idx="668">
                  <c:v>4.6111111111111098</c:v>
                </c:pt>
                <c:pt idx="669">
                  <c:v>4.6111111111111098</c:v>
                </c:pt>
                <c:pt idx="670">
                  <c:v>4.8888888888888875</c:v>
                </c:pt>
                <c:pt idx="671">
                  <c:v>5.3888888888888902</c:v>
                </c:pt>
                <c:pt idx="672">
                  <c:v>4.8888888888888875</c:v>
                </c:pt>
                <c:pt idx="673">
                  <c:v>5.2222222222222214</c:v>
                </c:pt>
                <c:pt idx="674">
                  <c:v>4.7222222222222223</c:v>
                </c:pt>
                <c:pt idx="675">
                  <c:v>4.0000000000000018</c:v>
                </c:pt>
                <c:pt idx="676">
                  <c:v>3.3888888888888897</c:v>
                </c:pt>
                <c:pt idx="677">
                  <c:v>3.1111111111111116</c:v>
                </c:pt>
                <c:pt idx="678">
                  <c:v>2.9999999999999991</c:v>
                </c:pt>
                <c:pt idx="679">
                  <c:v>3.3888888888888897</c:v>
                </c:pt>
                <c:pt idx="680">
                  <c:v>4.7222222222222223</c:v>
                </c:pt>
                <c:pt idx="681">
                  <c:v>5</c:v>
                </c:pt>
                <c:pt idx="682">
                  <c:v>5.3888888888888902</c:v>
                </c:pt>
                <c:pt idx="683">
                  <c:v>5.4999999999999991</c:v>
                </c:pt>
                <c:pt idx="684">
                  <c:v>5.6111111111111116</c:v>
                </c:pt>
                <c:pt idx="685">
                  <c:v>5.3888888888888902</c:v>
                </c:pt>
                <c:pt idx="686">
                  <c:v>5.2222222222222214</c:v>
                </c:pt>
                <c:pt idx="687">
                  <c:v>4.3888888888888884</c:v>
                </c:pt>
                <c:pt idx="688">
                  <c:v>3.7222222222222237</c:v>
                </c:pt>
                <c:pt idx="689">
                  <c:v>3.2222222222222205</c:v>
                </c:pt>
                <c:pt idx="690">
                  <c:v>2.9999999999999991</c:v>
                </c:pt>
                <c:pt idx="691">
                  <c:v>2.9999999999999991</c:v>
                </c:pt>
                <c:pt idx="692">
                  <c:v>3.4999999999999982</c:v>
                </c:pt>
                <c:pt idx="693">
                  <c:v>4.7777777777777786</c:v>
                </c:pt>
                <c:pt idx="694">
                  <c:v>5.2222222222222214</c:v>
                </c:pt>
                <c:pt idx="695">
                  <c:v>5.3888888888888902</c:v>
                </c:pt>
                <c:pt idx="696">
                  <c:v>5.2777777777777777</c:v>
                </c:pt>
                <c:pt idx="697">
                  <c:v>5</c:v>
                </c:pt>
                <c:pt idx="698">
                  <c:v>5.2222222222222214</c:v>
                </c:pt>
                <c:pt idx="699">
                  <c:v>5</c:v>
                </c:pt>
                <c:pt idx="700">
                  <c:v>4.2222222222222232</c:v>
                </c:pt>
                <c:pt idx="701">
                  <c:v>3.7222222222222237</c:v>
                </c:pt>
                <c:pt idx="702">
                  <c:v>3.2777777777777768</c:v>
                </c:pt>
                <c:pt idx="703">
                  <c:v>3.2777777777777768</c:v>
                </c:pt>
                <c:pt idx="704">
                  <c:v>3.7222222222222237</c:v>
                </c:pt>
                <c:pt idx="705">
                  <c:v>4.8888888888888875</c:v>
                </c:pt>
                <c:pt idx="706">
                  <c:v>5</c:v>
                </c:pt>
                <c:pt idx="707">
                  <c:v>5.3888888888888902</c:v>
                </c:pt>
                <c:pt idx="708">
                  <c:v>5.3888888888888902</c:v>
                </c:pt>
                <c:pt idx="709">
                  <c:v>5.7222222222222205</c:v>
                </c:pt>
                <c:pt idx="710">
                  <c:v>5.6111111111111116</c:v>
                </c:pt>
                <c:pt idx="711">
                  <c:v>5.3888888888888902</c:v>
                </c:pt>
                <c:pt idx="712">
                  <c:v>4.7777777777777786</c:v>
                </c:pt>
                <c:pt idx="713">
                  <c:v>4.1111111111111098</c:v>
                </c:pt>
                <c:pt idx="714">
                  <c:v>3.6111111111111112</c:v>
                </c:pt>
                <c:pt idx="715">
                  <c:v>3.3888888888888897</c:v>
                </c:pt>
                <c:pt idx="716">
                  <c:v>3.2777777777777768</c:v>
                </c:pt>
                <c:pt idx="717">
                  <c:v>3.6111111111111112</c:v>
                </c:pt>
                <c:pt idx="718">
                  <c:v>5.1111111111111125</c:v>
                </c:pt>
                <c:pt idx="719">
                  <c:v>5.3888888888888902</c:v>
                </c:pt>
                <c:pt idx="720">
                  <c:v>5.6111111111111116</c:v>
                </c:pt>
                <c:pt idx="721">
                  <c:v>5.7777777777777768</c:v>
                </c:pt>
                <c:pt idx="722">
                  <c:v>5.6111111111111116</c:v>
                </c:pt>
                <c:pt idx="723">
                  <c:v>5.3888888888888902</c:v>
                </c:pt>
                <c:pt idx="724">
                  <c:v>5.2777777777777777</c:v>
                </c:pt>
                <c:pt idx="725">
                  <c:v>4.6111111111111098</c:v>
                </c:pt>
                <c:pt idx="726">
                  <c:v>4.1111111111111098</c:v>
                </c:pt>
                <c:pt idx="727">
                  <c:v>3.7222222222222237</c:v>
                </c:pt>
                <c:pt idx="728">
                  <c:v>3.6111111111111112</c:v>
                </c:pt>
                <c:pt idx="729">
                  <c:v>4.2777777777777795</c:v>
                </c:pt>
                <c:pt idx="730">
                  <c:v>5</c:v>
                </c:pt>
                <c:pt idx="731">
                  <c:v>5.3888888888888902</c:v>
                </c:pt>
                <c:pt idx="732">
                  <c:v>5.3888888888888902</c:v>
                </c:pt>
                <c:pt idx="733">
                  <c:v>5.6111111111111116</c:v>
                </c:pt>
                <c:pt idx="734">
                  <c:v>5.6111111111111116</c:v>
                </c:pt>
                <c:pt idx="735">
                  <c:v>5.4999999999999991</c:v>
                </c:pt>
                <c:pt idx="736">
                  <c:v>5.3888888888888902</c:v>
                </c:pt>
                <c:pt idx="737">
                  <c:v>4.7777777777777786</c:v>
                </c:pt>
                <c:pt idx="738">
                  <c:v>4.2222222222222232</c:v>
                </c:pt>
                <c:pt idx="739">
                  <c:v>3.7777777777777759</c:v>
                </c:pt>
                <c:pt idx="740">
                  <c:v>3.6111111111111112</c:v>
                </c:pt>
                <c:pt idx="741">
                  <c:v>3.3888888888888897</c:v>
                </c:pt>
                <c:pt idx="742">
                  <c:v>3.7222222222222237</c:v>
                </c:pt>
                <c:pt idx="743">
                  <c:v>4.8888888888888875</c:v>
                </c:pt>
                <c:pt idx="744">
                  <c:v>5.3888888888888902</c:v>
                </c:pt>
                <c:pt idx="745">
                  <c:v>5.6111111111111116</c:v>
                </c:pt>
                <c:pt idx="746">
                  <c:v>5.7777777777777768</c:v>
                </c:pt>
                <c:pt idx="747">
                  <c:v>5</c:v>
                </c:pt>
                <c:pt idx="748">
                  <c:v>5.2222222222222214</c:v>
                </c:pt>
                <c:pt idx="749">
                  <c:v>5</c:v>
                </c:pt>
                <c:pt idx="750">
                  <c:v>4.3888888888888884</c:v>
                </c:pt>
                <c:pt idx="751">
                  <c:v>3.8888888888888888</c:v>
                </c:pt>
                <c:pt idx="752">
                  <c:v>3.6111111111111112</c:v>
                </c:pt>
                <c:pt idx="753">
                  <c:v>3.3888888888888897</c:v>
                </c:pt>
                <c:pt idx="754">
                  <c:v>4.1111111111111098</c:v>
                </c:pt>
                <c:pt idx="755">
                  <c:v>5.1111111111111125</c:v>
                </c:pt>
                <c:pt idx="756">
                  <c:v>5.2777777777777777</c:v>
                </c:pt>
                <c:pt idx="757">
                  <c:v>5.2777777777777777</c:v>
                </c:pt>
                <c:pt idx="758">
                  <c:v>5.3888888888888902</c:v>
                </c:pt>
                <c:pt idx="759">
                  <c:v>5.3888888888888902</c:v>
                </c:pt>
                <c:pt idx="760">
                  <c:v>5.2777777777777777</c:v>
                </c:pt>
                <c:pt idx="761">
                  <c:v>5.2222222222222214</c:v>
                </c:pt>
                <c:pt idx="762">
                  <c:v>4.7777777777777786</c:v>
                </c:pt>
                <c:pt idx="763">
                  <c:v>4.2222222222222232</c:v>
                </c:pt>
                <c:pt idx="764">
                  <c:v>3.8888888888888888</c:v>
                </c:pt>
                <c:pt idx="765">
                  <c:v>3.6111111111111112</c:v>
                </c:pt>
                <c:pt idx="766">
                  <c:v>3.4999999999999982</c:v>
                </c:pt>
                <c:pt idx="767">
                  <c:v>3.8888888888888888</c:v>
                </c:pt>
                <c:pt idx="768">
                  <c:v>4.8888888888888875</c:v>
                </c:pt>
                <c:pt idx="769">
                  <c:v>5</c:v>
                </c:pt>
                <c:pt idx="770">
                  <c:v>5.2222222222222214</c:v>
                </c:pt>
                <c:pt idx="771">
                  <c:v>5.2777777777777777</c:v>
                </c:pt>
                <c:pt idx="772">
                  <c:v>4.7777777777777786</c:v>
                </c:pt>
                <c:pt idx="773">
                  <c:v>4.8888888888888875</c:v>
                </c:pt>
                <c:pt idx="774">
                  <c:v>4.7222222222222223</c:v>
                </c:pt>
                <c:pt idx="775">
                  <c:v>4.1111111111111098</c:v>
                </c:pt>
                <c:pt idx="776">
                  <c:v>3.7222222222222237</c:v>
                </c:pt>
                <c:pt idx="777">
                  <c:v>3.3888888888888897</c:v>
                </c:pt>
                <c:pt idx="778">
                  <c:v>3.2777777777777768</c:v>
                </c:pt>
                <c:pt idx="779">
                  <c:v>3.8888888888888888</c:v>
                </c:pt>
                <c:pt idx="780">
                  <c:v>4.6111111111111098</c:v>
                </c:pt>
                <c:pt idx="781">
                  <c:v>4.7222222222222223</c:v>
                </c:pt>
                <c:pt idx="782">
                  <c:v>5</c:v>
                </c:pt>
                <c:pt idx="783">
                  <c:v>5</c:v>
                </c:pt>
                <c:pt idx="784">
                  <c:v>5.2222222222222214</c:v>
                </c:pt>
                <c:pt idx="785">
                  <c:v>5.1111111111111125</c:v>
                </c:pt>
                <c:pt idx="786">
                  <c:v>5</c:v>
                </c:pt>
                <c:pt idx="787">
                  <c:v>4.5000000000000009</c:v>
                </c:pt>
                <c:pt idx="788">
                  <c:v>3.8888888888888888</c:v>
                </c:pt>
                <c:pt idx="789">
                  <c:v>3.4999999999999982</c:v>
                </c:pt>
                <c:pt idx="790">
                  <c:v>3.2777777777777768</c:v>
                </c:pt>
                <c:pt idx="791">
                  <c:v>3.2222222222222205</c:v>
                </c:pt>
                <c:pt idx="792">
                  <c:v>3.6111111111111112</c:v>
                </c:pt>
                <c:pt idx="793">
                  <c:v>4.7777777777777786</c:v>
                </c:pt>
                <c:pt idx="794">
                  <c:v>4.7222222222222223</c:v>
                </c:pt>
                <c:pt idx="795">
                  <c:v>4.7777777777777786</c:v>
                </c:pt>
                <c:pt idx="796">
                  <c:v>4.8888888888888875</c:v>
                </c:pt>
                <c:pt idx="797">
                  <c:v>4.6111111111111098</c:v>
                </c:pt>
                <c:pt idx="798">
                  <c:v>4.7777777777777786</c:v>
                </c:pt>
                <c:pt idx="799">
                  <c:v>4.6111111111111098</c:v>
                </c:pt>
                <c:pt idx="800">
                  <c:v>4.0000000000000018</c:v>
                </c:pt>
                <c:pt idx="801">
                  <c:v>3.4999999999999982</c:v>
                </c:pt>
                <c:pt idx="802">
                  <c:v>3.2222222222222205</c:v>
                </c:pt>
                <c:pt idx="803">
                  <c:v>3.2222222222222205</c:v>
                </c:pt>
                <c:pt idx="804">
                  <c:v>3.7222222222222237</c:v>
                </c:pt>
                <c:pt idx="805">
                  <c:v>4.5000000000000009</c:v>
                </c:pt>
                <c:pt idx="806">
                  <c:v>4.5000000000000009</c:v>
                </c:pt>
                <c:pt idx="807">
                  <c:v>4.8888888888888875</c:v>
                </c:pt>
                <c:pt idx="808">
                  <c:v>5.2777777777777777</c:v>
                </c:pt>
                <c:pt idx="809">
                  <c:v>5.2222222222222214</c:v>
                </c:pt>
                <c:pt idx="810">
                  <c:v>5.1111111111111125</c:v>
                </c:pt>
                <c:pt idx="811">
                  <c:v>4.5000000000000009</c:v>
                </c:pt>
                <c:pt idx="812">
                  <c:v>3.7222222222222237</c:v>
                </c:pt>
                <c:pt idx="813">
                  <c:v>2.9999999999999991</c:v>
                </c:pt>
                <c:pt idx="814">
                  <c:v>2.6111111111111125</c:v>
                </c:pt>
                <c:pt idx="815">
                  <c:v>2.3888888888888871</c:v>
                </c:pt>
                <c:pt idx="816">
                  <c:v>2.3888888888888871</c:v>
                </c:pt>
                <c:pt idx="817">
                  <c:v>2.8888888888888906</c:v>
                </c:pt>
                <c:pt idx="818">
                  <c:v>4.7777777777777786</c:v>
                </c:pt>
                <c:pt idx="819">
                  <c:v>5.1111111111111125</c:v>
                </c:pt>
                <c:pt idx="820">
                  <c:v>5</c:v>
                </c:pt>
                <c:pt idx="821">
                  <c:v>4.3888888888888884</c:v>
                </c:pt>
                <c:pt idx="822">
                  <c:v>4.3888888888888884</c:v>
                </c:pt>
                <c:pt idx="823">
                  <c:v>4.2222222222222232</c:v>
                </c:pt>
                <c:pt idx="824">
                  <c:v>2.9999999999999991</c:v>
                </c:pt>
                <c:pt idx="825">
                  <c:v>2.2777777777777786</c:v>
                </c:pt>
                <c:pt idx="826">
                  <c:v>1.722222222222223</c:v>
                </c:pt>
                <c:pt idx="827">
                  <c:v>1.3888888888888888</c:v>
                </c:pt>
                <c:pt idx="828">
                  <c:v>1.888888888888888</c:v>
                </c:pt>
                <c:pt idx="829">
                  <c:v>3.7222222222222237</c:v>
                </c:pt>
                <c:pt idx="830">
                  <c:v>4.1111111111111098</c:v>
                </c:pt>
                <c:pt idx="831">
                  <c:v>3.7222222222222237</c:v>
                </c:pt>
                <c:pt idx="832">
                  <c:v>4.2777777777777795</c:v>
                </c:pt>
                <c:pt idx="833">
                  <c:v>4.6111111111111098</c:v>
                </c:pt>
                <c:pt idx="834">
                  <c:v>4.2222222222222232</c:v>
                </c:pt>
                <c:pt idx="835">
                  <c:v>4.2222222222222232</c:v>
                </c:pt>
                <c:pt idx="836">
                  <c:v>3.6111111111111112</c:v>
                </c:pt>
                <c:pt idx="837">
                  <c:v>2.6111111111111125</c:v>
                </c:pt>
                <c:pt idx="838">
                  <c:v>1.7777777777777792</c:v>
                </c:pt>
                <c:pt idx="839">
                  <c:v>1.3888888888888888</c:v>
                </c:pt>
                <c:pt idx="840">
                  <c:v>1.2222222222222239</c:v>
                </c:pt>
                <c:pt idx="841">
                  <c:v>1.5000000000000016</c:v>
                </c:pt>
                <c:pt idx="842">
                  <c:v>3.2777777777777768</c:v>
                </c:pt>
                <c:pt idx="843">
                  <c:v>3.7777777777777759</c:v>
                </c:pt>
                <c:pt idx="844">
                  <c:v>4.2222222222222232</c:v>
                </c:pt>
                <c:pt idx="845">
                  <c:v>4.5000000000000009</c:v>
                </c:pt>
                <c:pt idx="846">
                  <c:v>4.3888888888888884</c:v>
                </c:pt>
                <c:pt idx="847">
                  <c:v>4.1111111111111098</c:v>
                </c:pt>
                <c:pt idx="848">
                  <c:v>3.8888888888888888</c:v>
                </c:pt>
                <c:pt idx="849">
                  <c:v>3.2777777777777768</c:v>
                </c:pt>
                <c:pt idx="850">
                  <c:v>2.3888888888888871</c:v>
                </c:pt>
                <c:pt idx="851">
                  <c:v>1.7777777777777792</c:v>
                </c:pt>
                <c:pt idx="852">
                  <c:v>1.7777777777777792</c:v>
                </c:pt>
                <c:pt idx="853">
                  <c:v>2.3888888888888871</c:v>
                </c:pt>
                <c:pt idx="854">
                  <c:v>3.2777777777777768</c:v>
                </c:pt>
                <c:pt idx="855">
                  <c:v>3.8888888888888888</c:v>
                </c:pt>
                <c:pt idx="856">
                  <c:v>4.3888888888888884</c:v>
                </c:pt>
                <c:pt idx="857">
                  <c:v>4.7222222222222223</c:v>
                </c:pt>
                <c:pt idx="858">
                  <c:v>4.8888888888888875</c:v>
                </c:pt>
                <c:pt idx="859">
                  <c:v>4.8888888888888875</c:v>
                </c:pt>
                <c:pt idx="860">
                  <c:v>4.6111111111111098</c:v>
                </c:pt>
                <c:pt idx="861">
                  <c:v>4.0000000000000018</c:v>
                </c:pt>
                <c:pt idx="862">
                  <c:v>3.1111111111111116</c:v>
                </c:pt>
                <c:pt idx="863">
                  <c:v>2.5</c:v>
                </c:pt>
                <c:pt idx="864">
                  <c:v>2.1111111111111094</c:v>
                </c:pt>
                <c:pt idx="865">
                  <c:v>2.1111111111111094</c:v>
                </c:pt>
                <c:pt idx="866">
                  <c:v>2.8888888888888906</c:v>
                </c:pt>
                <c:pt idx="867">
                  <c:v>3.7222222222222237</c:v>
                </c:pt>
                <c:pt idx="868">
                  <c:v>4.2222222222222232</c:v>
                </c:pt>
                <c:pt idx="869">
                  <c:v>4.6111111111111098</c:v>
                </c:pt>
                <c:pt idx="870">
                  <c:v>5</c:v>
                </c:pt>
                <c:pt idx="871">
                  <c:v>4.8888888888888875</c:v>
                </c:pt>
                <c:pt idx="872">
                  <c:v>4.8888888888888875</c:v>
                </c:pt>
                <c:pt idx="873">
                  <c:v>4.2777777777777795</c:v>
                </c:pt>
                <c:pt idx="874">
                  <c:v>3.2777777777777768</c:v>
                </c:pt>
                <c:pt idx="875">
                  <c:v>2.6111111111111125</c:v>
                </c:pt>
                <c:pt idx="876">
                  <c:v>2.2222222222222223</c:v>
                </c:pt>
                <c:pt idx="877">
                  <c:v>2.2222222222222223</c:v>
                </c:pt>
                <c:pt idx="878">
                  <c:v>2.9999999999999991</c:v>
                </c:pt>
                <c:pt idx="879">
                  <c:v>3.7777777777777759</c:v>
                </c:pt>
                <c:pt idx="880">
                  <c:v>4.5000000000000009</c:v>
                </c:pt>
                <c:pt idx="881">
                  <c:v>5.1111111111111125</c:v>
                </c:pt>
                <c:pt idx="882">
                  <c:v>5.2222222222222214</c:v>
                </c:pt>
                <c:pt idx="883">
                  <c:v>5.2777777777777777</c:v>
                </c:pt>
                <c:pt idx="884">
                  <c:v>5.1111111111111125</c:v>
                </c:pt>
                <c:pt idx="885">
                  <c:v>4.7222222222222223</c:v>
                </c:pt>
                <c:pt idx="886">
                  <c:v>3.7777777777777759</c:v>
                </c:pt>
                <c:pt idx="887">
                  <c:v>3.1111111111111116</c:v>
                </c:pt>
                <c:pt idx="888">
                  <c:v>2.6111111111111125</c:v>
                </c:pt>
                <c:pt idx="889">
                  <c:v>2.2777777777777786</c:v>
                </c:pt>
                <c:pt idx="890">
                  <c:v>2.7222222222222214</c:v>
                </c:pt>
                <c:pt idx="891">
                  <c:v>3.7222222222222237</c:v>
                </c:pt>
                <c:pt idx="892">
                  <c:v>4.1111111111111098</c:v>
                </c:pt>
                <c:pt idx="893">
                  <c:v>4.6111111111111098</c:v>
                </c:pt>
                <c:pt idx="894">
                  <c:v>4.7222222222222223</c:v>
                </c:pt>
                <c:pt idx="895">
                  <c:v>4.7222222222222223</c:v>
                </c:pt>
                <c:pt idx="896">
                  <c:v>4.6111111111111098</c:v>
                </c:pt>
                <c:pt idx="897">
                  <c:v>4.3888888888888884</c:v>
                </c:pt>
                <c:pt idx="898">
                  <c:v>3.8888888888888888</c:v>
                </c:pt>
                <c:pt idx="899">
                  <c:v>3.1111111111111116</c:v>
                </c:pt>
                <c:pt idx="900">
                  <c:v>2.7222222222222214</c:v>
                </c:pt>
                <c:pt idx="901">
                  <c:v>2.3888888888888871</c:v>
                </c:pt>
                <c:pt idx="902">
                  <c:v>2.7777777777777777</c:v>
                </c:pt>
                <c:pt idx="903">
                  <c:v>3.7222222222222237</c:v>
                </c:pt>
                <c:pt idx="904">
                  <c:v>4.0000000000000018</c:v>
                </c:pt>
                <c:pt idx="905">
                  <c:v>4.2222222222222232</c:v>
                </c:pt>
                <c:pt idx="906">
                  <c:v>4.2222222222222232</c:v>
                </c:pt>
                <c:pt idx="907">
                  <c:v>4.2222222222222232</c:v>
                </c:pt>
                <c:pt idx="908">
                  <c:v>4.1111111111111098</c:v>
                </c:pt>
                <c:pt idx="909">
                  <c:v>4.1111111111111098</c:v>
                </c:pt>
                <c:pt idx="910">
                  <c:v>4.0000000000000018</c:v>
                </c:pt>
                <c:pt idx="911">
                  <c:v>3.4999999999999982</c:v>
                </c:pt>
                <c:pt idx="912">
                  <c:v>3.1111111111111116</c:v>
                </c:pt>
                <c:pt idx="913">
                  <c:v>2.7222222222222214</c:v>
                </c:pt>
                <c:pt idx="914">
                  <c:v>2.5</c:v>
                </c:pt>
                <c:pt idx="915">
                  <c:v>2.7777777777777777</c:v>
                </c:pt>
                <c:pt idx="916">
                  <c:v>3.3888888888888897</c:v>
                </c:pt>
                <c:pt idx="917">
                  <c:v>3.6111111111111112</c:v>
                </c:pt>
                <c:pt idx="918">
                  <c:v>3.7222222222222237</c:v>
                </c:pt>
                <c:pt idx="919">
                  <c:v>3.7777777777777759</c:v>
                </c:pt>
                <c:pt idx="920">
                  <c:v>3.8888888888888888</c:v>
                </c:pt>
                <c:pt idx="921">
                  <c:v>3.7777777777777759</c:v>
                </c:pt>
                <c:pt idx="922">
                  <c:v>3.4999999999999982</c:v>
                </c:pt>
                <c:pt idx="923">
                  <c:v>2.9999999999999991</c:v>
                </c:pt>
                <c:pt idx="924">
                  <c:v>2.5</c:v>
                </c:pt>
                <c:pt idx="925">
                  <c:v>2.2222222222222223</c:v>
                </c:pt>
                <c:pt idx="926">
                  <c:v>2.1111111111111094</c:v>
                </c:pt>
                <c:pt idx="927">
                  <c:v>2.2777777777777786</c:v>
                </c:pt>
                <c:pt idx="928">
                  <c:v>3.1111111111111116</c:v>
                </c:pt>
                <c:pt idx="929">
                  <c:v>3.3888888888888897</c:v>
                </c:pt>
                <c:pt idx="930">
                  <c:v>3.7222222222222237</c:v>
                </c:pt>
                <c:pt idx="931">
                  <c:v>4.0000000000000018</c:v>
                </c:pt>
                <c:pt idx="932">
                  <c:v>4.1111111111111098</c:v>
                </c:pt>
                <c:pt idx="933">
                  <c:v>4.0000000000000018</c:v>
                </c:pt>
                <c:pt idx="934">
                  <c:v>3.7222222222222237</c:v>
                </c:pt>
                <c:pt idx="935">
                  <c:v>3.2222222222222205</c:v>
                </c:pt>
                <c:pt idx="936">
                  <c:v>2.7222222222222214</c:v>
                </c:pt>
                <c:pt idx="937">
                  <c:v>2.3888888888888871</c:v>
                </c:pt>
                <c:pt idx="938">
                  <c:v>2.2222222222222223</c:v>
                </c:pt>
                <c:pt idx="939">
                  <c:v>2.5</c:v>
                </c:pt>
                <c:pt idx="940">
                  <c:v>2.9999999999999991</c:v>
                </c:pt>
                <c:pt idx="941">
                  <c:v>3.4999999999999982</c:v>
                </c:pt>
                <c:pt idx="942">
                  <c:v>3.7222222222222237</c:v>
                </c:pt>
                <c:pt idx="943">
                  <c:v>4.0000000000000018</c:v>
                </c:pt>
                <c:pt idx="944">
                  <c:v>4.2222222222222232</c:v>
                </c:pt>
                <c:pt idx="945">
                  <c:v>4.0000000000000018</c:v>
                </c:pt>
                <c:pt idx="946">
                  <c:v>3.8888888888888888</c:v>
                </c:pt>
                <c:pt idx="947">
                  <c:v>3.4999999999999982</c:v>
                </c:pt>
                <c:pt idx="948">
                  <c:v>2.8888888888888906</c:v>
                </c:pt>
                <c:pt idx="949">
                  <c:v>2.5</c:v>
                </c:pt>
                <c:pt idx="950">
                  <c:v>2.2777777777777786</c:v>
                </c:pt>
                <c:pt idx="951">
                  <c:v>2.5</c:v>
                </c:pt>
                <c:pt idx="952">
                  <c:v>2.9999999999999991</c:v>
                </c:pt>
                <c:pt idx="953">
                  <c:v>3.6111111111111112</c:v>
                </c:pt>
                <c:pt idx="954">
                  <c:v>4.0000000000000018</c:v>
                </c:pt>
                <c:pt idx="955">
                  <c:v>4.3888888888888884</c:v>
                </c:pt>
                <c:pt idx="956">
                  <c:v>4.6111111111111098</c:v>
                </c:pt>
                <c:pt idx="957">
                  <c:v>4.6111111111111098</c:v>
                </c:pt>
                <c:pt idx="958">
                  <c:v>4.5000000000000009</c:v>
                </c:pt>
                <c:pt idx="959">
                  <c:v>4.1111111111111098</c:v>
                </c:pt>
                <c:pt idx="960">
                  <c:v>3.4999999999999982</c:v>
                </c:pt>
                <c:pt idx="961">
                  <c:v>2.9999999999999991</c:v>
                </c:pt>
                <c:pt idx="962">
                  <c:v>2.7222222222222214</c:v>
                </c:pt>
                <c:pt idx="963">
                  <c:v>2.6111111111111125</c:v>
                </c:pt>
                <c:pt idx="964">
                  <c:v>2.8888888888888906</c:v>
                </c:pt>
                <c:pt idx="965">
                  <c:v>3.7222222222222237</c:v>
                </c:pt>
                <c:pt idx="966">
                  <c:v>4.1111111111111098</c:v>
                </c:pt>
                <c:pt idx="967">
                  <c:v>4.6111111111111098</c:v>
                </c:pt>
                <c:pt idx="968">
                  <c:v>4.7222222222222223</c:v>
                </c:pt>
                <c:pt idx="969">
                  <c:v>4.7222222222222223</c:v>
                </c:pt>
                <c:pt idx="970">
                  <c:v>4.6111111111111098</c:v>
                </c:pt>
                <c:pt idx="971">
                  <c:v>4.3888888888888884</c:v>
                </c:pt>
                <c:pt idx="972">
                  <c:v>3.8888888888888888</c:v>
                </c:pt>
                <c:pt idx="973">
                  <c:v>3.2777777777777768</c:v>
                </c:pt>
                <c:pt idx="974">
                  <c:v>2.9999999999999991</c:v>
                </c:pt>
                <c:pt idx="975">
                  <c:v>2.7777777777777777</c:v>
                </c:pt>
                <c:pt idx="976">
                  <c:v>3.1111111111111116</c:v>
                </c:pt>
                <c:pt idx="977">
                  <c:v>3.7222222222222237</c:v>
                </c:pt>
                <c:pt idx="978">
                  <c:v>4.1111111111111098</c:v>
                </c:pt>
                <c:pt idx="979">
                  <c:v>4.5000000000000009</c:v>
                </c:pt>
                <c:pt idx="980">
                  <c:v>4.7222222222222223</c:v>
                </c:pt>
                <c:pt idx="981">
                  <c:v>4.7777777777777786</c:v>
                </c:pt>
                <c:pt idx="982">
                  <c:v>4.7777777777777786</c:v>
                </c:pt>
                <c:pt idx="983">
                  <c:v>4.5000000000000009</c:v>
                </c:pt>
                <c:pt idx="984">
                  <c:v>4.1111111111111098</c:v>
                </c:pt>
                <c:pt idx="985">
                  <c:v>3.6111111111111112</c:v>
                </c:pt>
                <c:pt idx="986">
                  <c:v>3.2222222222222205</c:v>
                </c:pt>
                <c:pt idx="987">
                  <c:v>2.9999999999999991</c:v>
                </c:pt>
                <c:pt idx="988">
                  <c:v>3.1111111111111116</c:v>
                </c:pt>
                <c:pt idx="989">
                  <c:v>3.6111111111111112</c:v>
                </c:pt>
                <c:pt idx="990">
                  <c:v>4.1111111111111098</c:v>
                </c:pt>
                <c:pt idx="991">
                  <c:v>4.5000000000000009</c:v>
                </c:pt>
                <c:pt idx="992">
                  <c:v>4.7222222222222223</c:v>
                </c:pt>
                <c:pt idx="993">
                  <c:v>4.7777777777777786</c:v>
                </c:pt>
                <c:pt idx="994">
                  <c:v>4.7777777777777786</c:v>
                </c:pt>
                <c:pt idx="995">
                  <c:v>4.7222222222222223</c:v>
                </c:pt>
                <c:pt idx="996">
                  <c:v>4.2222222222222232</c:v>
                </c:pt>
                <c:pt idx="997">
                  <c:v>3.7222222222222237</c:v>
                </c:pt>
                <c:pt idx="998">
                  <c:v>3.2777777777777768</c:v>
                </c:pt>
                <c:pt idx="999">
                  <c:v>2.9999999999999991</c:v>
                </c:pt>
                <c:pt idx="1000">
                  <c:v>2.9999999999999991</c:v>
                </c:pt>
                <c:pt idx="1001">
                  <c:v>3.2222222222222205</c:v>
                </c:pt>
                <c:pt idx="1002">
                  <c:v>3.8888888888888888</c:v>
                </c:pt>
                <c:pt idx="1003">
                  <c:v>4.2222222222222232</c:v>
                </c:pt>
                <c:pt idx="1004">
                  <c:v>4.7222222222222223</c:v>
                </c:pt>
                <c:pt idx="1005">
                  <c:v>5</c:v>
                </c:pt>
                <c:pt idx="1006">
                  <c:v>5</c:v>
                </c:pt>
                <c:pt idx="1007">
                  <c:v>4.8888888888888875</c:v>
                </c:pt>
                <c:pt idx="1008">
                  <c:v>4.6111111111111098</c:v>
                </c:pt>
                <c:pt idx="1009">
                  <c:v>4.1111111111111098</c:v>
                </c:pt>
                <c:pt idx="1010">
                  <c:v>3.6111111111111112</c:v>
                </c:pt>
                <c:pt idx="1011">
                  <c:v>3.2777777777777768</c:v>
                </c:pt>
                <c:pt idx="1012">
                  <c:v>3.1111111111111116</c:v>
                </c:pt>
                <c:pt idx="1013">
                  <c:v>3.3888888888888897</c:v>
                </c:pt>
                <c:pt idx="1014">
                  <c:v>3.8888888888888888</c:v>
                </c:pt>
                <c:pt idx="1015">
                  <c:v>4.3888888888888884</c:v>
                </c:pt>
                <c:pt idx="1016">
                  <c:v>4.6111111111111098</c:v>
                </c:pt>
                <c:pt idx="1017">
                  <c:v>4.8888888888888875</c:v>
                </c:pt>
                <c:pt idx="1018">
                  <c:v>5</c:v>
                </c:pt>
                <c:pt idx="1019">
                  <c:v>4.8888888888888875</c:v>
                </c:pt>
                <c:pt idx="1020">
                  <c:v>4.7222222222222223</c:v>
                </c:pt>
                <c:pt idx="1021">
                  <c:v>4.2777777777777795</c:v>
                </c:pt>
                <c:pt idx="1022">
                  <c:v>3.7222222222222237</c:v>
                </c:pt>
                <c:pt idx="1023">
                  <c:v>3.2777777777777768</c:v>
                </c:pt>
                <c:pt idx="1024">
                  <c:v>3.2222222222222205</c:v>
                </c:pt>
                <c:pt idx="1025">
                  <c:v>3.2222222222222205</c:v>
                </c:pt>
                <c:pt idx="1026">
                  <c:v>3.4999999999999982</c:v>
                </c:pt>
                <c:pt idx="1027">
                  <c:v>4.2222222222222232</c:v>
                </c:pt>
                <c:pt idx="1028">
                  <c:v>4.5000000000000009</c:v>
                </c:pt>
                <c:pt idx="1029">
                  <c:v>4.8888888888888875</c:v>
                </c:pt>
                <c:pt idx="1030">
                  <c:v>5.1111111111111125</c:v>
                </c:pt>
                <c:pt idx="1031">
                  <c:v>5</c:v>
                </c:pt>
                <c:pt idx="1032">
                  <c:v>5</c:v>
                </c:pt>
                <c:pt idx="1033">
                  <c:v>4.7222222222222223</c:v>
                </c:pt>
                <c:pt idx="1034">
                  <c:v>4.1111111111111098</c:v>
                </c:pt>
                <c:pt idx="1035">
                  <c:v>3.7222222222222237</c:v>
                </c:pt>
                <c:pt idx="1036">
                  <c:v>3.3888888888888897</c:v>
                </c:pt>
                <c:pt idx="1037">
                  <c:v>3.3888888888888897</c:v>
                </c:pt>
                <c:pt idx="1038">
                  <c:v>3.6111111111111112</c:v>
                </c:pt>
                <c:pt idx="1039">
                  <c:v>4.2777777777777795</c:v>
                </c:pt>
                <c:pt idx="1040">
                  <c:v>4.7222222222222223</c:v>
                </c:pt>
                <c:pt idx="1041">
                  <c:v>5</c:v>
                </c:pt>
                <c:pt idx="1042">
                  <c:v>5.1111111111111125</c:v>
                </c:pt>
                <c:pt idx="1043">
                  <c:v>5.2222222222222214</c:v>
                </c:pt>
                <c:pt idx="1044">
                  <c:v>5.1111111111111125</c:v>
                </c:pt>
                <c:pt idx="1045">
                  <c:v>4.8888888888888875</c:v>
                </c:pt>
                <c:pt idx="1046">
                  <c:v>4.6111111111111098</c:v>
                </c:pt>
                <c:pt idx="1047">
                  <c:v>4.0000000000000018</c:v>
                </c:pt>
                <c:pt idx="1048">
                  <c:v>3.7222222222222237</c:v>
                </c:pt>
                <c:pt idx="1049">
                  <c:v>3.6111111111111112</c:v>
                </c:pt>
                <c:pt idx="1050">
                  <c:v>3.7222222222222237</c:v>
                </c:pt>
                <c:pt idx="1051">
                  <c:v>4.2222222222222232</c:v>
                </c:pt>
                <c:pt idx="1052">
                  <c:v>4.6111111111111098</c:v>
                </c:pt>
                <c:pt idx="1053">
                  <c:v>4.8888888888888875</c:v>
                </c:pt>
                <c:pt idx="1054">
                  <c:v>5.1111111111111125</c:v>
                </c:pt>
                <c:pt idx="1055">
                  <c:v>5.2222222222222214</c:v>
                </c:pt>
                <c:pt idx="1056">
                  <c:v>5.1111111111111125</c:v>
                </c:pt>
                <c:pt idx="1057">
                  <c:v>5.1111111111111125</c:v>
                </c:pt>
                <c:pt idx="1058">
                  <c:v>4.7777777777777786</c:v>
                </c:pt>
                <c:pt idx="1059">
                  <c:v>4.2777777777777795</c:v>
                </c:pt>
                <c:pt idx="1060">
                  <c:v>4.0000000000000018</c:v>
                </c:pt>
                <c:pt idx="1061">
                  <c:v>3.7222222222222237</c:v>
                </c:pt>
                <c:pt idx="1062">
                  <c:v>3.7777777777777759</c:v>
                </c:pt>
                <c:pt idx="1063">
                  <c:v>4.2222222222222232</c:v>
                </c:pt>
                <c:pt idx="1064">
                  <c:v>4.6111111111111098</c:v>
                </c:pt>
                <c:pt idx="1065">
                  <c:v>4.7222222222222223</c:v>
                </c:pt>
                <c:pt idx="1066">
                  <c:v>4.7222222222222223</c:v>
                </c:pt>
                <c:pt idx="1067">
                  <c:v>4.7222222222222223</c:v>
                </c:pt>
                <c:pt idx="1068">
                  <c:v>4.7222222222222223</c:v>
                </c:pt>
                <c:pt idx="1069">
                  <c:v>4.7222222222222223</c:v>
                </c:pt>
                <c:pt idx="1070">
                  <c:v>4.6111111111111098</c:v>
                </c:pt>
                <c:pt idx="1071">
                  <c:v>4.3888888888888884</c:v>
                </c:pt>
                <c:pt idx="1072">
                  <c:v>4.1111111111111098</c:v>
                </c:pt>
                <c:pt idx="1073">
                  <c:v>3.8888888888888888</c:v>
                </c:pt>
                <c:pt idx="1074">
                  <c:v>3.7777777777777759</c:v>
                </c:pt>
                <c:pt idx="1075">
                  <c:v>3.7777777777777759</c:v>
                </c:pt>
                <c:pt idx="1076">
                  <c:v>4.0000000000000018</c:v>
                </c:pt>
                <c:pt idx="1077">
                  <c:v>4.2777777777777795</c:v>
                </c:pt>
                <c:pt idx="1078">
                  <c:v>4.5000000000000009</c:v>
                </c:pt>
                <c:pt idx="1079">
                  <c:v>4.7222222222222223</c:v>
                </c:pt>
                <c:pt idx="1080">
                  <c:v>4.7777777777777786</c:v>
                </c:pt>
                <c:pt idx="1081">
                  <c:v>4.7222222222222223</c:v>
                </c:pt>
                <c:pt idx="1082">
                  <c:v>4.7222222222222223</c:v>
                </c:pt>
                <c:pt idx="1083">
                  <c:v>4.3888888888888884</c:v>
                </c:pt>
                <c:pt idx="1084">
                  <c:v>4.1111111111111098</c:v>
                </c:pt>
                <c:pt idx="1085">
                  <c:v>3.8888888888888888</c:v>
                </c:pt>
                <c:pt idx="1086">
                  <c:v>3.7222222222222237</c:v>
                </c:pt>
                <c:pt idx="1087">
                  <c:v>3.7777777777777759</c:v>
                </c:pt>
                <c:pt idx="1088">
                  <c:v>4.0000000000000018</c:v>
                </c:pt>
                <c:pt idx="1089">
                  <c:v>4.3888888888888884</c:v>
                </c:pt>
                <c:pt idx="1090">
                  <c:v>4.5000000000000009</c:v>
                </c:pt>
                <c:pt idx="1091">
                  <c:v>4.6111111111111098</c:v>
                </c:pt>
                <c:pt idx="1092">
                  <c:v>4.7222222222222223</c:v>
                </c:pt>
                <c:pt idx="1093">
                  <c:v>4.7222222222222223</c:v>
                </c:pt>
                <c:pt idx="1094">
                  <c:v>4.7222222222222223</c:v>
                </c:pt>
                <c:pt idx="1095">
                  <c:v>4.6111111111111098</c:v>
                </c:pt>
                <c:pt idx="1096">
                  <c:v>4.2777777777777795</c:v>
                </c:pt>
                <c:pt idx="1097">
                  <c:v>4.0000000000000018</c:v>
                </c:pt>
                <c:pt idx="1098">
                  <c:v>3.8888888888888888</c:v>
                </c:pt>
                <c:pt idx="1099">
                  <c:v>3.7777777777777759</c:v>
                </c:pt>
                <c:pt idx="1100">
                  <c:v>3.7777777777777759</c:v>
                </c:pt>
                <c:pt idx="1101">
                  <c:v>4.0000000000000018</c:v>
                </c:pt>
                <c:pt idx="1102">
                  <c:v>4.2777777777777795</c:v>
                </c:pt>
                <c:pt idx="1103">
                  <c:v>4.5000000000000009</c:v>
                </c:pt>
                <c:pt idx="1104">
                  <c:v>4.6111111111111098</c:v>
                </c:pt>
                <c:pt idx="1105">
                  <c:v>4.7222222222222223</c:v>
                </c:pt>
                <c:pt idx="1106">
                  <c:v>4.7222222222222223</c:v>
                </c:pt>
                <c:pt idx="1107">
                  <c:v>4.7222222222222223</c:v>
                </c:pt>
                <c:pt idx="1108">
                  <c:v>4.6111111111111098</c:v>
                </c:pt>
                <c:pt idx="1109">
                  <c:v>4.2777777777777795</c:v>
                </c:pt>
                <c:pt idx="1110">
                  <c:v>4.1111111111111098</c:v>
                </c:pt>
                <c:pt idx="1111">
                  <c:v>4.0000000000000018</c:v>
                </c:pt>
                <c:pt idx="1112">
                  <c:v>3.8888888888888888</c:v>
                </c:pt>
                <c:pt idx="1113">
                  <c:v>4.1111111111111098</c:v>
                </c:pt>
                <c:pt idx="1114">
                  <c:v>4.5000000000000009</c:v>
                </c:pt>
                <c:pt idx="1115">
                  <c:v>4.6111111111111098</c:v>
                </c:pt>
                <c:pt idx="1116">
                  <c:v>4.7777777777777786</c:v>
                </c:pt>
                <c:pt idx="1117">
                  <c:v>4.8888888888888875</c:v>
                </c:pt>
                <c:pt idx="1118">
                  <c:v>4.8888888888888875</c:v>
                </c:pt>
                <c:pt idx="1119">
                  <c:v>4.8888888888888875</c:v>
                </c:pt>
                <c:pt idx="1120">
                  <c:v>4.7777777777777786</c:v>
                </c:pt>
                <c:pt idx="1121">
                  <c:v>4.6111111111111098</c:v>
                </c:pt>
                <c:pt idx="1122">
                  <c:v>4.3888888888888884</c:v>
                </c:pt>
                <c:pt idx="1123">
                  <c:v>4.2777777777777795</c:v>
                </c:pt>
                <c:pt idx="1124">
                  <c:v>4.2222222222222232</c:v>
                </c:pt>
                <c:pt idx="1125">
                  <c:v>4.2222222222222232</c:v>
                </c:pt>
                <c:pt idx="1126">
                  <c:v>4.2222222222222232</c:v>
                </c:pt>
                <c:pt idx="1127">
                  <c:v>4.6111111111111098</c:v>
                </c:pt>
                <c:pt idx="1128">
                  <c:v>4.7777777777777786</c:v>
                </c:pt>
                <c:pt idx="1129">
                  <c:v>4.8888888888888875</c:v>
                </c:pt>
                <c:pt idx="1130">
                  <c:v>5</c:v>
                </c:pt>
                <c:pt idx="1131">
                  <c:v>5</c:v>
                </c:pt>
                <c:pt idx="1132">
                  <c:v>5</c:v>
                </c:pt>
                <c:pt idx="1133">
                  <c:v>4.8888888888888875</c:v>
                </c:pt>
                <c:pt idx="1134">
                  <c:v>4.7222222222222223</c:v>
                </c:pt>
                <c:pt idx="1135">
                  <c:v>4.5000000000000009</c:v>
                </c:pt>
                <c:pt idx="1136">
                  <c:v>4.3888888888888884</c:v>
                </c:pt>
                <c:pt idx="1137">
                  <c:v>4.2777777777777795</c:v>
                </c:pt>
                <c:pt idx="1138">
                  <c:v>4.6111111111111098</c:v>
                </c:pt>
                <c:pt idx="1139">
                  <c:v>4.7777777777777786</c:v>
                </c:pt>
                <c:pt idx="1140">
                  <c:v>4.8888888888888875</c:v>
                </c:pt>
                <c:pt idx="1141">
                  <c:v>5.1111111111111125</c:v>
                </c:pt>
                <c:pt idx="1142">
                  <c:v>5.1111111111111125</c:v>
                </c:pt>
                <c:pt idx="1143">
                  <c:v>5.2222222222222214</c:v>
                </c:pt>
                <c:pt idx="1144">
                  <c:v>5.2222222222222214</c:v>
                </c:pt>
                <c:pt idx="1145">
                  <c:v>5.1111111111111125</c:v>
                </c:pt>
                <c:pt idx="1146">
                  <c:v>5</c:v>
                </c:pt>
                <c:pt idx="1147">
                  <c:v>4.7777777777777786</c:v>
                </c:pt>
                <c:pt idx="1148">
                  <c:v>4.6111111111111098</c:v>
                </c:pt>
                <c:pt idx="1149">
                  <c:v>4.5000000000000009</c:v>
                </c:pt>
                <c:pt idx="1150">
                  <c:v>4.5000000000000009</c:v>
                </c:pt>
                <c:pt idx="1151">
                  <c:v>4.5000000000000009</c:v>
                </c:pt>
                <c:pt idx="1152">
                  <c:v>4.7777777777777786</c:v>
                </c:pt>
                <c:pt idx="1153">
                  <c:v>4.8888888888888875</c:v>
                </c:pt>
                <c:pt idx="1154">
                  <c:v>5.1111111111111125</c:v>
                </c:pt>
                <c:pt idx="1155">
                  <c:v>5.1111111111111125</c:v>
                </c:pt>
                <c:pt idx="1156">
                  <c:v>5.2222222222222214</c:v>
                </c:pt>
                <c:pt idx="1157">
                  <c:v>5.1111111111111125</c:v>
                </c:pt>
                <c:pt idx="1158">
                  <c:v>4.7777777777777786</c:v>
                </c:pt>
                <c:pt idx="1159">
                  <c:v>4.5000000000000009</c:v>
                </c:pt>
                <c:pt idx="1160">
                  <c:v>4.2777777777777795</c:v>
                </c:pt>
                <c:pt idx="1161">
                  <c:v>4.2222222222222232</c:v>
                </c:pt>
                <c:pt idx="1162">
                  <c:v>4.1111111111111098</c:v>
                </c:pt>
                <c:pt idx="1163">
                  <c:v>4.2222222222222232</c:v>
                </c:pt>
                <c:pt idx="1164">
                  <c:v>4.6111111111111098</c:v>
                </c:pt>
                <c:pt idx="1165">
                  <c:v>4.7777777777777786</c:v>
                </c:pt>
                <c:pt idx="1166">
                  <c:v>5</c:v>
                </c:pt>
                <c:pt idx="1167">
                  <c:v>5.1111111111111125</c:v>
                </c:pt>
                <c:pt idx="1168">
                  <c:v>5.1111111111111125</c:v>
                </c:pt>
                <c:pt idx="1169">
                  <c:v>5.1111111111111125</c:v>
                </c:pt>
                <c:pt idx="1170">
                  <c:v>5</c:v>
                </c:pt>
                <c:pt idx="1171">
                  <c:v>4.7777777777777786</c:v>
                </c:pt>
                <c:pt idx="1172">
                  <c:v>4.6111111111111098</c:v>
                </c:pt>
                <c:pt idx="1173">
                  <c:v>4.5000000000000009</c:v>
                </c:pt>
                <c:pt idx="1174">
                  <c:v>4.2777777777777795</c:v>
                </c:pt>
                <c:pt idx="1175">
                  <c:v>4.2222222222222232</c:v>
                </c:pt>
                <c:pt idx="1176">
                  <c:v>4.2777777777777795</c:v>
                </c:pt>
                <c:pt idx="1177">
                  <c:v>4.6111111111111098</c:v>
                </c:pt>
                <c:pt idx="1178">
                  <c:v>4.7777777777777786</c:v>
                </c:pt>
                <c:pt idx="1179">
                  <c:v>5</c:v>
                </c:pt>
                <c:pt idx="1180">
                  <c:v>5</c:v>
                </c:pt>
                <c:pt idx="1181">
                  <c:v>5</c:v>
                </c:pt>
                <c:pt idx="1182">
                  <c:v>4.8888888888888875</c:v>
                </c:pt>
                <c:pt idx="1183">
                  <c:v>4.7777777777777786</c:v>
                </c:pt>
                <c:pt idx="1184">
                  <c:v>4.5000000000000009</c:v>
                </c:pt>
                <c:pt idx="1185">
                  <c:v>4.2777777777777795</c:v>
                </c:pt>
                <c:pt idx="1186">
                  <c:v>4.1111111111111098</c:v>
                </c:pt>
                <c:pt idx="1187">
                  <c:v>4.0000000000000018</c:v>
                </c:pt>
                <c:pt idx="1188">
                  <c:v>4.2222222222222232</c:v>
                </c:pt>
                <c:pt idx="1189">
                  <c:v>4.5000000000000009</c:v>
                </c:pt>
                <c:pt idx="1190">
                  <c:v>4.7777777777777786</c:v>
                </c:pt>
                <c:pt idx="1191">
                  <c:v>5</c:v>
                </c:pt>
                <c:pt idx="1192">
                  <c:v>5.1111111111111125</c:v>
                </c:pt>
                <c:pt idx="1193">
                  <c:v>5.1111111111111125</c:v>
                </c:pt>
                <c:pt idx="1194">
                  <c:v>5.1111111111111125</c:v>
                </c:pt>
                <c:pt idx="1195">
                  <c:v>5</c:v>
                </c:pt>
                <c:pt idx="1196">
                  <c:v>4.7777777777777786</c:v>
                </c:pt>
                <c:pt idx="1197">
                  <c:v>4.6111111111111098</c:v>
                </c:pt>
                <c:pt idx="1198">
                  <c:v>4.3888888888888884</c:v>
                </c:pt>
                <c:pt idx="1199">
                  <c:v>4.2222222222222232</c:v>
                </c:pt>
                <c:pt idx="1200">
                  <c:v>4.1111111111111098</c:v>
                </c:pt>
                <c:pt idx="1201">
                  <c:v>4.3888888888888884</c:v>
                </c:pt>
                <c:pt idx="1202">
                  <c:v>4.6111111111111098</c:v>
                </c:pt>
                <c:pt idx="1203">
                  <c:v>4.8888888888888875</c:v>
                </c:pt>
                <c:pt idx="1204">
                  <c:v>5.1111111111111125</c:v>
                </c:pt>
                <c:pt idx="1205">
                  <c:v>5.1111111111111125</c:v>
                </c:pt>
                <c:pt idx="1206">
                  <c:v>5.1111111111111125</c:v>
                </c:pt>
                <c:pt idx="1207">
                  <c:v>5</c:v>
                </c:pt>
                <c:pt idx="1208">
                  <c:v>4.8888888888888875</c:v>
                </c:pt>
                <c:pt idx="1209">
                  <c:v>4.7222222222222223</c:v>
                </c:pt>
                <c:pt idx="1210">
                  <c:v>4.3888888888888884</c:v>
                </c:pt>
                <c:pt idx="1211">
                  <c:v>4.2222222222222232</c:v>
                </c:pt>
                <c:pt idx="1212">
                  <c:v>4.2222222222222232</c:v>
                </c:pt>
                <c:pt idx="1213">
                  <c:v>4.3888888888888884</c:v>
                </c:pt>
                <c:pt idx="1214">
                  <c:v>4.7222222222222223</c:v>
                </c:pt>
                <c:pt idx="1215">
                  <c:v>5</c:v>
                </c:pt>
                <c:pt idx="1216">
                  <c:v>5.1111111111111125</c:v>
                </c:pt>
                <c:pt idx="1217">
                  <c:v>5.2222222222222214</c:v>
                </c:pt>
                <c:pt idx="1218">
                  <c:v>5.2222222222222214</c:v>
                </c:pt>
                <c:pt idx="1219">
                  <c:v>5.2222222222222214</c:v>
                </c:pt>
                <c:pt idx="1220">
                  <c:v>5.1111111111111125</c:v>
                </c:pt>
                <c:pt idx="1221">
                  <c:v>5</c:v>
                </c:pt>
                <c:pt idx="1222">
                  <c:v>4.7777777777777786</c:v>
                </c:pt>
                <c:pt idx="1223">
                  <c:v>4.6111111111111098</c:v>
                </c:pt>
                <c:pt idx="1224">
                  <c:v>4.3888888888888884</c:v>
                </c:pt>
                <c:pt idx="1225">
                  <c:v>4.3888888888888884</c:v>
                </c:pt>
                <c:pt idx="1226">
                  <c:v>4.7222222222222223</c:v>
                </c:pt>
                <c:pt idx="1227">
                  <c:v>4.8888888888888875</c:v>
                </c:pt>
                <c:pt idx="1228">
                  <c:v>5.1111111111111125</c:v>
                </c:pt>
                <c:pt idx="1229">
                  <c:v>5.2222222222222214</c:v>
                </c:pt>
                <c:pt idx="1230">
                  <c:v>5.2222222222222214</c:v>
                </c:pt>
                <c:pt idx="1231">
                  <c:v>5.1111111111111125</c:v>
                </c:pt>
                <c:pt idx="1232">
                  <c:v>5.1111111111111125</c:v>
                </c:pt>
                <c:pt idx="1233">
                  <c:v>5</c:v>
                </c:pt>
                <c:pt idx="1234">
                  <c:v>4.7222222222222223</c:v>
                </c:pt>
                <c:pt idx="1235">
                  <c:v>4.5000000000000009</c:v>
                </c:pt>
                <c:pt idx="1236">
                  <c:v>4.3888888888888884</c:v>
                </c:pt>
                <c:pt idx="1237">
                  <c:v>4.2777777777777795</c:v>
                </c:pt>
                <c:pt idx="1238">
                  <c:v>4.6111111111111098</c:v>
                </c:pt>
                <c:pt idx="1239">
                  <c:v>4.7777777777777786</c:v>
                </c:pt>
                <c:pt idx="1240">
                  <c:v>5.1111111111111125</c:v>
                </c:pt>
                <c:pt idx="1241">
                  <c:v>5.1111111111111125</c:v>
                </c:pt>
                <c:pt idx="1242">
                  <c:v>5.2222222222222214</c:v>
                </c:pt>
                <c:pt idx="1243">
                  <c:v>5.1111111111111125</c:v>
                </c:pt>
                <c:pt idx="1244">
                  <c:v>5.1111111111111125</c:v>
                </c:pt>
                <c:pt idx="1245">
                  <c:v>5.1111111111111125</c:v>
                </c:pt>
                <c:pt idx="1246">
                  <c:v>4.7777777777777786</c:v>
                </c:pt>
                <c:pt idx="1247">
                  <c:v>4.7222222222222223</c:v>
                </c:pt>
                <c:pt idx="1248">
                  <c:v>4.5000000000000009</c:v>
                </c:pt>
                <c:pt idx="1249">
                  <c:v>4.3888888888888884</c:v>
                </c:pt>
                <c:pt idx="1250">
                  <c:v>4.3888888888888884</c:v>
                </c:pt>
                <c:pt idx="1251">
                  <c:v>4.6111111111111098</c:v>
                </c:pt>
                <c:pt idx="1252">
                  <c:v>4.7777777777777786</c:v>
                </c:pt>
                <c:pt idx="1253">
                  <c:v>5</c:v>
                </c:pt>
                <c:pt idx="1254">
                  <c:v>5.1111111111111125</c:v>
                </c:pt>
                <c:pt idx="1255">
                  <c:v>5</c:v>
                </c:pt>
                <c:pt idx="1256">
                  <c:v>5</c:v>
                </c:pt>
                <c:pt idx="1257">
                  <c:v>5</c:v>
                </c:pt>
                <c:pt idx="1258">
                  <c:v>4.7777777777777786</c:v>
                </c:pt>
                <c:pt idx="1259">
                  <c:v>4.6111111111111098</c:v>
                </c:pt>
                <c:pt idx="1260">
                  <c:v>4.3888888888888884</c:v>
                </c:pt>
                <c:pt idx="1261">
                  <c:v>4.2222222222222232</c:v>
                </c:pt>
                <c:pt idx="1262">
                  <c:v>4.2222222222222232</c:v>
                </c:pt>
                <c:pt idx="1263">
                  <c:v>4.5000000000000009</c:v>
                </c:pt>
                <c:pt idx="1264">
                  <c:v>4.6111111111111098</c:v>
                </c:pt>
                <c:pt idx="1265">
                  <c:v>4.8888888888888875</c:v>
                </c:pt>
                <c:pt idx="1266">
                  <c:v>5.1111111111111125</c:v>
                </c:pt>
                <c:pt idx="1267">
                  <c:v>5.1111111111111125</c:v>
                </c:pt>
                <c:pt idx="1268">
                  <c:v>5.1111111111111125</c:v>
                </c:pt>
                <c:pt idx="1269">
                  <c:v>5.1111111111111125</c:v>
                </c:pt>
                <c:pt idx="1270">
                  <c:v>5</c:v>
                </c:pt>
                <c:pt idx="1271">
                  <c:v>4.7777777777777786</c:v>
                </c:pt>
                <c:pt idx="1272">
                  <c:v>4.6111111111111098</c:v>
                </c:pt>
                <c:pt idx="1273">
                  <c:v>4.5000000000000009</c:v>
                </c:pt>
                <c:pt idx="1274">
                  <c:v>4.2777777777777795</c:v>
                </c:pt>
                <c:pt idx="1275">
                  <c:v>4.3888888888888884</c:v>
                </c:pt>
                <c:pt idx="1276">
                  <c:v>4.7222222222222223</c:v>
                </c:pt>
                <c:pt idx="1277">
                  <c:v>4.8888888888888875</c:v>
                </c:pt>
                <c:pt idx="1278">
                  <c:v>5</c:v>
                </c:pt>
                <c:pt idx="1279">
                  <c:v>5.1111111111111125</c:v>
                </c:pt>
                <c:pt idx="1280">
                  <c:v>5.1111111111111125</c:v>
                </c:pt>
                <c:pt idx="1281">
                  <c:v>5</c:v>
                </c:pt>
                <c:pt idx="1282">
                  <c:v>4.8888888888888875</c:v>
                </c:pt>
                <c:pt idx="1283">
                  <c:v>4.7222222222222223</c:v>
                </c:pt>
                <c:pt idx="1284">
                  <c:v>4.3888888888888884</c:v>
                </c:pt>
                <c:pt idx="1285">
                  <c:v>4.2222222222222232</c:v>
                </c:pt>
                <c:pt idx="1286">
                  <c:v>4.1111111111111098</c:v>
                </c:pt>
                <c:pt idx="1287">
                  <c:v>4.0000000000000018</c:v>
                </c:pt>
                <c:pt idx="1288">
                  <c:v>4.3888888888888884</c:v>
                </c:pt>
                <c:pt idx="1289">
                  <c:v>4.5000000000000009</c:v>
                </c:pt>
                <c:pt idx="1290">
                  <c:v>4.6111111111111098</c:v>
                </c:pt>
                <c:pt idx="1291">
                  <c:v>4.6111111111111098</c:v>
                </c:pt>
                <c:pt idx="1292">
                  <c:v>4.6111111111111098</c:v>
                </c:pt>
                <c:pt idx="1293">
                  <c:v>4.6111111111111098</c:v>
                </c:pt>
                <c:pt idx="1294">
                  <c:v>4.6111111111111098</c:v>
                </c:pt>
                <c:pt idx="1295">
                  <c:v>4.3888888888888884</c:v>
                </c:pt>
                <c:pt idx="1296">
                  <c:v>4.2222222222222232</c:v>
                </c:pt>
                <c:pt idx="1297">
                  <c:v>4.0000000000000018</c:v>
                </c:pt>
                <c:pt idx="1298">
                  <c:v>3.8888888888888888</c:v>
                </c:pt>
                <c:pt idx="1299">
                  <c:v>3.7222222222222237</c:v>
                </c:pt>
                <c:pt idx="1300">
                  <c:v>3.7777777777777759</c:v>
                </c:pt>
                <c:pt idx="1301">
                  <c:v>4.1111111111111098</c:v>
                </c:pt>
                <c:pt idx="1302">
                  <c:v>4.2777777777777795</c:v>
                </c:pt>
                <c:pt idx="1303">
                  <c:v>4.3888888888888884</c:v>
                </c:pt>
                <c:pt idx="1304">
                  <c:v>4.5000000000000009</c:v>
                </c:pt>
                <c:pt idx="1305">
                  <c:v>4.3888888888888884</c:v>
                </c:pt>
                <c:pt idx="1306">
                  <c:v>4.3888888888888884</c:v>
                </c:pt>
                <c:pt idx="1307">
                  <c:v>4.2777777777777795</c:v>
                </c:pt>
                <c:pt idx="1308">
                  <c:v>4.0000000000000018</c:v>
                </c:pt>
                <c:pt idx="1310">
                  <c:v>3.7222222222222237</c:v>
                </c:pt>
                <c:pt idx="1311">
                  <c:v>3.4999999999999982</c:v>
                </c:pt>
                <c:pt idx="1312">
                  <c:v>3.4999999999999982</c:v>
                </c:pt>
                <c:pt idx="1313">
                  <c:v>3.7777777777777759</c:v>
                </c:pt>
                <c:pt idx="1314">
                  <c:v>4.0000000000000018</c:v>
                </c:pt>
                <c:pt idx="1315">
                  <c:v>4.2222222222222232</c:v>
                </c:pt>
                <c:pt idx="1316">
                  <c:v>4.3888888888888884</c:v>
                </c:pt>
                <c:pt idx="1317">
                  <c:v>4.3888888888888884</c:v>
                </c:pt>
                <c:pt idx="1318">
                  <c:v>4.3888888888888884</c:v>
                </c:pt>
                <c:pt idx="1319">
                  <c:v>4.2222222222222232</c:v>
                </c:pt>
                <c:pt idx="1320">
                  <c:v>4.0000000000000018</c:v>
                </c:pt>
                <c:pt idx="1321">
                  <c:v>3.7222222222222237</c:v>
                </c:pt>
                <c:pt idx="1322">
                  <c:v>3.4999999999999982</c:v>
                </c:pt>
                <c:pt idx="1323">
                  <c:v>3.2777777777777768</c:v>
                </c:pt>
                <c:pt idx="1324">
                  <c:v>3.2222222222222205</c:v>
                </c:pt>
                <c:pt idx="1325">
                  <c:v>3.6111111111111112</c:v>
                </c:pt>
                <c:pt idx="1326">
                  <c:v>3.7777777777777759</c:v>
                </c:pt>
                <c:pt idx="1327">
                  <c:v>4.1111111111111098</c:v>
                </c:pt>
                <c:pt idx="1328">
                  <c:v>4.2222222222222232</c:v>
                </c:pt>
                <c:pt idx="1329">
                  <c:v>4.2222222222222232</c:v>
                </c:pt>
                <c:pt idx="1330">
                  <c:v>4.2222222222222232</c:v>
                </c:pt>
                <c:pt idx="1331">
                  <c:v>4.1111111111111098</c:v>
                </c:pt>
                <c:pt idx="1332">
                  <c:v>3.7777777777777759</c:v>
                </c:pt>
                <c:pt idx="1333">
                  <c:v>3.3888888888888897</c:v>
                </c:pt>
                <c:pt idx="1334">
                  <c:v>3.2222222222222205</c:v>
                </c:pt>
                <c:pt idx="1335">
                  <c:v>2.9999999999999991</c:v>
                </c:pt>
                <c:pt idx="1336">
                  <c:v>2.7777777777777777</c:v>
                </c:pt>
                <c:pt idx="1337">
                  <c:v>2.8888888888888906</c:v>
                </c:pt>
                <c:pt idx="1338">
                  <c:v>3.2222222222222205</c:v>
                </c:pt>
                <c:pt idx="1339">
                  <c:v>3.3888888888888897</c:v>
                </c:pt>
                <c:pt idx="1340">
                  <c:v>3.7222222222222237</c:v>
                </c:pt>
                <c:pt idx="1341">
                  <c:v>3.8888888888888888</c:v>
                </c:pt>
                <c:pt idx="1342">
                  <c:v>3.8888888888888888</c:v>
                </c:pt>
                <c:pt idx="1343">
                  <c:v>3.8888888888888888</c:v>
                </c:pt>
                <c:pt idx="1344">
                  <c:v>3.7777777777777759</c:v>
                </c:pt>
                <c:pt idx="1345">
                  <c:v>3.4999999999999982</c:v>
                </c:pt>
                <c:pt idx="1346">
                  <c:v>3.2222222222222205</c:v>
                </c:pt>
                <c:pt idx="1347">
                  <c:v>2.8888888888888906</c:v>
                </c:pt>
                <c:pt idx="1348">
                  <c:v>2.7222222222222214</c:v>
                </c:pt>
                <c:pt idx="1349">
                  <c:v>2.7777777777777777</c:v>
                </c:pt>
                <c:pt idx="1350">
                  <c:v>3.2222222222222205</c:v>
                </c:pt>
                <c:pt idx="1351">
                  <c:v>3.3888888888888897</c:v>
                </c:pt>
                <c:pt idx="1352">
                  <c:v>3.7222222222222237</c:v>
                </c:pt>
                <c:pt idx="1353">
                  <c:v>3.8888888888888888</c:v>
                </c:pt>
                <c:pt idx="1354">
                  <c:v>3.8888888888888888</c:v>
                </c:pt>
                <c:pt idx="1355">
                  <c:v>3.8888888888888888</c:v>
                </c:pt>
                <c:pt idx="1356">
                  <c:v>3.7777777777777759</c:v>
                </c:pt>
                <c:pt idx="1357">
                  <c:v>3.6111111111111112</c:v>
                </c:pt>
                <c:pt idx="1358">
                  <c:v>3.2222222222222205</c:v>
                </c:pt>
                <c:pt idx="1359">
                  <c:v>2.8888888888888906</c:v>
                </c:pt>
                <c:pt idx="1360">
                  <c:v>2.7222222222222214</c:v>
                </c:pt>
                <c:pt idx="1361">
                  <c:v>2.5</c:v>
                </c:pt>
                <c:pt idx="1362">
                  <c:v>2.7222222222222214</c:v>
                </c:pt>
                <c:pt idx="1363">
                  <c:v>2.9999999999999991</c:v>
                </c:pt>
                <c:pt idx="1364">
                  <c:v>3.2777777777777768</c:v>
                </c:pt>
                <c:pt idx="1365">
                  <c:v>3.6111111111111112</c:v>
                </c:pt>
                <c:pt idx="1366">
                  <c:v>3.7777777777777759</c:v>
                </c:pt>
                <c:pt idx="1367">
                  <c:v>3.7777777777777759</c:v>
                </c:pt>
                <c:pt idx="1368">
                  <c:v>3.7777777777777759</c:v>
                </c:pt>
                <c:pt idx="1369">
                  <c:v>3.6111111111111112</c:v>
                </c:pt>
                <c:pt idx="1370">
                  <c:v>3.2777777777777768</c:v>
                </c:pt>
                <c:pt idx="1371">
                  <c:v>2.8888888888888906</c:v>
                </c:pt>
                <c:pt idx="1372">
                  <c:v>2.6111111111111125</c:v>
                </c:pt>
                <c:pt idx="1373">
                  <c:v>2.3888888888888871</c:v>
                </c:pt>
                <c:pt idx="1374">
                  <c:v>2.5</c:v>
                </c:pt>
                <c:pt idx="1375">
                  <c:v>2.9999999999999991</c:v>
                </c:pt>
                <c:pt idx="1376">
                  <c:v>3.2777777777777768</c:v>
                </c:pt>
                <c:pt idx="1377">
                  <c:v>3.6111111111111112</c:v>
                </c:pt>
                <c:pt idx="1378">
                  <c:v>3.7222222222222237</c:v>
                </c:pt>
                <c:pt idx="1379">
                  <c:v>3.7777777777777759</c:v>
                </c:pt>
                <c:pt idx="1380">
                  <c:v>3.6111111111111112</c:v>
                </c:pt>
                <c:pt idx="1381">
                  <c:v>3.6111111111111112</c:v>
                </c:pt>
                <c:pt idx="1382">
                  <c:v>3.3888888888888897</c:v>
                </c:pt>
                <c:pt idx="1383">
                  <c:v>2.8888888888888906</c:v>
                </c:pt>
                <c:pt idx="1384">
                  <c:v>2.7222222222222214</c:v>
                </c:pt>
                <c:pt idx="1385">
                  <c:v>2.5</c:v>
                </c:pt>
                <c:pt idx="1386">
                  <c:v>2.3888888888888871</c:v>
                </c:pt>
                <c:pt idx="1387">
                  <c:v>2.5</c:v>
                </c:pt>
                <c:pt idx="1388">
                  <c:v>2.8888888888888906</c:v>
                </c:pt>
                <c:pt idx="1389">
                  <c:v>3.1111111111111116</c:v>
                </c:pt>
                <c:pt idx="1390">
                  <c:v>3.4999999999999982</c:v>
                </c:pt>
                <c:pt idx="1391">
                  <c:v>3.7222222222222237</c:v>
                </c:pt>
                <c:pt idx="1392">
                  <c:v>3.7777777777777759</c:v>
                </c:pt>
                <c:pt idx="1393">
                  <c:v>3.7222222222222237</c:v>
                </c:pt>
                <c:pt idx="1394">
                  <c:v>3.4999999999999982</c:v>
                </c:pt>
                <c:pt idx="1395">
                  <c:v>3.2777777777777768</c:v>
                </c:pt>
                <c:pt idx="1396">
                  <c:v>2.8888888888888906</c:v>
                </c:pt>
                <c:pt idx="1397">
                  <c:v>2.6111111111111125</c:v>
                </c:pt>
                <c:pt idx="1398">
                  <c:v>2.5</c:v>
                </c:pt>
                <c:pt idx="1399">
                  <c:v>2.7222222222222214</c:v>
                </c:pt>
                <c:pt idx="1400">
                  <c:v>3.2222222222222205</c:v>
                </c:pt>
                <c:pt idx="1401">
                  <c:v>3.3888888888888897</c:v>
                </c:pt>
                <c:pt idx="1402">
                  <c:v>3.6111111111111112</c:v>
                </c:pt>
                <c:pt idx="1403">
                  <c:v>3.7222222222222237</c:v>
                </c:pt>
                <c:pt idx="1404">
                  <c:v>3.7777777777777759</c:v>
                </c:pt>
                <c:pt idx="1405">
                  <c:v>3.7222222222222237</c:v>
                </c:pt>
                <c:pt idx="1406">
                  <c:v>3.7222222222222237</c:v>
                </c:pt>
                <c:pt idx="1407">
                  <c:v>3.3888888888888897</c:v>
                </c:pt>
                <c:pt idx="1408">
                  <c:v>2.9999999999999991</c:v>
                </c:pt>
                <c:pt idx="1409">
                  <c:v>2.7222222222222214</c:v>
                </c:pt>
                <c:pt idx="1410">
                  <c:v>2.5</c:v>
                </c:pt>
                <c:pt idx="1411">
                  <c:v>2.3888888888888871</c:v>
                </c:pt>
                <c:pt idx="1412">
                  <c:v>2.5</c:v>
                </c:pt>
                <c:pt idx="1413">
                  <c:v>2.9999999999999991</c:v>
                </c:pt>
                <c:pt idx="1414">
                  <c:v>3.1111111111111116</c:v>
                </c:pt>
                <c:pt idx="1415">
                  <c:v>3.2777777777777768</c:v>
                </c:pt>
                <c:pt idx="1416">
                  <c:v>3.4999999999999982</c:v>
                </c:pt>
                <c:pt idx="1417">
                  <c:v>3.6111111111111112</c:v>
                </c:pt>
                <c:pt idx="1418">
                  <c:v>3.4999999999999982</c:v>
                </c:pt>
                <c:pt idx="1419">
                  <c:v>3.2777777777777768</c:v>
                </c:pt>
                <c:pt idx="1420">
                  <c:v>3.1111111111111116</c:v>
                </c:pt>
                <c:pt idx="1421">
                  <c:v>2.7222222222222214</c:v>
                </c:pt>
                <c:pt idx="1422">
                  <c:v>2.5</c:v>
                </c:pt>
                <c:pt idx="1423">
                  <c:v>2.2777777777777786</c:v>
                </c:pt>
                <c:pt idx="1424">
                  <c:v>2.5</c:v>
                </c:pt>
                <c:pt idx="1425">
                  <c:v>2.7777777777777777</c:v>
                </c:pt>
                <c:pt idx="1426">
                  <c:v>2.9999999999999991</c:v>
                </c:pt>
                <c:pt idx="1427">
                  <c:v>3.2777777777777768</c:v>
                </c:pt>
                <c:pt idx="1428">
                  <c:v>3.4999999999999982</c:v>
                </c:pt>
                <c:pt idx="1429">
                  <c:v>3.6111111111111112</c:v>
                </c:pt>
                <c:pt idx="1430">
                  <c:v>3.4999999999999982</c:v>
                </c:pt>
                <c:pt idx="1431">
                  <c:v>3.3888888888888897</c:v>
                </c:pt>
                <c:pt idx="1432">
                  <c:v>3.2222222222222205</c:v>
                </c:pt>
                <c:pt idx="1433">
                  <c:v>2.7777777777777777</c:v>
                </c:pt>
                <c:pt idx="1434">
                  <c:v>2.5</c:v>
                </c:pt>
                <c:pt idx="1435">
                  <c:v>2.3888888888888871</c:v>
                </c:pt>
                <c:pt idx="1436">
                  <c:v>2.2777777777777786</c:v>
                </c:pt>
                <c:pt idx="1437">
                  <c:v>2.5</c:v>
                </c:pt>
                <c:pt idx="1438">
                  <c:v>2.7222222222222214</c:v>
                </c:pt>
                <c:pt idx="1439">
                  <c:v>2.9999999999999991</c:v>
                </c:pt>
                <c:pt idx="1440">
                  <c:v>3.2777777777777768</c:v>
                </c:pt>
                <c:pt idx="1441">
                  <c:v>3.6111111111111112</c:v>
                </c:pt>
                <c:pt idx="1442">
                  <c:v>3.8888888888888888</c:v>
                </c:pt>
                <c:pt idx="1443">
                  <c:v>3.7777777777777759</c:v>
                </c:pt>
                <c:pt idx="1444">
                  <c:v>3.6111111111111112</c:v>
                </c:pt>
                <c:pt idx="1445">
                  <c:v>3.2777777777777768</c:v>
                </c:pt>
                <c:pt idx="1446">
                  <c:v>2.9999999999999991</c:v>
                </c:pt>
                <c:pt idx="1447">
                  <c:v>2.7222222222222214</c:v>
                </c:pt>
                <c:pt idx="1448">
                  <c:v>2.6111111111111125</c:v>
                </c:pt>
                <c:pt idx="1449">
                  <c:v>2.7777777777777777</c:v>
                </c:pt>
                <c:pt idx="1450">
                  <c:v>3.2222222222222205</c:v>
                </c:pt>
                <c:pt idx="1451">
                  <c:v>3.3888888888888897</c:v>
                </c:pt>
                <c:pt idx="1452">
                  <c:v>3.7222222222222237</c:v>
                </c:pt>
                <c:pt idx="1453">
                  <c:v>4.0000000000000018</c:v>
                </c:pt>
                <c:pt idx="1454">
                  <c:v>4.0000000000000018</c:v>
                </c:pt>
                <c:pt idx="1455">
                  <c:v>4.0000000000000018</c:v>
                </c:pt>
                <c:pt idx="1456">
                  <c:v>4.0000000000000018</c:v>
                </c:pt>
                <c:pt idx="1457">
                  <c:v>3.7777777777777759</c:v>
                </c:pt>
                <c:pt idx="1458">
                  <c:v>3.3888888888888897</c:v>
                </c:pt>
                <c:pt idx="1459">
                  <c:v>2.9999999999999991</c:v>
                </c:pt>
                <c:pt idx="1460">
                  <c:v>2.7777777777777777</c:v>
                </c:pt>
                <c:pt idx="1461">
                  <c:v>2.7222222222222214</c:v>
                </c:pt>
                <c:pt idx="1462">
                  <c:v>2.7222222222222214</c:v>
                </c:pt>
                <c:pt idx="1463">
                  <c:v>3.1111111111111116</c:v>
                </c:pt>
                <c:pt idx="1464">
                  <c:v>3.3888888888888897</c:v>
                </c:pt>
                <c:pt idx="1465">
                  <c:v>3.6111111111111112</c:v>
                </c:pt>
                <c:pt idx="1466">
                  <c:v>3.7777777777777759</c:v>
                </c:pt>
                <c:pt idx="1467">
                  <c:v>3.8888888888888888</c:v>
                </c:pt>
                <c:pt idx="1468">
                  <c:v>3.7777777777777759</c:v>
                </c:pt>
                <c:pt idx="1469">
                  <c:v>3.6111111111111112</c:v>
                </c:pt>
                <c:pt idx="1470">
                  <c:v>3.2777777777777768</c:v>
                </c:pt>
                <c:pt idx="1471">
                  <c:v>2.9999999999999991</c:v>
                </c:pt>
                <c:pt idx="1472">
                  <c:v>2.7222222222222214</c:v>
                </c:pt>
                <c:pt idx="1473">
                  <c:v>2.5</c:v>
                </c:pt>
                <c:pt idx="1474">
                  <c:v>2.7222222222222214</c:v>
                </c:pt>
                <c:pt idx="1475">
                  <c:v>3.1111111111111116</c:v>
                </c:pt>
                <c:pt idx="1476">
                  <c:v>3.2777777777777768</c:v>
                </c:pt>
                <c:pt idx="1477">
                  <c:v>3.4999999999999982</c:v>
                </c:pt>
                <c:pt idx="1478">
                  <c:v>3.7222222222222237</c:v>
                </c:pt>
                <c:pt idx="1479">
                  <c:v>3.7777777777777759</c:v>
                </c:pt>
                <c:pt idx="1480">
                  <c:v>3.7777777777777759</c:v>
                </c:pt>
                <c:pt idx="1481">
                  <c:v>3.7777777777777759</c:v>
                </c:pt>
                <c:pt idx="1482">
                  <c:v>3.7222222222222237</c:v>
                </c:pt>
                <c:pt idx="1483">
                  <c:v>3.3888888888888897</c:v>
                </c:pt>
                <c:pt idx="1484">
                  <c:v>3.2222222222222205</c:v>
                </c:pt>
                <c:pt idx="1485">
                  <c:v>2.9999999999999991</c:v>
                </c:pt>
                <c:pt idx="1486">
                  <c:v>2.8888888888888906</c:v>
                </c:pt>
                <c:pt idx="1487">
                  <c:v>2.9999999999999991</c:v>
                </c:pt>
                <c:pt idx="1488">
                  <c:v>3.3888888888888897</c:v>
                </c:pt>
                <c:pt idx="1489">
                  <c:v>3.4999999999999982</c:v>
                </c:pt>
                <c:pt idx="1490">
                  <c:v>3.6111111111111112</c:v>
                </c:pt>
                <c:pt idx="1491">
                  <c:v>3.7222222222222237</c:v>
                </c:pt>
                <c:pt idx="1492">
                  <c:v>3.7777777777777759</c:v>
                </c:pt>
                <c:pt idx="1493">
                  <c:v>3.7222222222222237</c:v>
                </c:pt>
                <c:pt idx="1494">
                  <c:v>3.7222222222222237</c:v>
                </c:pt>
                <c:pt idx="1495">
                  <c:v>3.6111111111111112</c:v>
                </c:pt>
                <c:pt idx="1496">
                  <c:v>3.2777777777777768</c:v>
                </c:pt>
                <c:pt idx="1497">
                  <c:v>3.1111111111111116</c:v>
                </c:pt>
                <c:pt idx="1498">
                  <c:v>2.9999999999999991</c:v>
                </c:pt>
                <c:pt idx="1499">
                  <c:v>3.2777777777777768</c:v>
                </c:pt>
                <c:pt idx="1500">
                  <c:v>3.4999999999999982</c:v>
                </c:pt>
                <c:pt idx="1501">
                  <c:v>3.6111111111111112</c:v>
                </c:pt>
                <c:pt idx="1502">
                  <c:v>3.6111111111111112</c:v>
                </c:pt>
                <c:pt idx="1503">
                  <c:v>3.6111111111111112</c:v>
                </c:pt>
                <c:pt idx="1504">
                  <c:v>3.6111111111111112</c:v>
                </c:pt>
                <c:pt idx="1505">
                  <c:v>3.6111111111111112</c:v>
                </c:pt>
                <c:pt idx="1506">
                  <c:v>3.6111111111111112</c:v>
                </c:pt>
                <c:pt idx="1507">
                  <c:v>3.3888888888888897</c:v>
                </c:pt>
                <c:pt idx="1508">
                  <c:v>3.2222222222222205</c:v>
                </c:pt>
                <c:pt idx="1509">
                  <c:v>2.9999999999999991</c:v>
                </c:pt>
                <c:pt idx="1510">
                  <c:v>2.7777777777777777</c:v>
                </c:pt>
                <c:pt idx="1511">
                  <c:v>2.7222222222222214</c:v>
                </c:pt>
                <c:pt idx="1512">
                  <c:v>2.7777777777777777</c:v>
                </c:pt>
                <c:pt idx="1513">
                  <c:v>2.9999999999999991</c:v>
                </c:pt>
                <c:pt idx="1514">
                  <c:v>3.2222222222222205</c:v>
                </c:pt>
                <c:pt idx="1515">
                  <c:v>3.2777777777777768</c:v>
                </c:pt>
                <c:pt idx="1516">
                  <c:v>3.4999999999999982</c:v>
                </c:pt>
                <c:pt idx="1517">
                  <c:v>3.6111111111111112</c:v>
                </c:pt>
                <c:pt idx="1518">
                  <c:v>3.4999999999999982</c:v>
                </c:pt>
                <c:pt idx="1519">
                  <c:v>3.2777777777777768</c:v>
                </c:pt>
                <c:pt idx="1520">
                  <c:v>3.1111111111111116</c:v>
                </c:pt>
                <c:pt idx="1521">
                  <c:v>2.7777777777777777</c:v>
                </c:pt>
                <c:pt idx="1522">
                  <c:v>2.6111111111111125</c:v>
                </c:pt>
                <c:pt idx="1523">
                  <c:v>2.6111111111111125</c:v>
                </c:pt>
                <c:pt idx="1524">
                  <c:v>2.7222222222222214</c:v>
                </c:pt>
                <c:pt idx="1525">
                  <c:v>2.9999999999999991</c:v>
                </c:pt>
                <c:pt idx="1526">
                  <c:v>3.2222222222222205</c:v>
                </c:pt>
                <c:pt idx="1527">
                  <c:v>3.4999999999999982</c:v>
                </c:pt>
                <c:pt idx="1528">
                  <c:v>3.7222222222222237</c:v>
                </c:pt>
                <c:pt idx="1529">
                  <c:v>3.7777777777777759</c:v>
                </c:pt>
                <c:pt idx="1530">
                  <c:v>3.7777777777777759</c:v>
                </c:pt>
                <c:pt idx="1531">
                  <c:v>3.6111111111111112</c:v>
                </c:pt>
                <c:pt idx="1532">
                  <c:v>3.2777777777777768</c:v>
                </c:pt>
                <c:pt idx="1533">
                  <c:v>3.1111111111111116</c:v>
                </c:pt>
                <c:pt idx="1534">
                  <c:v>2.8888888888888906</c:v>
                </c:pt>
                <c:pt idx="1535">
                  <c:v>2.8888888888888906</c:v>
                </c:pt>
                <c:pt idx="1536">
                  <c:v>2.7777777777777777</c:v>
                </c:pt>
                <c:pt idx="1537">
                  <c:v>2.9999999999999991</c:v>
                </c:pt>
                <c:pt idx="1538">
                  <c:v>3.3888888888888897</c:v>
                </c:pt>
                <c:pt idx="1539">
                  <c:v>3.7222222222222237</c:v>
                </c:pt>
                <c:pt idx="1540">
                  <c:v>3.7777777777777759</c:v>
                </c:pt>
                <c:pt idx="1541">
                  <c:v>4.0000000000000018</c:v>
                </c:pt>
                <c:pt idx="1542">
                  <c:v>3.7222222222222237</c:v>
                </c:pt>
                <c:pt idx="1543">
                  <c:v>3.7222222222222237</c:v>
                </c:pt>
                <c:pt idx="1544">
                  <c:v>3.4999999999999982</c:v>
                </c:pt>
                <c:pt idx="1545">
                  <c:v>3.1111111111111116</c:v>
                </c:pt>
                <c:pt idx="1546">
                  <c:v>2.7777777777777777</c:v>
                </c:pt>
                <c:pt idx="1547">
                  <c:v>2.7222222222222214</c:v>
                </c:pt>
                <c:pt idx="1548">
                  <c:v>2.7222222222222214</c:v>
                </c:pt>
                <c:pt idx="1549">
                  <c:v>2.8888888888888906</c:v>
                </c:pt>
                <c:pt idx="1550">
                  <c:v>3.2777777777777768</c:v>
                </c:pt>
                <c:pt idx="1551">
                  <c:v>3.7222222222222237</c:v>
                </c:pt>
                <c:pt idx="1552">
                  <c:v>3.8888888888888888</c:v>
                </c:pt>
                <c:pt idx="1553">
                  <c:v>4.0000000000000018</c:v>
                </c:pt>
                <c:pt idx="1554">
                  <c:v>4.1111111111111098</c:v>
                </c:pt>
                <c:pt idx="1555">
                  <c:v>4.1111111111111098</c:v>
                </c:pt>
                <c:pt idx="1556">
                  <c:v>3.8888888888888888</c:v>
                </c:pt>
                <c:pt idx="1557">
                  <c:v>3.7222222222222237</c:v>
                </c:pt>
                <c:pt idx="1558">
                  <c:v>3.3888888888888897</c:v>
                </c:pt>
                <c:pt idx="1559">
                  <c:v>3.2222222222222205</c:v>
                </c:pt>
                <c:pt idx="1560">
                  <c:v>3.2222222222222205</c:v>
                </c:pt>
                <c:pt idx="1561">
                  <c:v>3.2777777777777768</c:v>
                </c:pt>
                <c:pt idx="1562">
                  <c:v>3.6111111111111112</c:v>
                </c:pt>
                <c:pt idx="1563">
                  <c:v>3.7777777777777759</c:v>
                </c:pt>
                <c:pt idx="1564">
                  <c:v>4.0000000000000018</c:v>
                </c:pt>
                <c:pt idx="1565">
                  <c:v>4.1111111111111098</c:v>
                </c:pt>
                <c:pt idx="1566">
                  <c:v>4.1111111111111098</c:v>
                </c:pt>
                <c:pt idx="1567">
                  <c:v>4.0000000000000018</c:v>
                </c:pt>
                <c:pt idx="1568">
                  <c:v>3.8888888888888888</c:v>
                </c:pt>
                <c:pt idx="1569">
                  <c:v>3.7777777777777759</c:v>
                </c:pt>
                <c:pt idx="1570">
                  <c:v>3.3888888888888897</c:v>
                </c:pt>
                <c:pt idx="1571">
                  <c:v>3.2777777777777768</c:v>
                </c:pt>
                <c:pt idx="1572">
                  <c:v>3.1111111111111116</c:v>
                </c:pt>
                <c:pt idx="1573">
                  <c:v>3.2777777777777768</c:v>
                </c:pt>
                <c:pt idx="1574">
                  <c:v>3.6111111111111112</c:v>
                </c:pt>
                <c:pt idx="1575">
                  <c:v>3.7777777777777759</c:v>
                </c:pt>
                <c:pt idx="1576">
                  <c:v>4.0000000000000018</c:v>
                </c:pt>
                <c:pt idx="1577">
                  <c:v>4.0000000000000018</c:v>
                </c:pt>
                <c:pt idx="1578">
                  <c:v>4.1111111111111098</c:v>
                </c:pt>
                <c:pt idx="1579">
                  <c:v>4.1111111111111098</c:v>
                </c:pt>
                <c:pt idx="1580">
                  <c:v>4.0000000000000018</c:v>
                </c:pt>
                <c:pt idx="1581">
                  <c:v>3.8888888888888888</c:v>
                </c:pt>
                <c:pt idx="1582">
                  <c:v>3.7222222222222237</c:v>
                </c:pt>
                <c:pt idx="1583">
                  <c:v>3.6111111111111112</c:v>
                </c:pt>
                <c:pt idx="1584">
                  <c:v>3.3888888888888897</c:v>
                </c:pt>
                <c:pt idx="1585">
                  <c:v>3.3888888888888897</c:v>
                </c:pt>
                <c:pt idx="1586">
                  <c:v>3.4999999999999982</c:v>
                </c:pt>
                <c:pt idx="1587">
                  <c:v>3.7777777777777759</c:v>
                </c:pt>
                <c:pt idx="1588">
                  <c:v>3.7777777777777759</c:v>
                </c:pt>
                <c:pt idx="1589">
                  <c:v>3.8888888888888888</c:v>
                </c:pt>
                <c:pt idx="1590">
                  <c:v>3.8888888888888888</c:v>
                </c:pt>
                <c:pt idx="1591">
                  <c:v>3.8888888888888888</c:v>
                </c:pt>
                <c:pt idx="1592">
                  <c:v>3.8888888888888888</c:v>
                </c:pt>
                <c:pt idx="1593">
                  <c:v>3.7777777777777759</c:v>
                </c:pt>
                <c:pt idx="1594">
                  <c:v>3.4999999999999982</c:v>
                </c:pt>
                <c:pt idx="1595">
                  <c:v>3.2777777777777768</c:v>
                </c:pt>
                <c:pt idx="1596">
                  <c:v>3.2222222222222205</c:v>
                </c:pt>
                <c:pt idx="1597">
                  <c:v>3.2222222222222205</c:v>
                </c:pt>
                <c:pt idx="1598">
                  <c:v>3.2777777777777768</c:v>
                </c:pt>
                <c:pt idx="1599">
                  <c:v>3.4999999999999982</c:v>
                </c:pt>
                <c:pt idx="1600">
                  <c:v>3.7222222222222237</c:v>
                </c:pt>
                <c:pt idx="1601">
                  <c:v>3.8888888888888888</c:v>
                </c:pt>
                <c:pt idx="1602">
                  <c:v>4.0000000000000018</c:v>
                </c:pt>
                <c:pt idx="1603">
                  <c:v>4.0000000000000018</c:v>
                </c:pt>
                <c:pt idx="1604">
                  <c:v>4.0000000000000018</c:v>
                </c:pt>
                <c:pt idx="1605">
                  <c:v>4.0000000000000018</c:v>
                </c:pt>
                <c:pt idx="1606">
                  <c:v>3.7777777777777759</c:v>
                </c:pt>
                <c:pt idx="1607">
                  <c:v>3.7222222222222237</c:v>
                </c:pt>
                <c:pt idx="1608">
                  <c:v>3.6111111111111112</c:v>
                </c:pt>
                <c:pt idx="1609">
                  <c:v>3.4999999999999982</c:v>
                </c:pt>
                <c:pt idx="1610">
                  <c:v>3.6111111111111112</c:v>
                </c:pt>
                <c:pt idx="1611">
                  <c:v>3.7777777777777759</c:v>
                </c:pt>
                <c:pt idx="1612">
                  <c:v>3.8888888888888888</c:v>
                </c:pt>
                <c:pt idx="1613">
                  <c:v>4.0000000000000018</c:v>
                </c:pt>
                <c:pt idx="1614">
                  <c:v>4.0000000000000018</c:v>
                </c:pt>
                <c:pt idx="1615">
                  <c:v>4.0000000000000018</c:v>
                </c:pt>
                <c:pt idx="1616">
                  <c:v>4.0000000000000018</c:v>
                </c:pt>
                <c:pt idx="1617">
                  <c:v>3.8888888888888888</c:v>
                </c:pt>
                <c:pt idx="1618">
                  <c:v>3.7777777777777759</c:v>
                </c:pt>
                <c:pt idx="1619">
                  <c:v>3.6111111111111112</c:v>
                </c:pt>
                <c:pt idx="1620">
                  <c:v>3.4999999999999982</c:v>
                </c:pt>
                <c:pt idx="1621">
                  <c:v>3.3888888888888897</c:v>
                </c:pt>
                <c:pt idx="1622">
                  <c:v>3.4999999999999982</c:v>
                </c:pt>
                <c:pt idx="1623">
                  <c:v>3.6111111111111112</c:v>
                </c:pt>
                <c:pt idx="1624">
                  <c:v>3.7777777777777759</c:v>
                </c:pt>
                <c:pt idx="1625">
                  <c:v>3.8888888888888888</c:v>
                </c:pt>
                <c:pt idx="1626">
                  <c:v>4.0000000000000018</c:v>
                </c:pt>
                <c:pt idx="1627">
                  <c:v>4.0000000000000018</c:v>
                </c:pt>
                <c:pt idx="1628">
                  <c:v>4.1111111111111098</c:v>
                </c:pt>
                <c:pt idx="1629">
                  <c:v>4.1111111111111098</c:v>
                </c:pt>
                <c:pt idx="1630">
                  <c:v>4.1111111111111098</c:v>
                </c:pt>
                <c:pt idx="1631">
                  <c:v>4.0000000000000018</c:v>
                </c:pt>
                <c:pt idx="1632">
                  <c:v>3.8888888888888888</c:v>
                </c:pt>
                <c:pt idx="1633">
                  <c:v>3.7777777777777759</c:v>
                </c:pt>
                <c:pt idx="1634">
                  <c:v>3.7777777777777759</c:v>
                </c:pt>
                <c:pt idx="1635">
                  <c:v>3.8888888888888888</c:v>
                </c:pt>
                <c:pt idx="1636">
                  <c:v>4.0000000000000018</c:v>
                </c:pt>
                <c:pt idx="1637">
                  <c:v>4.0000000000000018</c:v>
                </c:pt>
                <c:pt idx="1638">
                  <c:v>4.1111111111111098</c:v>
                </c:pt>
                <c:pt idx="1639">
                  <c:v>4.1111111111111098</c:v>
                </c:pt>
                <c:pt idx="1640">
                  <c:v>4.0000000000000018</c:v>
                </c:pt>
                <c:pt idx="1641">
                  <c:v>4.0000000000000018</c:v>
                </c:pt>
                <c:pt idx="1642">
                  <c:v>4.0000000000000018</c:v>
                </c:pt>
                <c:pt idx="1643">
                  <c:v>3.7777777777777759</c:v>
                </c:pt>
                <c:pt idx="1644">
                  <c:v>3.7222222222222237</c:v>
                </c:pt>
                <c:pt idx="1645">
                  <c:v>3.7222222222222237</c:v>
                </c:pt>
                <c:pt idx="1646">
                  <c:v>3.7222222222222237</c:v>
                </c:pt>
                <c:pt idx="1647">
                  <c:v>3.7222222222222237</c:v>
                </c:pt>
                <c:pt idx="1648">
                  <c:v>3.7777777777777759</c:v>
                </c:pt>
                <c:pt idx="1649">
                  <c:v>3.8888888888888888</c:v>
                </c:pt>
                <c:pt idx="1650">
                  <c:v>4.0000000000000018</c:v>
                </c:pt>
                <c:pt idx="1651">
                  <c:v>4.1111111111111098</c:v>
                </c:pt>
                <c:pt idx="1652">
                  <c:v>4.2222222222222232</c:v>
                </c:pt>
                <c:pt idx="1653">
                  <c:v>4.2222222222222232</c:v>
                </c:pt>
                <c:pt idx="1654">
                  <c:v>4.2222222222222232</c:v>
                </c:pt>
                <c:pt idx="1655">
                  <c:v>4.2222222222222232</c:v>
                </c:pt>
                <c:pt idx="1656">
                  <c:v>4.1111111111111098</c:v>
                </c:pt>
                <c:pt idx="1657">
                  <c:v>4.1111111111111098</c:v>
                </c:pt>
                <c:pt idx="1658">
                  <c:v>4.0000000000000018</c:v>
                </c:pt>
                <c:pt idx="1659">
                  <c:v>4.1111111111111098</c:v>
                </c:pt>
                <c:pt idx="1660">
                  <c:v>4.2222222222222232</c:v>
                </c:pt>
                <c:pt idx="1661">
                  <c:v>4.2222222222222232</c:v>
                </c:pt>
                <c:pt idx="1662">
                  <c:v>4.2222222222222232</c:v>
                </c:pt>
                <c:pt idx="1663">
                  <c:v>4.1111111111111098</c:v>
                </c:pt>
                <c:pt idx="1664">
                  <c:v>4.1111111111111098</c:v>
                </c:pt>
                <c:pt idx="1665">
                  <c:v>4.1111111111111098</c:v>
                </c:pt>
                <c:pt idx="1666">
                  <c:v>4.1111111111111098</c:v>
                </c:pt>
                <c:pt idx="1667">
                  <c:v>4.1111111111111098</c:v>
                </c:pt>
                <c:pt idx="1668">
                  <c:v>4.1111111111111098</c:v>
                </c:pt>
                <c:pt idx="1669">
                  <c:v>4.0000000000000018</c:v>
                </c:pt>
                <c:pt idx="1670">
                  <c:v>4.0000000000000018</c:v>
                </c:pt>
                <c:pt idx="1671">
                  <c:v>4.0000000000000018</c:v>
                </c:pt>
                <c:pt idx="1672">
                  <c:v>4.0000000000000018</c:v>
                </c:pt>
                <c:pt idx="1673">
                  <c:v>4.1111111111111098</c:v>
                </c:pt>
                <c:pt idx="1674">
                  <c:v>4.1111111111111098</c:v>
                </c:pt>
                <c:pt idx="1675">
                  <c:v>4.1111111111111098</c:v>
                </c:pt>
                <c:pt idx="1676">
                  <c:v>4.2222222222222232</c:v>
                </c:pt>
                <c:pt idx="1677">
                  <c:v>4.2222222222222232</c:v>
                </c:pt>
                <c:pt idx="1678">
                  <c:v>4.2222222222222232</c:v>
                </c:pt>
                <c:pt idx="1679">
                  <c:v>4.1111111111111098</c:v>
                </c:pt>
                <c:pt idx="1680">
                  <c:v>4.1111111111111098</c:v>
                </c:pt>
                <c:pt idx="1681">
                  <c:v>4.1111111111111098</c:v>
                </c:pt>
                <c:pt idx="1682">
                  <c:v>4.0000000000000018</c:v>
                </c:pt>
                <c:pt idx="1683">
                  <c:v>4.0000000000000018</c:v>
                </c:pt>
                <c:pt idx="1684">
                  <c:v>4.0000000000000018</c:v>
                </c:pt>
                <c:pt idx="1685">
                  <c:v>4.1111111111111098</c:v>
                </c:pt>
                <c:pt idx="1686">
                  <c:v>4.1111111111111098</c:v>
                </c:pt>
                <c:pt idx="1687">
                  <c:v>4.1111111111111098</c:v>
                </c:pt>
                <c:pt idx="1688">
                  <c:v>4.1111111111111098</c:v>
                </c:pt>
                <c:pt idx="1689">
                  <c:v>4.1111111111111098</c:v>
                </c:pt>
                <c:pt idx="1690">
                  <c:v>4.0000000000000018</c:v>
                </c:pt>
                <c:pt idx="1691">
                  <c:v>4.0000000000000018</c:v>
                </c:pt>
                <c:pt idx="1692">
                  <c:v>4.0000000000000018</c:v>
                </c:pt>
                <c:pt idx="1693">
                  <c:v>3.8888888888888888</c:v>
                </c:pt>
                <c:pt idx="1694">
                  <c:v>3.8888888888888888</c:v>
                </c:pt>
                <c:pt idx="1695">
                  <c:v>3.8888888888888888</c:v>
                </c:pt>
                <c:pt idx="1696">
                  <c:v>3.8888888888888888</c:v>
                </c:pt>
                <c:pt idx="1697">
                  <c:v>3.8888888888888888</c:v>
                </c:pt>
                <c:pt idx="1698">
                  <c:v>4.0000000000000018</c:v>
                </c:pt>
                <c:pt idx="1699">
                  <c:v>4.1111111111111098</c:v>
                </c:pt>
                <c:pt idx="1700">
                  <c:v>4.1111111111111098</c:v>
                </c:pt>
                <c:pt idx="1701">
                  <c:v>4.2222222222222232</c:v>
                </c:pt>
                <c:pt idx="1702">
                  <c:v>4.2222222222222232</c:v>
                </c:pt>
                <c:pt idx="1703">
                  <c:v>4.2222222222222232</c:v>
                </c:pt>
                <c:pt idx="1704">
                  <c:v>4.2222222222222232</c:v>
                </c:pt>
                <c:pt idx="1705">
                  <c:v>4.2222222222222232</c:v>
                </c:pt>
                <c:pt idx="1706">
                  <c:v>4.2222222222222232</c:v>
                </c:pt>
                <c:pt idx="1707">
                  <c:v>4.2222222222222232</c:v>
                </c:pt>
                <c:pt idx="1708">
                  <c:v>4.1111111111111098</c:v>
                </c:pt>
                <c:pt idx="1709">
                  <c:v>4.2222222222222232</c:v>
                </c:pt>
                <c:pt idx="1710">
                  <c:v>4.2222222222222232</c:v>
                </c:pt>
                <c:pt idx="1711">
                  <c:v>4.2222222222222232</c:v>
                </c:pt>
                <c:pt idx="1712">
                  <c:v>4.2222222222222232</c:v>
                </c:pt>
                <c:pt idx="1713">
                  <c:v>4.2222222222222232</c:v>
                </c:pt>
                <c:pt idx="1714">
                  <c:v>4.2222222222222232</c:v>
                </c:pt>
                <c:pt idx="1715">
                  <c:v>4.2222222222222232</c:v>
                </c:pt>
                <c:pt idx="1716">
                  <c:v>4.2222222222222232</c:v>
                </c:pt>
                <c:pt idx="1717">
                  <c:v>4.1111111111111098</c:v>
                </c:pt>
                <c:pt idx="1718">
                  <c:v>4.1111111111111098</c:v>
                </c:pt>
                <c:pt idx="1719">
                  <c:v>4.1111111111111098</c:v>
                </c:pt>
                <c:pt idx="1720">
                  <c:v>4.1111111111111098</c:v>
                </c:pt>
                <c:pt idx="1721">
                  <c:v>4.1111111111111098</c:v>
                </c:pt>
                <c:pt idx="1722">
                  <c:v>4.2222222222222232</c:v>
                </c:pt>
                <c:pt idx="1723">
                  <c:v>4.2222222222222232</c:v>
                </c:pt>
                <c:pt idx="1724">
                  <c:v>4.2222222222222232</c:v>
                </c:pt>
                <c:pt idx="1725">
                  <c:v>4.2222222222222232</c:v>
                </c:pt>
                <c:pt idx="1726">
                  <c:v>4.2222222222222232</c:v>
                </c:pt>
                <c:pt idx="1727">
                  <c:v>4.2222222222222232</c:v>
                </c:pt>
                <c:pt idx="1728">
                  <c:v>4.2222222222222232</c:v>
                </c:pt>
                <c:pt idx="1729">
                  <c:v>4.2222222222222232</c:v>
                </c:pt>
                <c:pt idx="1730">
                  <c:v>4.2222222222222232</c:v>
                </c:pt>
                <c:pt idx="1731">
                  <c:v>4.2222222222222232</c:v>
                </c:pt>
                <c:pt idx="1732">
                  <c:v>4.2222222222222232</c:v>
                </c:pt>
                <c:pt idx="1733">
                  <c:v>4.2222222222222232</c:v>
                </c:pt>
                <c:pt idx="1734">
                  <c:v>4.2222222222222232</c:v>
                </c:pt>
                <c:pt idx="1735">
                  <c:v>4.2222222222222232</c:v>
                </c:pt>
                <c:pt idx="1736">
                  <c:v>4.2222222222222232</c:v>
                </c:pt>
                <c:pt idx="1737">
                  <c:v>4.2222222222222232</c:v>
                </c:pt>
                <c:pt idx="1738">
                  <c:v>4.2222222222222232</c:v>
                </c:pt>
                <c:pt idx="1739">
                  <c:v>4.2222222222222232</c:v>
                </c:pt>
                <c:pt idx="1740">
                  <c:v>4.2222222222222232</c:v>
                </c:pt>
                <c:pt idx="1741">
                  <c:v>4.2222222222222232</c:v>
                </c:pt>
                <c:pt idx="1742">
                  <c:v>4.1111111111111098</c:v>
                </c:pt>
                <c:pt idx="1743">
                  <c:v>4.1111111111111098</c:v>
                </c:pt>
                <c:pt idx="1744">
                  <c:v>4.0000000000000018</c:v>
                </c:pt>
                <c:pt idx="1745">
                  <c:v>3.8888888888888888</c:v>
                </c:pt>
                <c:pt idx="1746">
                  <c:v>4.0000000000000018</c:v>
                </c:pt>
                <c:pt idx="1747">
                  <c:v>4.0000000000000018</c:v>
                </c:pt>
                <c:pt idx="1748">
                  <c:v>4.0000000000000018</c:v>
                </c:pt>
                <c:pt idx="1749">
                  <c:v>4.0000000000000018</c:v>
                </c:pt>
                <c:pt idx="1750">
                  <c:v>4.0000000000000018</c:v>
                </c:pt>
                <c:pt idx="1751">
                  <c:v>3.8888888888888888</c:v>
                </c:pt>
                <c:pt idx="1752">
                  <c:v>3.7777777777777759</c:v>
                </c:pt>
                <c:pt idx="1753">
                  <c:v>3.7777777777777759</c:v>
                </c:pt>
                <c:pt idx="1754">
                  <c:v>3.7222222222222237</c:v>
                </c:pt>
                <c:pt idx="1755">
                  <c:v>3.6111111111111112</c:v>
                </c:pt>
                <c:pt idx="1756">
                  <c:v>3.4999999999999982</c:v>
                </c:pt>
                <c:pt idx="1757">
                  <c:v>3.4999999999999982</c:v>
                </c:pt>
                <c:pt idx="1758">
                  <c:v>3.6111111111111112</c:v>
                </c:pt>
                <c:pt idx="1759">
                  <c:v>3.6111111111111112</c:v>
                </c:pt>
                <c:pt idx="1760">
                  <c:v>3.7222222222222237</c:v>
                </c:pt>
                <c:pt idx="1761">
                  <c:v>3.7222222222222237</c:v>
                </c:pt>
                <c:pt idx="1762">
                  <c:v>3.7777777777777759</c:v>
                </c:pt>
                <c:pt idx="1763">
                  <c:v>3.7777777777777759</c:v>
                </c:pt>
                <c:pt idx="1764">
                  <c:v>3.7777777777777759</c:v>
                </c:pt>
                <c:pt idx="1765">
                  <c:v>3.7222222222222237</c:v>
                </c:pt>
                <c:pt idx="1766">
                  <c:v>3.6111111111111112</c:v>
                </c:pt>
                <c:pt idx="1767">
                  <c:v>3.4999999999999982</c:v>
                </c:pt>
                <c:pt idx="1768">
                  <c:v>3.4999999999999982</c:v>
                </c:pt>
                <c:pt idx="1769">
                  <c:v>3.4999999999999982</c:v>
                </c:pt>
                <c:pt idx="1770">
                  <c:v>3.4999999999999982</c:v>
                </c:pt>
                <c:pt idx="1771">
                  <c:v>3.4999999999999982</c:v>
                </c:pt>
                <c:pt idx="1772">
                  <c:v>3.4999999999999982</c:v>
                </c:pt>
                <c:pt idx="1773">
                  <c:v>3.6111111111111112</c:v>
                </c:pt>
                <c:pt idx="1774">
                  <c:v>3.7222222222222237</c:v>
                </c:pt>
                <c:pt idx="1775">
                  <c:v>3.7777777777777759</c:v>
                </c:pt>
                <c:pt idx="1776">
                  <c:v>3.7777777777777759</c:v>
                </c:pt>
                <c:pt idx="1777">
                  <c:v>3.7777777777777759</c:v>
                </c:pt>
                <c:pt idx="1778">
                  <c:v>3.7222222222222237</c:v>
                </c:pt>
                <c:pt idx="1779">
                  <c:v>3.6111111111111112</c:v>
                </c:pt>
                <c:pt idx="1780">
                  <c:v>3.4999999999999982</c:v>
                </c:pt>
                <c:pt idx="1781">
                  <c:v>3.3888888888888897</c:v>
                </c:pt>
                <c:pt idx="1782">
                  <c:v>3.3888888888888897</c:v>
                </c:pt>
                <c:pt idx="1783">
                  <c:v>3.3888888888888897</c:v>
                </c:pt>
                <c:pt idx="1784">
                  <c:v>3.6111111111111112</c:v>
                </c:pt>
                <c:pt idx="1785">
                  <c:v>3.7222222222222237</c:v>
                </c:pt>
                <c:pt idx="1786">
                  <c:v>3.7222222222222237</c:v>
                </c:pt>
                <c:pt idx="1787">
                  <c:v>3.7777777777777759</c:v>
                </c:pt>
                <c:pt idx="1788">
                  <c:v>3.7777777777777759</c:v>
                </c:pt>
                <c:pt idx="1789">
                  <c:v>3.7222222222222237</c:v>
                </c:pt>
                <c:pt idx="1790">
                  <c:v>3.7222222222222237</c:v>
                </c:pt>
                <c:pt idx="1791">
                  <c:v>3.7222222222222237</c:v>
                </c:pt>
                <c:pt idx="1792">
                  <c:v>3.6111111111111112</c:v>
                </c:pt>
                <c:pt idx="1793">
                  <c:v>3.4999999999999982</c:v>
                </c:pt>
                <c:pt idx="1794">
                  <c:v>3.4999999999999982</c:v>
                </c:pt>
                <c:pt idx="1795">
                  <c:v>3.4999999999999982</c:v>
                </c:pt>
                <c:pt idx="1796">
                  <c:v>3.4999999999999982</c:v>
                </c:pt>
                <c:pt idx="1797">
                  <c:v>3.6111111111111112</c:v>
                </c:pt>
                <c:pt idx="1798">
                  <c:v>3.7777777777777759</c:v>
                </c:pt>
                <c:pt idx="1799">
                  <c:v>3.7777777777777759</c:v>
                </c:pt>
                <c:pt idx="1800">
                  <c:v>3.8888888888888888</c:v>
                </c:pt>
                <c:pt idx="1801">
                  <c:v>3.8888888888888888</c:v>
                </c:pt>
                <c:pt idx="1802">
                  <c:v>3.7777777777777759</c:v>
                </c:pt>
                <c:pt idx="1803">
                  <c:v>3.7777777777777759</c:v>
                </c:pt>
                <c:pt idx="1804">
                  <c:v>3.7222222222222237</c:v>
                </c:pt>
                <c:pt idx="1805">
                  <c:v>3.6111111111111112</c:v>
                </c:pt>
                <c:pt idx="1806">
                  <c:v>3.4999999999999982</c:v>
                </c:pt>
                <c:pt idx="1807">
                  <c:v>3.3888888888888897</c:v>
                </c:pt>
                <c:pt idx="1808">
                  <c:v>3.4999999999999982</c:v>
                </c:pt>
                <c:pt idx="1809">
                  <c:v>3.7222222222222237</c:v>
                </c:pt>
                <c:pt idx="1810">
                  <c:v>3.7222222222222237</c:v>
                </c:pt>
                <c:pt idx="1811">
                  <c:v>3.7777777777777759</c:v>
                </c:pt>
                <c:pt idx="1812">
                  <c:v>3.8888888888888888</c:v>
                </c:pt>
                <c:pt idx="1813">
                  <c:v>3.8888888888888888</c:v>
                </c:pt>
                <c:pt idx="1814">
                  <c:v>3.8888888888888888</c:v>
                </c:pt>
                <c:pt idx="1815">
                  <c:v>3.8888888888888888</c:v>
                </c:pt>
                <c:pt idx="1816">
                  <c:v>3.8888888888888888</c:v>
                </c:pt>
                <c:pt idx="1817">
                  <c:v>3.7777777777777759</c:v>
                </c:pt>
                <c:pt idx="1818">
                  <c:v>3.7222222222222237</c:v>
                </c:pt>
                <c:pt idx="1819">
                  <c:v>3.6111111111111112</c:v>
                </c:pt>
                <c:pt idx="1820">
                  <c:v>3.6111111111111112</c:v>
                </c:pt>
                <c:pt idx="1821">
                  <c:v>3.6111111111111112</c:v>
                </c:pt>
                <c:pt idx="1822">
                  <c:v>3.7777777777777759</c:v>
                </c:pt>
                <c:pt idx="1823">
                  <c:v>3.8888888888888888</c:v>
                </c:pt>
                <c:pt idx="1824">
                  <c:v>3.8888888888888888</c:v>
                </c:pt>
                <c:pt idx="1825">
                  <c:v>4.0000000000000018</c:v>
                </c:pt>
                <c:pt idx="1826">
                  <c:v>4.0000000000000018</c:v>
                </c:pt>
                <c:pt idx="1827">
                  <c:v>4.0000000000000018</c:v>
                </c:pt>
                <c:pt idx="1828">
                  <c:v>4.0000000000000018</c:v>
                </c:pt>
                <c:pt idx="1829">
                  <c:v>3.8888888888888888</c:v>
                </c:pt>
                <c:pt idx="1830">
                  <c:v>3.7777777777777759</c:v>
                </c:pt>
                <c:pt idx="1831">
                  <c:v>3.7222222222222237</c:v>
                </c:pt>
                <c:pt idx="1832">
                  <c:v>3.7222222222222237</c:v>
                </c:pt>
                <c:pt idx="1833">
                  <c:v>3.7222222222222237</c:v>
                </c:pt>
                <c:pt idx="1834">
                  <c:v>3.7777777777777759</c:v>
                </c:pt>
                <c:pt idx="1835">
                  <c:v>3.8888888888888888</c:v>
                </c:pt>
                <c:pt idx="1836">
                  <c:v>4.0000000000000018</c:v>
                </c:pt>
                <c:pt idx="1837">
                  <c:v>4.0000000000000018</c:v>
                </c:pt>
                <c:pt idx="1838">
                  <c:v>4.0000000000000018</c:v>
                </c:pt>
                <c:pt idx="1839">
                  <c:v>4.0000000000000018</c:v>
                </c:pt>
                <c:pt idx="1840">
                  <c:v>4.1111111111111098</c:v>
                </c:pt>
                <c:pt idx="1841">
                  <c:v>4.1111111111111098</c:v>
                </c:pt>
                <c:pt idx="1842">
                  <c:v>4.1111111111111098</c:v>
                </c:pt>
                <c:pt idx="1843">
                  <c:v>4.1111111111111098</c:v>
                </c:pt>
                <c:pt idx="1844">
                  <c:v>4.1111111111111098</c:v>
                </c:pt>
                <c:pt idx="1845">
                  <c:v>4.2222222222222232</c:v>
                </c:pt>
                <c:pt idx="1846">
                  <c:v>4.2222222222222232</c:v>
                </c:pt>
                <c:pt idx="1847">
                  <c:v>4.2222222222222232</c:v>
                </c:pt>
                <c:pt idx="1848">
                  <c:v>4.2222222222222232</c:v>
                </c:pt>
                <c:pt idx="1849">
                  <c:v>4.2222222222222232</c:v>
                </c:pt>
                <c:pt idx="1850">
                  <c:v>4.1111111111111098</c:v>
                </c:pt>
                <c:pt idx="1851">
                  <c:v>4.1111111111111098</c:v>
                </c:pt>
                <c:pt idx="1852">
                  <c:v>4.1111111111111098</c:v>
                </c:pt>
                <c:pt idx="1853">
                  <c:v>4.1111111111111098</c:v>
                </c:pt>
                <c:pt idx="1854">
                  <c:v>4.1111111111111098</c:v>
                </c:pt>
                <c:pt idx="1855">
                  <c:v>4.1111111111111098</c:v>
                </c:pt>
                <c:pt idx="1856">
                  <c:v>4.1111111111111098</c:v>
                </c:pt>
                <c:pt idx="1857">
                  <c:v>4.0000000000000018</c:v>
                </c:pt>
                <c:pt idx="1858">
                  <c:v>4.0000000000000018</c:v>
                </c:pt>
                <c:pt idx="1859">
                  <c:v>4.0000000000000018</c:v>
                </c:pt>
                <c:pt idx="1860">
                  <c:v>4.1111111111111098</c:v>
                </c:pt>
                <c:pt idx="1861">
                  <c:v>4.0000000000000018</c:v>
                </c:pt>
                <c:pt idx="1862">
                  <c:v>4.0000000000000018</c:v>
                </c:pt>
                <c:pt idx="1863">
                  <c:v>4.0000000000000018</c:v>
                </c:pt>
                <c:pt idx="1864">
                  <c:v>4.1111111111111098</c:v>
                </c:pt>
                <c:pt idx="1865">
                  <c:v>4.1111111111111098</c:v>
                </c:pt>
                <c:pt idx="1866">
                  <c:v>4.2222222222222232</c:v>
                </c:pt>
                <c:pt idx="1867">
                  <c:v>4.2222222222222232</c:v>
                </c:pt>
                <c:pt idx="1868">
                  <c:v>4.2222222222222232</c:v>
                </c:pt>
                <c:pt idx="1869">
                  <c:v>4.2222222222222232</c:v>
                </c:pt>
                <c:pt idx="1870">
                  <c:v>4.2222222222222232</c:v>
                </c:pt>
                <c:pt idx="1871">
                  <c:v>4.1111111111111098</c:v>
                </c:pt>
                <c:pt idx="1872">
                  <c:v>4.2222222222222232</c:v>
                </c:pt>
                <c:pt idx="1873">
                  <c:v>4.2222222222222232</c:v>
                </c:pt>
                <c:pt idx="1874">
                  <c:v>4.1111111111111098</c:v>
                </c:pt>
                <c:pt idx="1875">
                  <c:v>4.1111111111111098</c:v>
                </c:pt>
                <c:pt idx="1876">
                  <c:v>4.0000000000000018</c:v>
                </c:pt>
                <c:pt idx="1877">
                  <c:v>4.0000000000000018</c:v>
                </c:pt>
                <c:pt idx="1878">
                  <c:v>4.0000000000000018</c:v>
                </c:pt>
                <c:pt idx="1879">
                  <c:v>3.8888888888888888</c:v>
                </c:pt>
                <c:pt idx="1880">
                  <c:v>3.8888888888888888</c:v>
                </c:pt>
                <c:pt idx="1881">
                  <c:v>3.7777777777777759</c:v>
                </c:pt>
                <c:pt idx="1882">
                  <c:v>3.7777777777777759</c:v>
                </c:pt>
                <c:pt idx="1883">
                  <c:v>3.7222222222222237</c:v>
                </c:pt>
                <c:pt idx="1884">
                  <c:v>3.7777777777777759</c:v>
                </c:pt>
                <c:pt idx="1885">
                  <c:v>3.7777777777777759</c:v>
                </c:pt>
                <c:pt idx="1886">
                  <c:v>4.0000000000000018</c:v>
                </c:pt>
                <c:pt idx="1887">
                  <c:v>4.0000000000000018</c:v>
                </c:pt>
                <c:pt idx="1888">
                  <c:v>4.1111111111111098</c:v>
                </c:pt>
                <c:pt idx="1889">
                  <c:v>4.2222222222222232</c:v>
                </c:pt>
                <c:pt idx="1890">
                  <c:v>4.2222222222222232</c:v>
                </c:pt>
                <c:pt idx="1891">
                  <c:v>4.2222222222222232</c:v>
                </c:pt>
                <c:pt idx="1892">
                  <c:v>4.2777777777777795</c:v>
                </c:pt>
                <c:pt idx="1893">
                  <c:v>4.2777777777777795</c:v>
                </c:pt>
                <c:pt idx="1894">
                  <c:v>4.2777777777777795</c:v>
                </c:pt>
                <c:pt idx="1895">
                  <c:v>4.2222222222222232</c:v>
                </c:pt>
                <c:pt idx="1896">
                  <c:v>4.2222222222222232</c:v>
                </c:pt>
                <c:pt idx="1897">
                  <c:v>4.2777777777777795</c:v>
                </c:pt>
                <c:pt idx="1898">
                  <c:v>4.2777777777777795</c:v>
                </c:pt>
                <c:pt idx="1899">
                  <c:v>4.2777777777777795</c:v>
                </c:pt>
                <c:pt idx="1900">
                  <c:v>4.2777777777777795</c:v>
                </c:pt>
                <c:pt idx="1901">
                  <c:v>4.2777777777777795</c:v>
                </c:pt>
                <c:pt idx="1902">
                  <c:v>4.2222222222222232</c:v>
                </c:pt>
                <c:pt idx="1903">
                  <c:v>4.2222222222222232</c:v>
                </c:pt>
                <c:pt idx="1904">
                  <c:v>4.2222222222222232</c:v>
                </c:pt>
                <c:pt idx="1905">
                  <c:v>4.1111111111111098</c:v>
                </c:pt>
                <c:pt idx="1906">
                  <c:v>4.1111111111111098</c:v>
                </c:pt>
                <c:pt idx="1907">
                  <c:v>4.0000000000000018</c:v>
                </c:pt>
                <c:pt idx="1908">
                  <c:v>4.0000000000000018</c:v>
                </c:pt>
                <c:pt idx="1909">
                  <c:v>4.1111111111111098</c:v>
                </c:pt>
                <c:pt idx="1910">
                  <c:v>4.2222222222222232</c:v>
                </c:pt>
                <c:pt idx="1911">
                  <c:v>4.2222222222222232</c:v>
                </c:pt>
                <c:pt idx="1912">
                  <c:v>4.2777777777777795</c:v>
                </c:pt>
                <c:pt idx="1913">
                  <c:v>4.2777777777777795</c:v>
                </c:pt>
                <c:pt idx="1914">
                  <c:v>4.5000000000000009</c:v>
                </c:pt>
                <c:pt idx="1915">
                  <c:v>4.5000000000000009</c:v>
                </c:pt>
                <c:pt idx="1916">
                  <c:v>4.5000000000000009</c:v>
                </c:pt>
                <c:pt idx="1917">
                  <c:v>4.6111111111111098</c:v>
                </c:pt>
                <c:pt idx="1918">
                  <c:v>4.6111111111111098</c:v>
                </c:pt>
                <c:pt idx="1919">
                  <c:v>4.6111111111111098</c:v>
                </c:pt>
                <c:pt idx="1920">
                  <c:v>4.6111111111111098</c:v>
                </c:pt>
                <c:pt idx="1921">
                  <c:v>4.6111111111111098</c:v>
                </c:pt>
                <c:pt idx="1922">
                  <c:v>4.6111111111111098</c:v>
                </c:pt>
                <c:pt idx="1923">
                  <c:v>4.6111111111111098</c:v>
                </c:pt>
                <c:pt idx="1924">
                  <c:v>4.5000000000000009</c:v>
                </c:pt>
                <c:pt idx="1925">
                  <c:v>4.5000000000000009</c:v>
                </c:pt>
                <c:pt idx="1926">
                  <c:v>4.3888888888888884</c:v>
                </c:pt>
                <c:pt idx="1927">
                  <c:v>4.3888888888888884</c:v>
                </c:pt>
                <c:pt idx="1928">
                  <c:v>4.5000000000000009</c:v>
                </c:pt>
                <c:pt idx="1929">
                  <c:v>4.5000000000000009</c:v>
                </c:pt>
                <c:pt idx="1930">
                  <c:v>4.5000000000000009</c:v>
                </c:pt>
                <c:pt idx="1931">
                  <c:v>4.5000000000000009</c:v>
                </c:pt>
                <c:pt idx="1932">
                  <c:v>4.5000000000000009</c:v>
                </c:pt>
                <c:pt idx="1933">
                  <c:v>4.5000000000000009</c:v>
                </c:pt>
                <c:pt idx="1934">
                  <c:v>4.5000000000000009</c:v>
                </c:pt>
                <c:pt idx="1935">
                  <c:v>4.5000000000000009</c:v>
                </c:pt>
                <c:pt idx="1936">
                  <c:v>4.3888888888888884</c:v>
                </c:pt>
                <c:pt idx="1937">
                  <c:v>4.3888888888888884</c:v>
                </c:pt>
                <c:pt idx="1938">
                  <c:v>4.6111111111111098</c:v>
                </c:pt>
                <c:pt idx="1939">
                  <c:v>4.7777777777777786</c:v>
                </c:pt>
                <c:pt idx="1940">
                  <c:v>4.7222222222222223</c:v>
                </c:pt>
                <c:pt idx="1941">
                  <c:v>4.7777777777777786</c:v>
                </c:pt>
                <c:pt idx="1942">
                  <c:v>4.8888888888888875</c:v>
                </c:pt>
                <c:pt idx="1943">
                  <c:v>5</c:v>
                </c:pt>
                <c:pt idx="1944">
                  <c:v>5.1111111111111125</c:v>
                </c:pt>
                <c:pt idx="1945">
                  <c:v>5.1111111111111125</c:v>
                </c:pt>
                <c:pt idx="1946">
                  <c:v>5</c:v>
                </c:pt>
                <c:pt idx="1947">
                  <c:v>4.8888888888888875</c:v>
                </c:pt>
                <c:pt idx="1948">
                  <c:v>4.7777777777777786</c:v>
                </c:pt>
                <c:pt idx="1949">
                  <c:v>4.7222222222222223</c:v>
                </c:pt>
                <c:pt idx="1950">
                  <c:v>4.7222222222222223</c:v>
                </c:pt>
                <c:pt idx="1951">
                  <c:v>4.6111111111111098</c:v>
                </c:pt>
                <c:pt idx="1952">
                  <c:v>4.7222222222222223</c:v>
                </c:pt>
                <c:pt idx="1953">
                  <c:v>4.7222222222222223</c:v>
                </c:pt>
                <c:pt idx="1954">
                  <c:v>4.8888888888888875</c:v>
                </c:pt>
                <c:pt idx="1955">
                  <c:v>4.8888888888888875</c:v>
                </c:pt>
                <c:pt idx="1956">
                  <c:v>5</c:v>
                </c:pt>
                <c:pt idx="1957">
                  <c:v>5.1111111111111125</c:v>
                </c:pt>
                <c:pt idx="1958">
                  <c:v>5</c:v>
                </c:pt>
                <c:pt idx="1959">
                  <c:v>5</c:v>
                </c:pt>
                <c:pt idx="1960">
                  <c:v>4.7777777777777786</c:v>
                </c:pt>
                <c:pt idx="1961">
                  <c:v>4.7222222222222223</c:v>
                </c:pt>
                <c:pt idx="1962">
                  <c:v>4.7222222222222223</c:v>
                </c:pt>
                <c:pt idx="1963">
                  <c:v>4.7222222222222223</c:v>
                </c:pt>
                <c:pt idx="1964">
                  <c:v>4.7222222222222223</c:v>
                </c:pt>
                <c:pt idx="1965">
                  <c:v>4.7777777777777786</c:v>
                </c:pt>
                <c:pt idx="1966">
                  <c:v>4.8888888888888875</c:v>
                </c:pt>
                <c:pt idx="1967">
                  <c:v>5</c:v>
                </c:pt>
                <c:pt idx="1968">
                  <c:v>5.1111111111111125</c:v>
                </c:pt>
                <c:pt idx="1969">
                  <c:v>5.2222222222222214</c:v>
                </c:pt>
                <c:pt idx="1970">
                  <c:v>5.2222222222222214</c:v>
                </c:pt>
                <c:pt idx="1971">
                  <c:v>5.1111111111111125</c:v>
                </c:pt>
                <c:pt idx="1972">
                  <c:v>5</c:v>
                </c:pt>
                <c:pt idx="1973">
                  <c:v>4.7777777777777786</c:v>
                </c:pt>
                <c:pt idx="1974">
                  <c:v>4.7222222222222223</c:v>
                </c:pt>
                <c:pt idx="1975">
                  <c:v>4.7222222222222223</c:v>
                </c:pt>
                <c:pt idx="1976">
                  <c:v>4.7222222222222223</c:v>
                </c:pt>
                <c:pt idx="1977">
                  <c:v>4.7222222222222223</c:v>
                </c:pt>
                <c:pt idx="1978">
                  <c:v>4.7777777777777786</c:v>
                </c:pt>
                <c:pt idx="1979">
                  <c:v>4.8888888888888875</c:v>
                </c:pt>
                <c:pt idx="1980">
                  <c:v>5</c:v>
                </c:pt>
                <c:pt idx="1981">
                  <c:v>5.1111111111111125</c:v>
                </c:pt>
                <c:pt idx="1982">
                  <c:v>5.2222222222222214</c:v>
                </c:pt>
                <c:pt idx="1983">
                  <c:v>5.1111111111111125</c:v>
                </c:pt>
                <c:pt idx="1984">
                  <c:v>5</c:v>
                </c:pt>
                <c:pt idx="1985">
                  <c:v>4.7777777777777786</c:v>
                </c:pt>
                <c:pt idx="1986">
                  <c:v>4.7777777777777786</c:v>
                </c:pt>
                <c:pt idx="1987">
                  <c:v>4.7222222222222223</c:v>
                </c:pt>
                <c:pt idx="1988">
                  <c:v>4.7222222222222223</c:v>
                </c:pt>
                <c:pt idx="1989">
                  <c:v>4.7777777777777786</c:v>
                </c:pt>
                <c:pt idx="1990">
                  <c:v>4.8888888888888875</c:v>
                </c:pt>
                <c:pt idx="1991">
                  <c:v>5.1111111111111125</c:v>
                </c:pt>
                <c:pt idx="1992">
                  <c:v>5.2777777777777777</c:v>
                </c:pt>
                <c:pt idx="1993">
                  <c:v>5.3888888888888902</c:v>
                </c:pt>
                <c:pt idx="1994">
                  <c:v>5.3888888888888902</c:v>
                </c:pt>
                <c:pt idx="1995">
                  <c:v>5.3888888888888902</c:v>
                </c:pt>
                <c:pt idx="1996">
                  <c:v>5.2222222222222214</c:v>
                </c:pt>
                <c:pt idx="1997">
                  <c:v>5</c:v>
                </c:pt>
                <c:pt idx="1998">
                  <c:v>4.7777777777777786</c:v>
                </c:pt>
                <c:pt idx="1999">
                  <c:v>4.7222222222222223</c:v>
                </c:pt>
                <c:pt idx="2000">
                  <c:v>4.7222222222222223</c:v>
                </c:pt>
                <c:pt idx="2001">
                  <c:v>4.7222222222222223</c:v>
                </c:pt>
                <c:pt idx="2002">
                  <c:v>4.7222222222222223</c:v>
                </c:pt>
                <c:pt idx="2003">
                  <c:v>4.7777777777777786</c:v>
                </c:pt>
                <c:pt idx="2004">
                  <c:v>5</c:v>
                </c:pt>
                <c:pt idx="2005">
                  <c:v>5.1111111111111125</c:v>
                </c:pt>
                <c:pt idx="2006">
                  <c:v>5.1111111111111125</c:v>
                </c:pt>
                <c:pt idx="2007">
                  <c:v>5.2222222222222214</c:v>
                </c:pt>
                <c:pt idx="2008">
                  <c:v>5.1111111111111125</c:v>
                </c:pt>
                <c:pt idx="2009">
                  <c:v>5</c:v>
                </c:pt>
                <c:pt idx="2010">
                  <c:v>4.7777777777777786</c:v>
                </c:pt>
                <c:pt idx="2011">
                  <c:v>4.7222222222222223</c:v>
                </c:pt>
                <c:pt idx="2012">
                  <c:v>4.7222222222222223</c:v>
                </c:pt>
                <c:pt idx="2013">
                  <c:v>4.7222222222222223</c:v>
                </c:pt>
                <c:pt idx="2014">
                  <c:v>4.7222222222222223</c:v>
                </c:pt>
                <c:pt idx="2015">
                  <c:v>4.7222222222222223</c:v>
                </c:pt>
                <c:pt idx="2016">
                  <c:v>4.7777777777777786</c:v>
                </c:pt>
                <c:pt idx="2017">
                  <c:v>4.8888888888888875</c:v>
                </c:pt>
                <c:pt idx="2018">
                  <c:v>5</c:v>
                </c:pt>
                <c:pt idx="2019">
                  <c:v>5</c:v>
                </c:pt>
                <c:pt idx="2020">
                  <c:v>5</c:v>
                </c:pt>
                <c:pt idx="2021">
                  <c:v>4.7777777777777786</c:v>
                </c:pt>
                <c:pt idx="2022">
                  <c:v>4.7222222222222223</c:v>
                </c:pt>
                <c:pt idx="2023">
                  <c:v>4.6111111111111098</c:v>
                </c:pt>
                <c:pt idx="2024">
                  <c:v>4.6111111111111098</c:v>
                </c:pt>
                <c:pt idx="2025">
                  <c:v>4.6111111111111098</c:v>
                </c:pt>
                <c:pt idx="2026">
                  <c:v>4.6111111111111098</c:v>
                </c:pt>
                <c:pt idx="2027">
                  <c:v>4.7222222222222223</c:v>
                </c:pt>
                <c:pt idx="2028">
                  <c:v>4.7222222222222223</c:v>
                </c:pt>
                <c:pt idx="2029">
                  <c:v>4.8888888888888875</c:v>
                </c:pt>
                <c:pt idx="2030">
                  <c:v>5</c:v>
                </c:pt>
                <c:pt idx="2031">
                  <c:v>5</c:v>
                </c:pt>
                <c:pt idx="2032">
                  <c:v>5.1111111111111125</c:v>
                </c:pt>
                <c:pt idx="2033">
                  <c:v>5</c:v>
                </c:pt>
                <c:pt idx="2034">
                  <c:v>4.8888888888888875</c:v>
                </c:pt>
                <c:pt idx="2035">
                  <c:v>4.7777777777777786</c:v>
                </c:pt>
                <c:pt idx="2036">
                  <c:v>4.7777777777777786</c:v>
                </c:pt>
                <c:pt idx="2037">
                  <c:v>4.7777777777777786</c:v>
                </c:pt>
                <c:pt idx="2038">
                  <c:v>4.7777777777777786</c:v>
                </c:pt>
                <c:pt idx="2039">
                  <c:v>4.7777777777777786</c:v>
                </c:pt>
                <c:pt idx="2040">
                  <c:v>4.8888888888888875</c:v>
                </c:pt>
                <c:pt idx="2041">
                  <c:v>5</c:v>
                </c:pt>
                <c:pt idx="2042">
                  <c:v>5.1111111111111125</c:v>
                </c:pt>
                <c:pt idx="2043">
                  <c:v>5.2222222222222214</c:v>
                </c:pt>
                <c:pt idx="2044">
                  <c:v>5.2222222222222214</c:v>
                </c:pt>
                <c:pt idx="2045">
                  <c:v>5.2222222222222214</c:v>
                </c:pt>
                <c:pt idx="2046">
                  <c:v>5</c:v>
                </c:pt>
                <c:pt idx="2047">
                  <c:v>4.8888888888888875</c:v>
                </c:pt>
                <c:pt idx="2048">
                  <c:v>4.7777777777777786</c:v>
                </c:pt>
                <c:pt idx="2049">
                  <c:v>4.7222222222222223</c:v>
                </c:pt>
                <c:pt idx="2050">
                  <c:v>4.7222222222222223</c:v>
                </c:pt>
                <c:pt idx="2051">
                  <c:v>4.7222222222222223</c:v>
                </c:pt>
                <c:pt idx="2052">
                  <c:v>4.7777777777777786</c:v>
                </c:pt>
                <c:pt idx="2053">
                  <c:v>4.8888888888888875</c:v>
                </c:pt>
                <c:pt idx="2054">
                  <c:v>5</c:v>
                </c:pt>
                <c:pt idx="2055">
                  <c:v>5.2222222222222214</c:v>
                </c:pt>
                <c:pt idx="2056">
                  <c:v>5.2222222222222214</c:v>
                </c:pt>
                <c:pt idx="2057">
                  <c:v>5.3888888888888902</c:v>
                </c:pt>
                <c:pt idx="2058">
                  <c:v>5.2222222222222214</c:v>
                </c:pt>
                <c:pt idx="2059">
                  <c:v>4.8888888888888875</c:v>
                </c:pt>
                <c:pt idx="2060">
                  <c:v>5</c:v>
                </c:pt>
                <c:pt idx="2061">
                  <c:v>5</c:v>
                </c:pt>
                <c:pt idx="2062">
                  <c:v>4.8888888888888875</c:v>
                </c:pt>
                <c:pt idx="2063">
                  <c:v>5.1111111111111125</c:v>
                </c:pt>
                <c:pt idx="2064">
                  <c:v>5.1111111111111125</c:v>
                </c:pt>
                <c:pt idx="2065">
                  <c:v>5.1111111111111125</c:v>
                </c:pt>
                <c:pt idx="2066">
                  <c:v>5.2222222222222214</c:v>
                </c:pt>
                <c:pt idx="2067">
                  <c:v>5.3888888888888902</c:v>
                </c:pt>
                <c:pt idx="2068">
                  <c:v>5.3888888888888902</c:v>
                </c:pt>
                <c:pt idx="2069">
                  <c:v>5.3888888888888902</c:v>
                </c:pt>
                <c:pt idx="2070">
                  <c:v>5.2777777777777777</c:v>
                </c:pt>
                <c:pt idx="2071">
                  <c:v>5.2222222222222214</c:v>
                </c:pt>
                <c:pt idx="2072">
                  <c:v>5.1111111111111125</c:v>
                </c:pt>
                <c:pt idx="2073">
                  <c:v>5</c:v>
                </c:pt>
                <c:pt idx="2074">
                  <c:v>5</c:v>
                </c:pt>
                <c:pt idx="2075">
                  <c:v>4.8888888888888875</c:v>
                </c:pt>
                <c:pt idx="2076">
                  <c:v>5</c:v>
                </c:pt>
                <c:pt idx="2077">
                  <c:v>5</c:v>
                </c:pt>
                <c:pt idx="2078">
                  <c:v>5.2222222222222214</c:v>
                </c:pt>
                <c:pt idx="2079">
                  <c:v>5.2777777777777777</c:v>
                </c:pt>
                <c:pt idx="2080">
                  <c:v>5.3888888888888902</c:v>
                </c:pt>
                <c:pt idx="2081">
                  <c:v>5.4999999999999991</c:v>
                </c:pt>
                <c:pt idx="2082">
                  <c:v>5.6111111111111116</c:v>
                </c:pt>
                <c:pt idx="2083">
                  <c:v>5.3888888888888902</c:v>
                </c:pt>
                <c:pt idx="2084">
                  <c:v>5.1111111111111125</c:v>
                </c:pt>
                <c:pt idx="2085">
                  <c:v>5</c:v>
                </c:pt>
                <c:pt idx="2086">
                  <c:v>5</c:v>
                </c:pt>
                <c:pt idx="2087">
                  <c:v>5</c:v>
                </c:pt>
                <c:pt idx="2088">
                  <c:v>5.1111111111111125</c:v>
                </c:pt>
                <c:pt idx="2089">
                  <c:v>5.1111111111111125</c:v>
                </c:pt>
                <c:pt idx="2090">
                  <c:v>5.2222222222222214</c:v>
                </c:pt>
                <c:pt idx="2091">
                  <c:v>5.2777777777777777</c:v>
                </c:pt>
                <c:pt idx="2092">
                  <c:v>5.3888888888888902</c:v>
                </c:pt>
                <c:pt idx="2093">
                  <c:v>5.4999999999999991</c:v>
                </c:pt>
                <c:pt idx="2094">
                  <c:v>5.3888888888888902</c:v>
                </c:pt>
                <c:pt idx="2095">
                  <c:v>5.3888888888888902</c:v>
                </c:pt>
                <c:pt idx="2096">
                  <c:v>5.2222222222222214</c:v>
                </c:pt>
                <c:pt idx="2097">
                  <c:v>5.1111111111111125</c:v>
                </c:pt>
                <c:pt idx="2098">
                  <c:v>5.1111111111111125</c:v>
                </c:pt>
                <c:pt idx="2099">
                  <c:v>5.1111111111111125</c:v>
                </c:pt>
                <c:pt idx="2100">
                  <c:v>5.1111111111111125</c:v>
                </c:pt>
                <c:pt idx="2101">
                  <c:v>5.1111111111111125</c:v>
                </c:pt>
                <c:pt idx="2102">
                  <c:v>5.1111111111111125</c:v>
                </c:pt>
                <c:pt idx="2103">
                  <c:v>5.2222222222222214</c:v>
                </c:pt>
                <c:pt idx="2104">
                  <c:v>5.3888888888888902</c:v>
                </c:pt>
                <c:pt idx="2105">
                  <c:v>5.6111111111111116</c:v>
                </c:pt>
                <c:pt idx="2106">
                  <c:v>5.7222222222222205</c:v>
                </c:pt>
                <c:pt idx="2107">
                  <c:v>5.7777777777777768</c:v>
                </c:pt>
                <c:pt idx="2108">
                  <c:v>5.6111111111111116</c:v>
                </c:pt>
                <c:pt idx="2109">
                  <c:v>5.2777777777777777</c:v>
                </c:pt>
                <c:pt idx="2110">
                  <c:v>5.2777777777777777</c:v>
                </c:pt>
                <c:pt idx="2111">
                  <c:v>5.2777777777777777</c:v>
                </c:pt>
                <c:pt idx="2112">
                  <c:v>5.2777777777777777</c:v>
                </c:pt>
                <c:pt idx="2113">
                  <c:v>5.2777777777777777</c:v>
                </c:pt>
                <c:pt idx="2114">
                  <c:v>5.3888888888888902</c:v>
                </c:pt>
                <c:pt idx="2115">
                  <c:v>5.3888888888888902</c:v>
                </c:pt>
                <c:pt idx="2116">
                  <c:v>5.4999999999999991</c:v>
                </c:pt>
                <c:pt idx="2117">
                  <c:v>5.6111111111111116</c:v>
                </c:pt>
                <c:pt idx="2118">
                  <c:v>5.7222222222222205</c:v>
                </c:pt>
                <c:pt idx="2119">
                  <c:v>5.7222222222222205</c:v>
                </c:pt>
                <c:pt idx="2120">
                  <c:v>5.6111111111111116</c:v>
                </c:pt>
                <c:pt idx="2121">
                  <c:v>5.3888888888888902</c:v>
                </c:pt>
                <c:pt idx="2122">
                  <c:v>5.3888888888888902</c:v>
                </c:pt>
                <c:pt idx="2123">
                  <c:v>5.2222222222222214</c:v>
                </c:pt>
                <c:pt idx="2124">
                  <c:v>5.1111111111111125</c:v>
                </c:pt>
                <c:pt idx="2125">
                  <c:v>5.1111111111111125</c:v>
                </c:pt>
                <c:pt idx="2126">
                  <c:v>5.1111111111111125</c:v>
                </c:pt>
                <c:pt idx="2127">
                  <c:v>5.2222222222222214</c:v>
                </c:pt>
                <c:pt idx="2128">
                  <c:v>5.3888888888888902</c:v>
                </c:pt>
                <c:pt idx="2129">
                  <c:v>5.6111111111111116</c:v>
                </c:pt>
                <c:pt idx="2130">
                  <c:v>5.7777777777777768</c:v>
                </c:pt>
                <c:pt idx="2131">
                  <c:v>5.7777777777777768</c:v>
                </c:pt>
                <c:pt idx="2132">
                  <c:v>5.8888888888888893</c:v>
                </c:pt>
                <c:pt idx="2133">
                  <c:v>5.7222222222222205</c:v>
                </c:pt>
                <c:pt idx="2134">
                  <c:v>5.2222222222222214</c:v>
                </c:pt>
                <c:pt idx="2135">
                  <c:v>5.2222222222222214</c:v>
                </c:pt>
                <c:pt idx="2136">
                  <c:v>5</c:v>
                </c:pt>
                <c:pt idx="2137">
                  <c:v>5</c:v>
                </c:pt>
                <c:pt idx="2138">
                  <c:v>5</c:v>
                </c:pt>
                <c:pt idx="2139">
                  <c:v>5</c:v>
                </c:pt>
                <c:pt idx="2140">
                  <c:v>5.2222222222222214</c:v>
                </c:pt>
                <c:pt idx="2141">
                  <c:v>5.2777777777777777</c:v>
                </c:pt>
                <c:pt idx="2142">
                  <c:v>5.4999999999999991</c:v>
                </c:pt>
                <c:pt idx="2143">
                  <c:v>5.4999999999999991</c:v>
                </c:pt>
                <c:pt idx="2144">
                  <c:v>5.4999999999999991</c:v>
                </c:pt>
                <c:pt idx="2145">
                  <c:v>5.3888888888888902</c:v>
                </c:pt>
                <c:pt idx="2146">
                  <c:v>5.1111111111111125</c:v>
                </c:pt>
                <c:pt idx="2147">
                  <c:v>5</c:v>
                </c:pt>
                <c:pt idx="2148">
                  <c:v>5</c:v>
                </c:pt>
                <c:pt idx="2149">
                  <c:v>4.8888888888888875</c:v>
                </c:pt>
                <c:pt idx="2150">
                  <c:v>5</c:v>
                </c:pt>
                <c:pt idx="2151">
                  <c:v>5</c:v>
                </c:pt>
                <c:pt idx="2152">
                  <c:v>5.1111111111111125</c:v>
                </c:pt>
                <c:pt idx="2153">
                  <c:v>5.2777777777777777</c:v>
                </c:pt>
                <c:pt idx="2154">
                  <c:v>5.6111111111111116</c:v>
                </c:pt>
                <c:pt idx="2155">
                  <c:v>5.7777777777777768</c:v>
                </c:pt>
                <c:pt idx="2156">
                  <c:v>5.7777777777777768</c:v>
                </c:pt>
                <c:pt idx="2157">
                  <c:v>5.7777777777777768</c:v>
                </c:pt>
                <c:pt idx="2158">
                  <c:v>5.7222222222222205</c:v>
                </c:pt>
                <c:pt idx="2159">
                  <c:v>5.3888888888888902</c:v>
                </c:pt>
                <c:pt idx="2160">
                  <c:v>5.2777777777777777</c:v>
                </c:pt>
                <c:pt idx="2161">
                  <c:v>5.2777777777777777</c:v>
                </c:pt>
                <c:pt idx="2162">
                  <c:v>5.2777777777777777</c:v>
                </c:pt>
                <c:pt idx="2163">
                  <c:v>5.2777777777777777</c:v>
                </c:pt>
                <c:pt idx="2164">
                  <c:v>5.2777777777777777</c:v>
                </c:pt>
                <c:pt idx="2165">
                  <c:v>5.2777777777777777</c:v>
                </c:pt>
                <c:pt idx="2166">
                  <c:v>5.3888888888888902</c:v>
                </c:pt>
                <c:pt idx="2167">
                  <c:v>5.4999999999999991</c:v>
                </c:pt>
                <c:pt idx="2168">
                  <c:v>5.6111111111111116</c:v>
                </c:pt>
                <c:pt idx="2169">
                  <c:v>5.6111111111111116</c:v>
                </c:pt>
                <c:pt idx="2170">
                  <c:v>5.4999999999999991</c:v>
                </c:pt>
                <c:pt idx="2171">
                  <c:v>5.2777777777777777</c:v>
                </c:pt>
                <c:pt idx="2172">
                  <c:v>5.2222222222222214</c:v>
                </c:pt>
                <c:pt idx="2173">
                  <c:v>5.2222222222222214</c:v>
                </c:pt>
                <c:pt idx="2174">
                  <c:v>5.1111111111111125</c:v>
                </c:pt>
                <c:pt idx="2175">
                  <c:v>5.1111111111111125</c:v>
                </c:pt>
                <c:pt idx="2176">
                  <c:v>5.2222222222222214</c:v>
                </c:pt>
                <c:pt idx="2177">
                  <c:v>5.2222222222222214</c:v>
                </c:pt>
                <c:pt idx="2178">
                  <c:v>5.3888888888888902</c:v>
                </c:pt>
                <c:pt idx="2179">
                  <c:v>5.6111111111111116</c:v>
                </c:pt>
                <c:pt idx="2180">
                  <c:v>5.7222222222222205</c:v>
                </c:pt>
                <c:pt idx="2181">
                  <c:v>5.7777777777777768</c:v>
                </c:pt>
                <c:pt idx="2182">
                  <c:v>5.7777777777777768</c:v>
                </c:pt>
                <c:pt idx="2183">
                  <c:v>5.7222222222222205</c:v>
                </c:pt>
                <c:pt idx="2184">
                  <c:v>5.3888888888888902</c:v>
                </c:pt>
                <c:pt idx="2185">
                  <c:v>5.2777777777777777</c:v>
                </c:pt>
                <c:pt idx="2186">
                  <c:v>5.2222222222222214</c:v>
                </c:pt>
                <c:pt idx="2187">
                  <c:v>5.2222222222222214</c:v>
                </c:pt>
                <c:pt idx="2188">
                  <c:v>5.2777777777777777</c:v>
                </c:pt>
                <c:pt idx="2189">
                  <c:v>5.2777777777777777</c:v>
                </c:pt>
                <c:pt idx="2190">
                  <c:v>5.3888888888888902</c:v>
                </c:pt>
                <c:pt idx="2191">
                  <c:v>5.4999999999999991</c:v>
                </c:pt>
                <c:pt idx="2192">
                  <c:v>5.7222222222222205</c:v>
                </c:pt>
                <c:pt idx="2193">
                  <c:v>5.7777777777777768</c:v>
                </c:pt>
                <c:pt idx="2194">
                  <c:v>5.7222222222222205</c:v>
                </c:pt>
                <c:pt idx="2195">
                  <c:v>5.6111111111111116</c:v>
                </c:pt>
                <c:pt idx="2196">
                  <c:v>5.2777777777777777</c:v>
                </c:pt>
                <c:pt idx="2197">
                  <c:v>5.2777777777777777</c:v>
                </c:pt>
                <c:pt idx="2198">
                  <c:v>5.2777777777777777</c:v>
                </c:pt>
                <c:pt idx="2199">
                  <c:v>5.1111111111111125</c:v>
                </c:pt>
                <c:pt idx="2200">
                  <c:v>5.2777777777777777</c:v>
                </c:pt>
                <c:pt idx="2201">
                  <c:v>5.2777777777777777</c:v>
                </c:pt>
                <c:pt idx="2202">
                  <c:v>5.6111111111111116</c:v>
                </c:pt>
                <c:pt idx="2203">
                  <c:v>5.7777777777777768</c:v>
                </c:pt>
                <c:pt idx="2204">
                  <c:v>5.9999999999999982</c:v>
                </c:pt>
                <c:pt idx="2205">
                  <c:v>6.1111111111111107</c:v>
                </c:pt>
                <c:pt idx="2206">
                  <c:v>6.2222222222222232</c:v>
                </c:pt>
                <c:pt idx="2207">
                  <c:v>6.1111111111111107</c:v>
                </c:pt>
                <c:pt idx="2208">
                  <c:v>5.7222222222222205</c:v>
                </c:pt>
                <c:pt idx="2209">
                  <c:v>5.4999999999999991</c:v>
                </c:pt>
                <c:pt idx="2210">
                  <c:v>5.2777777777777777</c:v>
                </c:pt>
                <c:pt idx="2211">
                  <c:v>5.2222222222222214</c:v>
                </c:pt>
                <c:pt idx="2212">
                  <c:v>5.2222222222222214</c:v>
                </c:pt>
                <c:pt idx="2213">
                  <c:v>5.2222222222222214</c:v>
                </c:pt>
                <c:pt idx="2214">
                  <c:v>5.2222222222222214</c:v>
                </c:pt>
                <c:pt idx="2215">
                  <c:v>5.3888888888888902</c:v>
                </c:pt>
                <c:pt idx="2216">
                  <c:v>5.6111111111111116</c:v>
                </c:pt>
                <c:pt idx="2217">
                  <c:v>5.7777777777777768</c:v>
                </c:pt>
                <c:pt idx="2218">
                  <c:v>5.7777777777777768</c:v>
                </c:pt>
                <c:pt idx="2219">
                  <c:v>5.7777777777777768</c:v>
                </c:pt>
                <c:pt idx="2220">
                  <c:v>5.6111111111111116</c:v>
                </c:pt>
                <c:pt idx="2221">
                  <c:v>5.2777777777777777</c:v>
                </c:pt>
                <c:pt idx="2222">
                  <c:v>5.2777777777777777</c:v>
                </c:pt>
                <c:pt idx="2223">
                  <c:v>5.2222222222222214</c:v>
                </c:pt>
                <c:pt idx="2224">
                  <c:v>5.1111111111111125</c:v>
                </c:pt>
                <c:pt idx="2225">
                  <c:v>5.3888888888888902</c:v>
                </c:pt>
                <c:pt idx="2226">
                  <c:v>5.3888888888888902</c:v>
                </c:pt>
                <c:pt idx="2227">
                  <c:v>5.6111111111111116</c:v>
                </c:pt>
                <c:pt idx="2228">
                  <c:v>5.8888888888888893</c:v>
                </c:pt>
                <c:pt idx="2229">
                  <c:v>6.2222222222222232</c:v>
                </c:pt>
                <c:pt idx="2230">
                  <c:v>6.2777777777777759</c:v>
                </c:pt>
                <c:pt idx="2231">
                  <c:v>6.2777777777777759</c:v>
                </c:pt>
                <c:pt idx="2232">
                  <c:v>6.2222222222222232</c:v>
                </c:pt>
                <c:pt idx="2233">
                  <c:v>5.8888888888888893</c:v>
                </c:pt>
                <c:pt idx="2234">
                  <c:v>5.7222222222222205</c:v>
                </c:pt>
                <c:pt idx="2235">
                  <c:v>5.6111111111111116</c:v>
                </c:pt>
                <c:pt idx="2236">
                  <c:v>5.6111111111111116</c:v>
                </c:pt>
                <c:pt idx="2237">
                  <c:v>5.4999999999999991</c:v>
                </c:pt>
                <c:pt idx="2238">
                  <c:v>5.6111111111111116</c:v>
                </c:pt>
                <c:pt idx="2239">
                  <c:v>5.7222222222222205</c:v>
                </c:pt>
                <c:pt idx="2240">
                  <c:v>5.8888888888888893</c:v>
                </c:pt>
                <c:pt idx="2241">
                  <c:v>6.1111111111111107</c:v>
                </c:pt>
                <c:pt idx="2242">
                  <c:v>6.2222222222222232</c:v>
                </c:pt>
                <c:pt idx="2243">
                  <c:v>6.2777777777777759</c:v>
                </c:pt>
                <c:pt idx="2244">
                  <c:v>6.1111111111111107</c:v>
                </c:pt>
                <c:pt idx="2245">
                  <c:v>5.7777777777777768</c:v>
                </c:pt>
                <c:pt idx="2246">
                  <c:v>5.6111111111111116</c:v>
                </c:pt>
                <c:pt idx="2247">
                  <c:v>5.6111111111111116</c:v>
                </c:pt>
                <c:pt idx="2248">
                  <c:v>5.3888888888888902</c:v>
                </c:pt>
                <c:pt idx="2249">
                  <c:v>5.2777777777777777</c:v>
                </c:pt>
                <c:pt idx="2250">
                  <c:v>5.3888888888888902</c:v>
                </c:pt>
                <c:pt idx="2251">
                  <c:v>5.6111111111111116</c:v>
                </c:pt>
                <c:pt idx="2252">
                  <c:v>5.8888888888888893</c:v>
                </c:pt>
                <c:pt idx="2253">
                  <c:v>6.2222222222222232</c:v>
                </c:pt>
                <c:pt idx="2254">
                  <c:v>6.5000000000000018</c:v>
                </c:pt>
                <c:pt idx="2255">
                  <c:v>6.6111111111111098</c:v>
                </c:pt>
                <c:pt idx="2256">
                  <c:v>5.2777777777777777</c:v>
                </c:pt>
                <c:pt idx="2257">
                  <c:v>5.2777777777777777</c:v>
                </c:pt>
                <c:pt idx="2258">
                  <c:v>5.2777777777777777</c:v>
                </c:pt>
                <c:pt idx="2259">
                  <c:v>5.2777777777777777</c:v>
                </c:pt>
                <c:pt idx="2260">
                  <c:v>5.2777777777777777</c:v>
                </c:pt>
                <c:pt idx="2261">
                  <c:v>5.2777777777777777</c:v>
                </c:pt>
                <c:pt idx="2262">
                  <c:v>5.3888888888888902</c:v>
                </c:pt>
                <c:pt idx="2263">
                  <c:v>5.4999999999999991</c:v>
                </c:pt>
                <c:pt idx="2264">
                  <c:v>5.6111111111111116</c:v>
                </c:pt>
                <c:pt idx="2265">
                  <c:v>5.6111111111111116</c:v>
                </c:pt>
                <c:pt idx="2266">
                  <c:v>5.4999999999999991</c:v>
                </c:pt>
                <c:pt idx="2267">
                  <c:v>5.2777777777777777</c:v>
                </c:pt>
                <c:pt idx="2268">
                  <c:v>5.2222222222222214</c:v>
                </c:pt>
                <c:pt idx="2269">
                  <c:v>5.2222222222222214</c:v>
                </c:pt>
                <c:pt idx="2270">
                  <c:v>5.1111111111111125</c:v>
                </c:pt>
                <c:pt idx="2271">
                  <c:v>5.1111111111111125</c:v>
                </c:pt>
                <c:pt idx="2272">
                  <c:v>5.2222222222222214</c:v>
                </c:pt>
                <c:pt idx="2273">
                  <c:v>5.2222222222222214</c:v>
                </c:pt>
                <c:pt idx="2274">
                  <c:v>5.3888888888888902</c:v>
                </c:pt>
                <c:pt idx="2275">
                  <c:v>5.6111111111111116</c:v>
                </c:pt>
                <c:pt idx="2276">
                  <c:v>5.7222222222222205</c:v>
                </c:pt>
                <c:pt idx="2277">
                  <c:v>5.7777777777777768</c:v>
                </c:pt>
                <c:pt idx="2278">
                  <c:v>5.7777777777777768</c:v>
                </c:pt>
                <c:pt idx="2279">
                  <c:v>5.7222222222222205</c:v>
                </c:pt>
                <c:pt idx="2280">
                  <c:v>5.3888888888888902</c:v>
                </c:pt>
                <c:pt idx="2281">
                  <c:v>5.2777777777777777</c:v>
                </c:pt>
                <c:pt idx="2282">
                  <c:v>5.2222222222222214</c:v>
                </c:pt>
                <c:pt idx="2283">
                  <c:v>5.2222222222222214</c:v>
                </c:pt>
                <c:pt idx="2284">
                  <c:v>5.2777777777777777</c:v>
                </c:pt>
                <c:pt idx="2285">
                  <c:v>5.2777777777777777</c:v>
                </c:pt>
                <c:pt idx="2286">
                  <c:v>5.3888888888888902</c:v>
                </c:pt>
                <c:pt idx="2287">
                  <c:v>5.4999999999999991</c:v>
                </c:pt>
                <c:pt idx="2288">
                  <c:v>5.7222222222222205</c:v>
                </c:pt>
                <c:pt idx="2289">
                  <c:v>5.7777777777777768</c:v>
                </c:pt>
                <c:pt idx="2290">
                  <c:v>5.7222222222222205</c:v>
                </c:pt>
                <c:pt idx="2291">
                  <c:v>5.6111111111111116</c:v>
                </c:pt>
                <c:pt idx="2292">
                  <c:v>5.2777777777777777</c:v>
                </c:pt>
                <c:pt idx="2293">
                  <c:v>5.2777777777777777</c:v>
                </c:pt>
                <c:pt idx="2294">
                  <c:v>5.2777777777777777</c:v>
                </c:pt>
                <c:pt idx="2295">
                  <c:v>5.1111111111111125</c:v>
                </c:pt>
                <c:pt idx="2296">
                  <c:v>5.2777777777777777</c:v>
                </c:pt>
                <c:pt idx="2297">
                  <c:v>5.2777777777777777</c:v>
                </c:pt>
                <c:pt idx="2298">
                  <c:v>5.6111111111111116</c:v>
                </c:pt>
                <c:pt idx="2299">
                  <c:v>5.7777777777777768</c:v>
                </c:pt>
                <c:pt idx="2300">
                  <c:v>5.9999999999999982</c:v>
                </c:pt>
                <c:pt idx="2301">
                  <c:v>6.1111111111111107</c:v>
                </c:pt>
                <c:pt idx="2302">
                  <c:v>6.2222222222222232</c:v>
                </c:pt>
                <c:pt idx="2303">
                  <c:v>6.1111111111111107</c:v>
                </c:pt>
                <c:pt idx="2304">
                  <c:v>5.7222222222222205</c:v>
                </c:pt>
                <c:pt idx="2305">
                  <c:v>5.4999999999999991</c:v>
                </c:pt>
                <c:pt idx="2306">
                  <c:v>5.2777777777777777</c:v>
                </c:pt>
                <c:pt idx="2307">
                  <c:v>5.2222222222222214</c:v>
                </c:pt>
                <c:pt idx="2308">
                  <c:v>5.2222222222222214</c:v>
                </c:pt>
                <c:pt idx="2309">
                  <c:v>5.2222222222222214</c:v>
                </c:pt>
                <c:pt idx="2310">
                  <c:v>5.2222222222222214</c:v>
                </c:pt>
                <c:pt idx="2311">
                  <c:v>5.3888888888888902</c:v>
                </c:pt>
                <c:pt idx="2312">
                  <c:v>5.6111111111111116</c:v>
                </c:pt>
                <c:pt idx="2313">
                  <c:v>5.7777777777777768</c:v>
                </c:pt>
                <c:pt idx="2314">
                  <c:v>5.7777777777777768</c:v>
                </c:pt>
                <c:pt idx="2315">
                  <c:v>5.7777777777777768</c:v>
                </c:pt>
                <c:pt idx="2316">
                  <c:v>5.6111111111111116</c:v>
                </c:pt>
                <c:pt idx="2317">
                  <c:v>5.2777777777777777</c:v>
                </c:pt>
                <c:pt idx="2318">
                  <c:v>5.2777777777777777</c:v>
                </c:pt>
                <c:pt idx="2319">
                  <c:v>5.2222222222222214</c:v>
                </c:pt>
                <c:pt idx="2320">
                  <c:v>5.1111111111111125</c:v>
                </c:pt>
                <c:pt idx="2321">
                  <c:v>5.3888888888888902</c:v>
                </c:pt>
                <c:pt idx="2322">
                  <c:v>5.3888888888888902</c:v>
                </c:pt>
                <c:pt idx="2323">
                  <c:v>5.6111111111111116</c:v>
                </c:pt>
                <c:pt idx="2324">
                  <c:v>5.8888888888888893</c:v>
                </c:pt>
                <c:pt idx="2325">
                  <c:v>6.2222222222222232</c:v>
                </c:pt>
                <c:pt idx="2326">
                  <c:v>6.2777777777777759</c:v>
                </c:pt>
                <c:pt idx="2327">
                  <c:v>6.2777777777777759</c:v>
                </c:pt>
                <c:pt idx="2328">
                  <c:v>6.2222222222222232</c:v>
                </c:pt>
                <c:pt idx="2329">
                  <c:v>5.8888888888888893</c:v>
                </c:pt>
                <c:pt idx="2330">
                  <c:v>5.7222222222222205</c:v>
                </c:pt>
                <c:pt idx="2331">
                  <c:v>5.6111111111111116</c:v>
                </c:pt>
                <c:pt idx="2332">
                  <c:v>5.6111111111111116</c:v>
                </c:pt>
                <c:pt idx="2333">
                  <c:v>5.4999999999999991</c:v>
                </c:pt>
                <c:pt idx="2334">
                  <c:v>5.6111111111111116</c:v>
                </c:pt>
                <c:pt idx="2335">
                  <c:v>5.7222222222222205</c:v>
                </c:pt>
                <c:pt idx="2336">
                  <c:v>5.8888888888888893</c:v>
                </c:pt>
                <c:pt idx="2337">
                  <c:v>6.1111111111111107</c:v>
                </c:pt>
                <c:pt idx="2338">
                  <c:v>6.2222222222222232</c:v>
                </c:pt>
                <c:pt idx="2339">
                  <c:v>6.2777777777777759</c:v>
                </c:pt>
                <c:pt idx="2340">
                  <c:v>6.1111111111111107</c:v>
                </c:pt>
                <c:pt idx="2341">
                  <c:v>5.7777777777777768</c:v>
                </c:pt>
                <c:pt idx="2342">
                  <c:v>5.6111111111111116</c:v>
                </c:pt>
                <c:pt idx="2343">
                  <c:v>5.6111111111111116</c:v>
                </c:pt>
                <c:pt idx="2344">
                  <c:v>5.3888888888888902</c:v>
                </c:pt>
                <c:pt idx="2345">
                  <c:v>5.2777777777777777</c:v>
                </c:pt>
                <c:pt idx="2346">
                  <c:v>5.3888888888888902</c:v>
                </c:pt>
                <c:pt idx="2347">
                  <c:v>5.6111111111111116</c:v>
                </c:pt>
                <c:pt idx="2348">
                  <c:v>5.8888888888888893</c:v>
                </c:pt>
                <c:pt idx="2349">
                  <c:v>6.2222222222222232</c:v>
                </c:pt>
                <c:pt idx="2350">
                  <c:v>6.5000000000000018</c:v>
                </c:pt>
                <c:pt idx="2351">
                  <c:v>6.6111111111111098</c:v>
                </c:pt>
                <c:pt idx="2352">
                  <c:v>6.6111111111111098</c:v>
                </c:pt>
                <c:pt idx="2353">
                  <c:v>6.2222222222222232</c:v>
                </c:pt>
                <c:pt idx="2354">
                  <c:v>5.7777777777777768</c:v>
                </c:pt>
                <c:pt idx="2355">
                  <c:v>5.4999999999999991</c:v>
                </c:pt>
                <c:pt idx="2356">
                  <c:v>5.4999999999999991</c:v>
                </c:pt>
                <c:pt idx="2357">
                  <c:v>5.2777777777777777</c:v>
                </c:pt>
                <c:pt idx="2358">
                  <c:v>5.4999999999999991</c:v>
                </c:pt>
                <c:pt idx="2359">
                  <c:v>5.4999999999999991</c:v>
                </c:pt>
                <c:pt idx="2360">
                  <c:v>5.7222222222222205</c:v>
                </c:pt>
                <c:pt idx="2361">
                  <c:v>6.1111111111111107</c:v>
                </c:pt>
                <c:pt idx="2362">
                  <c:v>6.2777777777777759</c:v>
                </c:pt>
                <c:pt idx="2363">
                  <c:v>6.5000000000000018</c:v>
                </c:pt>
                <c:pt idx="2364">
                  <c:v>6.5000000000000018</c:v>
                </c:pt>
                <c:pt idx="2365">
                  <c:v>6.2222222222222232</c:v>
                </c:pt>
                <c:pt idx="2366">
                  <c:v>5.7222222222222205</c:v>
                </c:pt>
                <c:pt idx="2367">
                  <c:v>5.7222222222222205</c:v>
                </c:pt>
                <c:pt idx="2368">
                  <c:v>5.7222222222222205</c:v>
                </c:pt>
                <c:pt idx="2369">
                  <c:v>5.6111111111111116</c:v>
                </c:pt>
                <c:pt idx="2370">
                  <c:v>5.4999999999999991</c:v>
                </c:pt>
                <c:pt idx="2371">
                  <c:v>5.6111111111111116</c:v>
                </c:pt>
                <c:pt idx="2372">
                  <c:v>5.7222222222222205</c:v>
                </c:pt>
                <c:pt idx="2373">
                  <c:v>5.9999999999999982</c:v>
                </c:pt>
                <c:pt idx="2374">
                  <c:v>6.2777777777777759</c:v>
                </c:pt>
                <c:pt idx="2375">
                  <c:v>6.3888888888888884</c:v>
                </c:pt>
                <c:pt idx="2376">
                  <c:v>6.5000000000000018</c:v>
                </c:pt>
                <c:pt idx="2377">
                  <c:v>6.3888888888888884</c:v>
                </c:pt>
                <c:pt idx="2378">
                  <c:v>5.9999999999999982</c:v>
                </c:pt>
                <c:pt idx="2379">
                  <c:v>5.7777777777777768</c:v>
                </c:pt>
                <c:pt idx="2380">
                  <c:v>5.7222222222222205</c:v>
                </c:pt>
                <c:pt idx="2381">
                  <c:v>5.6111111111111116</c:v>
                </c:pt>
                <c:pt idx="2382">
                  <c:v>5.4999999999999991</c:v>
                </c:pt>
                <c:pt idx="2383">
                  <c:v>5.4999999999999991</c:v>
                </c:pt>
                <c:pt idx="2384">
                  <c:v>5.6111111111111116</c:v>
                </c:pt>
                <c:pt idx="2385">
                  <c:v>5.8888888888888893</c:v>
                </c:pt>
                <c:pt idx="2386">
                  <c:v>6.1111111111111107</c:v>
                </c:pt>
                <c:pt idx="2387">
                  <c:v>6.2777777777777759</c:v>
                </c:pt>
                <c:pt idx="2388">
                  <c:v>6.3888888888888884</c:v>
                </c:pt>
                <c:pt idx="2389">
                  <c:v>6.2777777777777759</c:v>
                </c:pt>
                <c:pt idx="2390">
                  <c:v>6.1111111111111107</c:v>
                </c:pt>
                <c:pt idx="2391">
                  <c:v>5.7777777777777768</c:v>
                </c:pt>
                <c:pt idx="2392">
                  <c:v>5.6111111111111116</c:v>
                </c:pt>
                <c:pt idx="2393">
                  <c:v>5.4999999999999991</c:v>
                </c:pt>
                <c:pt idx="2394">
                  <c:v>5.6111111111111116</c:v>
                </c:pt>
                <c:pt idx="2395">
                  <c:v>5.4999999999999991</c:v>
                </c:pt>
                <c:pt idx="2396">
                  <c:v>5.7222222222222205</c:v>
                </c:pt>
                <c:pt idx="2397">
                  <c:v>5.8888888888888893</c:v>
                </c:pt>
                <c:pt idx="2398">
                  <c:v>6.2777777777777759</c:v>
                </c:pt>
                <c:pt idx="2399">
                  <c:v>6.5000000000000018</c:v>
                </c:pt>
                <c:pt idx="2400">
                  <c:v>6.6111111111111098</c:v>
                </c:pt>
                <c:pt idx="2401">
                  <c:v>6.6111111111111098</c:v>
                </c:pt>
                <c:pt idx="2402">
                  <c:v>6.2777777777777759</c:v>
                </c:pt>
                <c:pt idx="2403">
                  <c:v>6.1111111111111107</c:v>
                </c:pt>
                <c:pt idx="2404">
                  <c:v>5.7777777777777768</c:v>
                </c:pt>
                <c:pt idx="2405">
                  <c:v>5.7222222222222205</c:v>
                </c:pt>
                <c:pt idx="2406">
                  <c:v>5.6111111111111116</c:v>
                </c:pt>
                <c:pt idx="2407">
                  <c:v>5.7777777777777768</c:v>
                </c:pt>
                <c:pt idx="2408">
                  <c:v>5.7222222222222205</c:v>
                </c:pt>
                <c:pt idx="2409">
                  <c:v>5.8888888888888893</c:v>
                </c:pt>
                <c:pt idx="2410">
                  <c:v>6.2222222222222232</c:v>
                </c:pt>
                <c:pt idx="2411">
                  <c:v>6.3888888888888884</c:v>
                </c:pt>
                <c:pt idx="2412">
                  <c:v>6.6111111111111098</c:v>
                </c:pt>
                <c:pt idx="2413">
                  <c:v>6.7222222222222232</c:v>
                </c:pt>
                <c:pt idx="2414">
                  <c:v>6.6111111111111098</c:v>
                </c:pt>
                <c:pt idx="2415">
                  <c:v>6.2222222222222232</c:v>
                </c:pt>
                <c:pt idx="2416">
                  <c:v>5.9999999999999982</c:v>
                </c:pt>
                <c:pt idx="2417">
                  <c:v>5.7222222222222205</c:v>
                </c:pt>
                <c:pt idx="2418">
                  <c:v>5.7222222222222205</c:v>
                </c:pt>
                <c:pt idx="2419">
                  <c:v>5.6111111111111116</c:v>
                </c:pt>
                <c:pt idx="2420">
                  <c:v>5.6111111111111116</c:v>
                </c:pt>
                <c:pt idx="2421">
                  <c:v>5.7777777777777768</c:v>
                </c:pt>
                <c:pt idx="2422">
                  <c:v>6.1111111111111107</c:v>
                </c:pt>
                <c:pt idx="2423">
                  <c:v>6.5000000000000018</c:v>
                </c:pt>
                <c:pt idx="2424">
                  <c:v>6.7222222222222232</c:v>
                </c:pt>
                <c:pt idx="2425">
                  <c:v>6.7222222222222232</c:v>
                </c:pt>
                <c:pt idx="2426">
                  <c:v>6.6111111111111098</c:v>
                </c:pt>
                <c:pt idx="2427">
                  <c:v>6.2777777777777759</c:v>
                </c:pt>
                <c:pt idx="2428">
                  <c:v>5.8888888888888893</c:v>
                </c:pt>
                <c:pt idx="2429">
                  <c:v>5.6111111111111116</c:v>
                </c:pt>
                <c:pt idx="2430">
                  <c:v>5.3888888888888902</c:v>
                </c:pt>
                <c:pt idx="2431">
                  <c:v>5.2777777777777777</c:v>
                </c:pt>
                <c:pt idx="2432">
                  <c:v>5.2777777777777777</c:v>
                </c:pt>
                <c:pt idx="2433">
                  <c:v>5.3888888888888902</c:v>
                </c:pt>
                <c:pt idx="2434">
                  <c:v>5.7222222222222205</c:v>
                </c:pt>
                <c:pt idx="2435">
                  <c:v>5.9999999999999982</c:v>
                </c:pt>
                <c:pt idx="2436">
                  <c:v>6.2222222222222232</c:v>
                </c:pt>
                <c:pt idx="2437">
                  <c:v>6.2777777777777759</c:v>
                </c:pt>
                <c:pt idx="2438">
                  <c:v>6.3888888888888884</c:v>
                </c:pt>
                <c:pt idx="2439">
                  <c:v>6.1111111111111107</c:v>
                </c:pt>
                <c:pt idx="2440">
                  <c:v>5.7222222222222205</c:v>
                </c:pt>
                <c:pt idx="2441">
                  <c:v>5.7222222222222205</c:v>
                </c:pt>
                <c:pt idx="2442">
                  <c:v>5.4999999999999991</c:v>
                </c:pt>
                <c:pt idx="2443">
                  <c:v>5.3888888888888902</c:v>
                </c:pt>
                <c:pt idx="2444">
                  <c:v>5.6111111111111116</c:v>
                </c:pt>
                <c:pt idx="2445">
                  <c:v>5.6111111111111116</c:v>
                </c:pt>
                <c:pt idx="2446">
                  <c:v>5.7777777777777768</c:v>
                </c:pt>
                <c:pt idx="2447">
                  <c:v>6.2222222222222232</c:v>
                </c:pt>
                <c:pt idx="2448">
                  <c:v>6.5000000000000018</c:v>
                </c:pt>
                <c:pt idx="2449">
                  <c:v>6.6111111111111098</c:v>
                </c:pt>
                <c:pt idx="2450">
                  <c:v>6.6111111111111098</c:v>
                </c:pt>
                <c:pt idx="2451">
                  <c:v>6.3888888888888884</c:v>
                </c:pt>
                <c:pt idx="2452">
                  <c:v>6.1111111111111107</c:v>
                </c:pt>
                <c:pt idx="2453">
                  <c:v>5.7777777777777768</c:v>
                </c:pt>
                <c:pt idx="2454">
                  <c:v>5.4999999999999991</c:v>
                </c:pt>
                <c:pt idx="2455">
                  <c:v>5.3888888888888902</c:v>
                </c:pt>
                <c:pt idx="2456">
                  <c:v>5.3888888888888902</c:v>
                </c:pt>
                <c:pt idx="2457">
                  <c:v>5.3888888888888902</c:v>
                </c:pt>
                <c:pt idx="2458">
                  <c:v>5.4999999999999991</c:v>
                </c:pt>
                <c:pt idx="2459">
                  <c:v>5.7777777777777768</c:v>
                </c:pt>
                <c:pt idx="2460">
                  <c:v>6.1111111111111107</c:v>
                </c:pt>
                <c:pt idx="2461">
                  <c:v>6.2777777777777759</c:v>
                </c:pt>
                <c:pt idx="2462">
                  <c:v>6.3888888888888884</c:v>
                </c:pt>
                <c:pt idx="2463">
                  <c:v>6.3888888888888884</c:v>
                </c:pt>
                <c:pt idx="2464">
                  <c:v>6.1111111111111107</c:v>
                </c:pt>
                <c:pt idx="2465">
                  <c:v>5.7777777777777768</c:v>
                </c:pt>
                <c:pt idx="2466">
                  <c:v>5.7222222222222205</c:v>
                </c:pt>
                <c:pt idx="2467">
                  <c:v>5.6111111111111116</c:v>
                </c:pt>
                <c:pt idx="2468">
                  <c:v>5.6111111111111116</c:v>
                </c:pt>
                <c:pt idx="2469">
                  <c:v>5.7777777777777768</c:v>
                </c:pt>
                <c:pt idx="2470">
                  <c:v>5.7777777777777768</c:v>
                </c:pt>
                <c:pt idx="2471">
                  <c:v>5.9999999999999982</c:v>
                </c:pt>
                <c:pt idx="2472">
                  <c:v>6.3888888888888884</c:v>
                </c:pt>
                <c:pt idx="2473">
                  <c:v>6.7222222222222232</c:v>
                </c:pt>
                <c:pt idx="2474">
                  <c:v>6.7777777777777795</c:v>
                </c:pt>
                <c:pt idx="2475">
                  <c:v>6.7222222222222232</c:v>
                </c:pt>
                <c:pt idx="2476">
                  <c:v>6.3888888888888884</c:v>
                </c:pt>
                <c:pt idx="2477">
                  <c:v>6.1111111111111107</c:v>
                </c:pt>
                <c:pt idx="2478">
                  <c:v>5.7777777777777768</c:v>
                </c:pt>
                <c:pt idx="2479">
                  <c:v>5.7222222222222205</c:v>
                </c:pt>
                <c:pt idx="2480">
                  <c:v>5.6111111111111116</c:v>
                </c:pt>
                <c:pt idx="2481">
                  <c:v>5.6111111111111116</c:v>
                </c:pt>
                <c:pt idx="2482">
                  <c:v>5.6111111111111116</c:v>
                </c:pt>
                <c:pt idx="2483">
                  <c:v>5.7777777777777768</c:v>
                </c:pt>
                <c:pt idx="2484">
                  <c:v>6.1111111111111107</c:v>
                </c:pt>
                <c:pt idx="2485">
                  <c:v>6.3888888888888884</c:v>
                </c:pt>
                <c:pt idx="2486">
                  <c:v>6.6111111111111098</c:v>
                </c:pt>
                <c:pt idx="2487">
                  <c:v>6.7777777777777795</c:v>
                </c:pt>
                <c:pt idx="2488">
                  <c:v>6.6111111111111098</c:v>
                </c:pt>
                <c:pt idx="2489">
                  <c:v>6.2777777777777759</c:v>
                </c:pt>
                <c:pt idx="2490">
                  <c:v>5.9999999999999982</c:v>
                </c:pt>
                <c:pt idx="2491">
                  <c:v>5.8888888888888893</c:v>
                </c:pt>
                <c:pt idx="2492">
                  <c:v>5.8888888888888893</c:v>
                </c:pt>
                <c:pt idx="2493">
                  <c:v>5.7777777777777768</c:v>
                </c:pt>
                <c:pt idx="2494">
                  <c:v>5.9999999999999982</c:v>
                </c:pt>
                <c:pt idx="2495">
                  <c:v>6.1111111111111107</c:v>
                </c:pt>
                <c:pt idx="2496">
                  <c:v>6.3888888888888884</c:v>
                </c:pt>
                <c:pt idx="2497">
                  <c:v>6.7777777777777795</c:v>
                </c:pt>
                <c:pt idx="2498">
                  <c:v>7.0000000000000009</c:v>
                </c:pt>
                <c:pt idx="2499">
                  <c:v>7.1111111111111089</c:v>
                </c:pt>
                <c:pt idx="2500">
                  <c:v>7.0000000000000009</c:v>
                </c:pt>
                <c:pt idx="2501">
                  <c:v>6.6111111111111098</c:v>
                </c:pt>
                <c:pt idx="2502">
                  <c:v>6.2777777777777759</c:v>
                </c:pt>
                <c:pt idx="2503">
                  <c:v>5.9999999999999982</c:v>
                </c:pt>
                <c:pt idx="2504">
                  <c:v>5.7777777777777768</c:v>
                </c:pt>
                <c:pt idx="2505">
                  <c:v>5.7222222222222205</c:v>
                </c:pt>
                <c:pt idx="2506">
                  <c:v>5.7222222222222205</c:v>
                </c:pt>
                <c:pt idx="2507">
                  <c:v>5.7777777777777768</c:v>
                </c:pt>
                <c:pt idx="2508">
                  <c:v>6.1111111111111107</c:v>
                </c:pt>
                <c:pt idx="2509">
                  <c:v>6.5000000000000018</c:v>
                </c:pt>
                <c:pt idx="2510">
                  <c:v>6.8888888888888875</c:v>
                </c:pt>
                <c:pt idx="2511">
                  <c:v>7.1111111111111089</c:v>
                </c:pt>
                <c:pt idx="2512">
                  <c:v>7.2777777777777786</c:v>
                </c:pt>
                <c:pt idx="2513">
                  <c:v>7.1111111111111089</c:v>
                </c:pt>
                <c:pt idx="2514">
                  <c:v>6.6111111111111098</c:v>
                </c:pt>
                <c:pt idx="2515">
                  <c:v>6.3888888888888884</c:v>
                </c:pt>
                <c:pt idx="2516">
                  <c:v>6.2222222222222232</c:v>
                </c:pt>
                <c:pt idx="2517">
                  <c:v>5.8888888888888893</c:v>
                </c:pt>
                <c:pt idx="2518">
                  <c:v>5.7777777777777768</c:v>
                </c:pt>
                <c:pt idx="2519">
                  <c:v>5.9999999999999982</c:v>
                </c:pt>
                <c:pt idx="2520">
                  <c:v>6.2222222222222232</c:v>
                </c:pt>
                <c:pt idx="2521">
                  <c:v>6.6111111111111098</c:v>
                </c:pt>
                <c:pt idx="2522">
                  <c:v>7.1111111111111089</c:v>
                </c:pt>
                <c:pt idx="2523">
                  <c:v>7.2777777777777786</c:v>
                </c:pt>
                <c:pt idx="2524">
                  <c:v>7.5</c:v>
                </c:pt>
                <c:pt idx="2525">
                  <c:v>7.2777777777777786</c:v>
                </c:pt>
                <c:pt idx="2526">
                  <c:v>6.7777777777777795</c:v>
                </c:pt>
                <c:pt idx="2527">
                  <c:v>6.3888888888888884</c:v>
                </c:pt>
                <c:pt idx="2528">
                  <c:v>5.8888888888888893</c:v>
                </c:pt>
                <c:pt idx="2529">
                  <c:v>5.7222222222222205</c:v>
                </c:pt>
                <c:pt idx="2530">
                  <c:v>5.6111111111111116</c:v>
                </c:pt>
                <c:pt idx="2531">
                  <c:v>5.7222222222222205</c:v>
                </c:pt>
                <c:pt idx="2532">
                  <c:v>5.8888888888888893</c:v>
                </c:pt>
                <c:pt idx="2533">
                  <c:v>6.3888888888888884</c:v>
                </c:pt>
                <c:pt idx="2534">
                  <c:v>6.8888888888888875</c:v>
                </c:pt>
                <c:pt idx="2535">
                  <c:v>7.2777777777777786</c:v>
                </c:pt>
                <c:pt idx="2536">
                  <c:v>7.6111111111111125</c:v>
                </c:pt>
                <c:pt idx="2537">
                  <c:v>7.7777777777777777</c:v>
                </c:pt>
                <c:pt idx="2538">
                  <c:v>7.6111111111111125</c:v>
                </c:pt>
                <c:pt idx="2539">
                  <c:v>6.7777777777777795</c:v>
                </c:pt>
                <c:pt idx="2540">
                  <c:v>6.6111111111111098</c:v>
                </c:pt>
                <c:pt idx="2541">
                  <c:v>6.1111111111111107</c:v>
                </c:pt>
                <c:pt idx="2542">
                  <c:v>5.8888888888888893</c:v>
                </c:pt>
                <c:pt idx="2543">
                  <c:v>5.7777777777777768</c:v>
                </c:pt>
                <c:pt idx="2544">
                  <c:v>5.8888888888888893</c:v>
                </c:pt>
                <c:pt idx="2545">
                  <c:v>6.2222222222222232</c:v>
                </c:pt>
                <c:pt idx="2546">
                  <c:v>6.7222222222222232</c:v>
                </c:pt>
                <c:pt idx="2547">
                  <c:v>7.2777777777777786</c:v>
                </c:pt>
                <c:pt idx="2548">
                  <c:v>7.6111111111111125</c:v>
                </c:pt>
                <c:pt idx="2549">
                  <c:v>7.7222222222222214</c:v>
                </c:pt>
                <c:pt idx="2550">
                  <c:v>7.5</c:v>
                </c:pt>
                <c:pt idx="2551">
                  <c:v>6.7777777777777795</c:v>
                </c:pt>
                <c:pt idx="2552">
                  <c:v>6.2777777777777759</c:v>
                </c:pt>
                <c:pt idx="2553">
                  <c:v>5.8888888888888893</c:v>
                </c:pt>
                <c:pt idx="2554">
                  <c:v>5.7222222222222205</c:v>
                </c:pt>
                <c:pt idx="2555">
                  <c:v>5.7222222222222205</c:v>
                </c:pt>
                <c:pt idx="2556">
                  <c:v>5.7777777777777768</c:v>
                </c:pt>
                <c:pt idx="2557">
                  <c:v>5.9999999999999982</c:v>
                </c:pt>
                <c:pt idx="2558">
                  <c:v>6.2777777777777759</c:v>
                </c:pt>
                <c:pt idx="2559">
                  <c:v>7.0000000000000009</c:v>
                </c:pt>
                <c:pt idx="2560">
                  <c:v>7.6111111111111125</c:v>
                </c:pt>
                <c:pt idx="2561">
                  <c:v>7.8888888888888902</c:v>
                </c:pt>
                <c:pt idx="2562">
                  <c:v>8.2222222222222197</c:v>
                </c:pt>
                <c:pt idx="2563">
                  <c:v>7.8888888888888902</c:v>
                </c:pt>
                <c:pt idx="2564">
                  <c:v>7.2777777777777786</c:v>
                </c:pt>
                <c:pt idx="2565">
                  <c:v>6.8888888888888875</c:v>
                </c:pt>
                <c:pt idx="2566">
                  <c:v>6.6111111111111098</c:v>
                </c:pt>
                <c:pt idx="2567">
                  <c:v>6.5000000000000018</c:v>
                </c:pt>
                <c:pt idx="2568">
                  <c:v>6.3888888888888884</c:v>
                </c:pt>
                <c:pt idx="2569">
                  <c:v>6.6111111111111098</c:v>
                </c:pt>
                <c:pt idx="2570">
                  <c:v>6.7777777777777795</c:v>
                </c:pt>
                <c:pt idx="2571">
                  <c:v>7.2222222222222223</c:v>
                </c:pt>
                <c:pt idx="2572">
                  <c:v>7.7777777777777777</c:v>
                </c:pt>
                <c:pt idx="2573">
                  <c:v>8.2222222222222197</c:v>
                </c:pt>
                <c:pt idx="2574">
                  <c:v>8.2777777777777768</c:v>
                </c:pt>
                <c:pt idx="2575">
                  <c:v>7.9999999999999991</c:v>
                </c:pt>
                <c:pt idx="2576">
                  <c:v>7.3888888888888875</c:v>
                </c:pt>
                <c:pt idx="2577">
                  <c:v>7.0000000000000009</c:v>
                </c:pt>
                <c:pt idx="2578">
                  <c:v>6.6111111111111098</c:v>
                </c:pt>
                <c:pt idx="2579">
                  <c:v>6.5000000000000018</c:v>
                </c:pt>
                <c:pt idx="2580">
                  <c:v>6.3888888888888884</c:v>
                </c:pt>
                <c:pt idx="2581">
                  <c:v>6.3888888888888884</c:v>
                </c:pt>
                <c:pt idx="2582">
                  <c:v>6.7222222222222232</c:v>
                </c:pt>
                <c:pt idx="2583">
                  <c:v>7.1111111111111089</c:v>
                </c:pt>
                <c:pt idx="2584">
                  <c:v>7.7777777777777777</c:v>
                </c:pt>
                <c:pt idx="2585">
                  <c:v>8.3888888888888893</c:v>
                </c:pt>
                <c:pt idx="2586">
                  <c:v>8.8888888888888893</c:v>
                </c:pt>
                <c:pt idx="2587">
                  <c:v>9.2222222222222232</c:v>
                </c:pt>
                <c:pt idx="2588">
                  <c:v>8.7777777777777768</c:v>
                </c:pt>
                <c:pt idx="2589">
                  <c:v>8.1111111111111125</c:v>
                </c:pt>
                <c:pt idx="2590">
                  <c:v>7.6111111111111125</c:v>
                </c:pt>
                <c:pt idx="2591">
                  <c:v>7.3888888888888875</c:v>
                </c:pt>
                <c:pt idx="2592">
                  <c:v>7.2222222222222223</c:v>
                </c:pt>
                <c:pt idx="2593">
                  <c:v>7.1111111111111089</c:v>
                </c:pt>
                <c:pt idx="2594">
                  <c:v>7.1111111111111089</c:v>
                </c:pt>
                <c:pt idx="2595">
                  <c:v>7.2777777777777786</c:v>
                </c:pt>
                <c:pt idx="2596">
                  <c:v>7.6111111111111125</c:v>
                </c:pt>
                <c:pt idx="2597">
                  <c:v>8.2777777777777768</c:v>
                </c:pt>
                <c:pt idx="2598">
                  <c:v>8.7222222222222232</c:v>
                </c:pt>
                <c:pt idx="2599">
                  <c:v>9.0000000000000018</c:v>
                </c:pt>
                <c:pt idx="2600">
                  <c:v>8.7777777777777768</c:v>
                </c:pt>
                <c:pt idx="2601">
                  <c:v>8.1111111111111125</c:v>
                </c:pt>
                <c:pt idx="2602">
                  <c:v>7.6111111111111125</c:v>
                </c:pt>
                <c:pt idx="2603">
                  <c:v>7.2222222222222223</c:v>
                </c:pt>
                <c:pt idx="2604">
                  <c:v>6.8888888888888875</c:v>
                </c:pt>
                <c:pt idx="2605">
                  <c:v>6.7777777777777795</c:v>
                </c:pt>
                <c:pt idx="2606">
                  <c:v>7.0000000000000009</c:v>
                </c:pt>
                <c:pt idx="2607">
                  <c:v>7.1111111111111089</c:v>
                </c:pt>
                <c:pt idx="2608">
                  <c:v>7.5</c:v>
                </c:pt>
                <c:pt idx="2609">
                  <c:v>8.2777777777777768</c:v>
                </c:pt>
                <c:pt idx="2610">
                  <c:v>8.8888888888888893</c:v>
                </c:pt>
                <c:pt idx="2611">
                  <c:v>9.2777777777777786</c:v>
                </c:pt>
                <c:pt idx="2612">
                  <c:v>9.7222222222222214</c:v>
                </c:pt>
                <c:pt idx="2613">
                  <c:v>9.5</c:v>
                </c:pt>
                <c:pt idx="2614">
                  <c:v>8.7777777777777768</c:v>
                </c:pt>
                <c:pt idx="2615">
                  <c:v>8.2777777777777768</c:v>
                </c:pt>
                <c:pt idx="2616">
                  <c:v>7.9999999999999991</c:v>
                </c:pt>
                <c:pt idx="2617">
                  <c:v>7.7777777777777777</c:v>
                </c:pt>
                <c:pt idx="2618">
                  <c:v>7.7222222222222214</c:v>
                </c:pt>
                <c:pt idx="2619">
                  <c:v>7.7222222222222214</c:v>
                </c:pt>
                <c:pt idx="2620">
                  <c:v>7.8888888888888902</c:v>
                </c:pt>
                <c:pt idx="2621">
                  <c:v>8.2222222222222197</c:v>
                </c:pt>
                <c:pt idx="2622">
                  <c:v>8.7777777777777768</c:v>
                </c:pt>
                <c:pt idx="2623">
                  <c:v>9.2777777777777786</c:v>
                </c:pt>
                <c:pt idx="2624">
                  <c:v>9.5</c:v>
                </c:pt>
                <c:pt idx="2625">
                  <c:v>9.3888888888888875</c:v>
                </c:pt>
                <c:pt idx="2626">
                  <c:v>8.7222222222222232</c:v>
                </c:pt>
                <c:pt idx="2627">
                  <c:v>8.2777777777777768</c:v>
                </c:pt>
                <c:pt idx="2628">
                  <c:v>7.7777777777777777</c:v>
                </c:pt>
                <c:pt idx="2629">
                  <c:v>7.6111111111111125</c:v>
                </c:pt>
                <c:pt idx="2630">
                  <c:v>7.5</c:v>
                </c:pt>
                <c:pt idx="2631">
                  <c:v>7.6111111111111125</c:v>
                </c:pt>
                <c:pt idx="2632">
                  <c:v>7.7222222222222214</c:v>
                </c:pt>
                <c:pt idx="2633">
                  <c:v>7.9999999999999991</c:v>
                </c:pt>
                <c:pt idx="2634">
                  <c:v>8.7222222222222232</c:v>
                </c:pt>
                <c:pt idx="2635">
                  <c:v>9.2222222222222232</c:v>
                </c:pt>
                <c:pt idx="2636">
                  <c:v>9.7222222222222214</c:v>
                </c:pt>
                <c:pt idx="2637">
                  <c:v>10</c:v>
                </c:pt>
                <c:pt idx="2638">
                  <c:v>9.8888888888888875</c:v>
                </c:pt>
                <c:pt idx="2639">
                  <c:v>9.0000000000000018</c:v>
                </c:pt>
                <c:pt idx="2640">
                  <c:v>8.7222222222222232</c:v>
                </c:pt>
                <c:pt idx="2641">
                  <c:v>8.1111111111111125</c:v>
                </c:pt>
                <c:pt idx="2642">
                  <c:v>7.8888888888888902</c:v>
                </c:pt>
                <c:pt idx="2643">
                  <c:v>7.8888888888888902</c:v>
                </c:pt>
                <c:pt idx="2644">
                  <c:v>7.9999999999999991</c:v>
                </c:pt>
                <c:pt idx="2645">
                  <c:v>8.1111111111111125</c:v>
                </c:pt>
                <c:pt idx="2646">
                  <c:v>8.4999999999999982</c:v>
                </c:pt>
                <c:pt idx="2647">
                  <c:v>9.0000000000000018</c:v>
                </c:pt>
                <c:pt idx="2648">
                  <c:v>9.5</c:v>
                </c:pt>
                <c:pt idx="2649">
                  <c:v>9.7222222222222214</c:v>
                </c:pt>
                <c:pt idx="2650">
                  <c:v>9.7777777777777786</c:v>
                </c:pt>
                <c:pt idx="2651">
                  <c:v>8.8888888888888893</c:v>
                </c:pt>
                <c:pt idx="2652">
                  <c:v>8.7222222222222232</c:v>
                </c:pt>
                <c:pt idx="2653">
                  <c:v>8.2222222222222197</c:v>
                </c:pt>
                <c:pt idx="2654">
                  <c:v>8.1111111111111125</c:v>
                </c:pt>
                <c:pt idx="2655">
                  <c:v>8.1111111111111125</c:v>
                </c:pt>
                <c:pt idx="2656">
                  <c:v>8.1111111111111125</c:v>
                </c:pt>
                <c:pt idx="2657">
                  <c:v>8.2222222222222197</c:v>
                </c:pt>
                <c:pt idx="2658">
                  <c:v>8.3888888888888893</c:v>
                </c:pt>
                <c:pt idx="2659">
                  <c:v>8.8888888888888893</c:v>
                </c:pt>
                <c:pt idx="2660">
                  <c:v>9.2777777777777786</c:v>
                </c:pt>
                <c:pt idx="2661">
                  <c:v>9.7222222222222214</c:v>
                </c:pt>
                <c:pt idx="2662">
                  <c:v>9.8888888888888875</c:v>
                </c:pt>
                <c:pt idx="2663">
                  <c:v>9.7222222222222214</c:v>
                </c:pt>
                <c:pt idx="2664">
                  <c:v>9.0000000000000018</c:v>
                </c:pt>
                <c:pt idx="2665">
                  <c:v>8.6111111111111107</c:v>
                </c:pt>
                <c:pt idx="2666">
                  <c:v>8.2777777777777768</c:v>
                </c:pt>
                <c:pt idx="2667">
                  <c:v>8.2222222222222197</c:v>
                </c:pt>
                <c:pt idx="2668">
                  <c:v>8.2222222222222197</c:v>
                </c:pt>
                <c:pt idx="2669">
                  <c:v>8.2222222222222197</c:v>
                </c:pt>
                <c:pt idx="2670">
                  <c:v>8.2777777777777768</c:v>
                </c:pt>
                <c:pt idx="2671">
                  <c:v>8.7222222222222232</c:v>
                </c:pt>
                <c:pt idx="2672">
                  <c:v>9.1111111111111107</c:v>
                </c:pt>
                <c:pt idx="2673">
                  <c:v>9.3888888888888875</c:v>
                </c:pt>
                <c:pt idx="2674">
                  <c:v>9.7222222222222214</c:v>
                </c:pt>
                <c:pt idx="2675">
                  <c:v>9.7777777777777786</c:v>
                </c:pt>
                <c:pt idx="2676">
                  <c:v>9.2777777777777786</c:v>
                </c:pt>
                <c:pt idx="2677">
                  <c:v>8.7777777777777768</c:v>
                </c:pt>
                <c:pt idx="2678">
                  <c:v>8.3888888888888893</c:v>
                </c:pt>
                <c:pt idx="2679">
                  <c:v>8.2777777777777768</c:v>
                </c:pt>
                <c:pt idx="2680">
                  <c:v>8.2777777777777768</c:v>
                </c:pt>
                <c:pt idx="2681">
                  <c:v>8.3888888888888893</c:v>
                </c:pt>
                <c:pt idx="2682">
                  <c:v>8.3888888888888893</c:v>
                </c:pt>
                <c:pt idx="2683">
                  <c:v>8.7777777777777768</c:v>
                </c:pt>
                <c:pt idx="2684">
                  <c:v>9.2222222222222232</c:v>
                </c:pt>
                <c:pt idx="2685">
                  <c:v>9.6111111111111089</c:v>
                </c:pt>
                <c:pt idx="2686">
                  <c:v>9.8888888888888875</c:v>
                </c:pt>
                <c:pt idx="2687">
                  <c:v>10.111111111111112</c:v>
                </c:pt>
                <c:pt idx="2688">
                  <c:v>9.8888888888888875</c:v>
                </c:pt>
                <c:pt idx="2689">
                  <c:v>9.3888888888888875</c:v>
                </c:pt>
                <c:pt idx="2690">
                  <c:v>8.7777777777777768</c:v>
                </c:pt>
                <c:pt idx="2691">
                  <c:v>8.2222222222222197</c:v>
                </c:pt>
                <c:pt idx="2692">
                  <c:v>7.8888888888888902</c:v>
                </c:pt>
                <c:pt idx="2693">
                  <c:v>7.8888888888888902</c:v>
                </c:pt>
                <c:pt idx="2694">
                  <c:v>7.9999999999999991</c:v>
                </c:pt>
                <c:pt idx="2695">
                  <c:v>8.2222222222222197</c:v>
                </c:pt>
                <c:pt idx="2696">
                  <c:v>8.7777777777777768</c:v>
                </c:pt>
                <c:pt idx="2697">
                  <c:v>9.2777777777777786</c:v>
                </c:pt>
                <c:pt idx="2698">
                  <c:v>9.6111111111111089</c:v>
                </c:pt>
                <c:pt idx="2699">
                  <c:v>9.8888888888888875</c:v>
                </c:pt>
                <c:pt idx="2700">
                  <c:v>9.8888888888888875</c:v>
                </c:pt>
                <c:pt idx="2701">
                  <c:v>9.2777777777777786</c:v>
                </c:pt>
                <c:pt idx="2702">
                  <c:v>8.7777777777777768</c:v>
                </c:pt>
                <c:pt idx="2703">
                  <c:v>8.1111111111111125</c:v>
                </c:pt>
                <c:pt idx="2704">
                  <c:v>7.7222222222222214</c:v>
                </c:pt>
                <c:pt idx="2705">
                  <c:v>7.5</c:v>
                </c:pt>
                <c:pt idx="2706">
                  <c:v>7.6111111111111125</c:v>
                </c:pt>
                <c:pt idx="2707">
                  <c:v>7.7777777777777777</c:v>
                </c:pt>
                <c:pt idx="2708">
                  <c:v>8.2777777777777768</c:v>
                </c:pt>
                <c:pt idx="2709">
                  <c:v>9.1111111111111107</c:v>
                </c:pt>
                <c:pt idx="2710">
                  <c:v>9.3888888888888875</c:v>
                </c:pt>
                <c:pt idx="2711">
                  <c:v>9.7777777777777786</c:v>
                </c:pt>
                <c:pt idx="2712">
                  <c:v>9.8888888888888875</c:v>
                </c:pt>
                <c:pt idx="2713">
                  <c:v>9.5</c:v>
                </c:pt>
                <c:pt idx="2714">
                  <c:v>8.8888888888888893</c:v>
                </c:pt>
                <c:pt idx="2715">
                  <c:v>7.9999999999999991</c:v>
                </c:pt>
                <c:pt idx="2716">
                  <c:v>7.5</c:v>
                </c:pt>
                <c:pt idx="2717">
                  <c:v>7.2777777777777786</c:v>
                </c:pt>
                <c:pt idx="2718">
                  <c:v>7.2777777777777786</c:v>
                </c:pt>
                <c:pt idx="2719">
                  <c:v>7.3888888888888875</c:v>
                </c:pt>
                <c:pt idx="2720">
                  <c:v>7.7777777777777777</c:v>
                </c:pt>
                <c:pt idx="2721">
                  <c:v>8.4999999999999982</c:v>
                </c:pt>
                <c:pt idx="2722">
                  <c:v>8.8888888888888893</c:v>
                </c:pt>
                <c:pt idx="2723">
                  <c:v>9.2777777777777786</c:v>
                </c:pt>
                <c:pt idx="2724">
                  <c:v>9.5</c:v>
                </c:pt>
                <c:pt idx="2725">
                  <c:v>9.5</c:v>
                </c:pt>
                <c:pt idx="2726">
                  <c:v>8.7777777777777768</c:v>
                </c:pt>
                <c:pt idx="2727">
                  <c:v>8.2222222222222197</c:v>
                </c:pt>
                <c:pt idx="2728">
                  <c:v>7.5</c:v>
                </c:pt>
                <c:pt idx="2729">
                  <c:v>7.3888888888888875</c:v>
                </c:pt>
                <c:pt idx="2730">
                  <c:v>7.2777777777777786</c:v>
                </c:pt>
                <c:pt idx="2731">
                  <c:v>7.6111111111111125</c:v>
                </c:pt>
                <c:pt idx="2732">
                  <c:v>7.7222222222222214</c:v>
                </c:pt>
                <c:pt idx="2733">
                  <c:v>8.2777777777777768</c:v>
                </c:pt>
                <c:pt idx="2734">
                  <c:v>9.0000000000000018</c:v>
                </c:pt>
                <c:pt idx="2735">
                  <c:v>9.3888888888888875</c:v>
                </c:pt>
                <c:pt idx="2736">
                  <c:v>9.7222222222222214</c:v>
                </c:pt>
                <c:pt idx="2737">
                  <c:v>9.7222222222222214</c:v>
                </c:pt>
                <c:pt idx="2738">
                  <c:v>9.0000000000000018</c:v>
                </c:pt>
                <c:pt idx="2739">
                  <c:v>8.2777777777777768</c:v>
                </c:pt>
                <c:pt idx="2740">
                  <c:v>7.6111111111111125</c:v>
                </c:pt>
                <c:pt idx="2741">
                  <c:v>7.3888888888888875</c:v>
                </c:pt>
                <c:pt idx="2742">
                  <c:v>7.3888888888888875</c:v>
                </c:pt>
                <c:pt idx="2743">
                  <c:v>7.5</c:v>
                </c:pt>
                <c:pt idx="2744">
                  <c:v>7.6111111111111125</c:v>
                </c:pt>
                <c:pt idx="2745">
                  <c:v>7.8888888888888902</c:v>
                </c:pt>
                <c:pt idx="2746">
                  <c:v>8.4999999999999982</c:v>
                </c:pt>
                <c:pt idx="2747">
                  <c:v>8.8888888888888893</c:v>
                </c:pt>
                <c:pt idx="2748">
                  <c:v>9.2777777777777786</c:v>
                </c:pt>
                <c:pt idx="2749">
                  <c:v>9.5</c:v>
                </c:pt>
                <c:pt idx="2750">
                  <c:v>9.3888888888888875</c:v>
                </c:pt>
                <c:pt idx="2751">
                  <c:v>8.6111111111111107</c:v>
                </c:pt>
                <c:pt idx="2752">
                  <c:v>8.1111111111111125</c:v>
                </c:pt>
                <c:pt idx="2753">
                  <c:v>7.8888888888888902</c:v>
                </c:pt>
                <c:pt idx="2754">
                  <c:v>7.8888888888888902</c:v>
                </c:pt>
                <c:pt idx="2755">
                  <c:v>7.7777777777777777</c:v>
                </c:pt>
                <c:pt idx="2756">
                  <c:v>7.9999999999999991</c:v>
                </c:pt>
                <c:pt idx="2757">
                  <c:v>8.2222222222222197</c:v>
                </c:pt>
                <c:pt idx="2758">
                  <c:v>8.6111111111111107</c:v>
                </c:pt>
                <c:pt idx="2759">
                  <c:v>9.1111111111111107</c:v>
                </c:pt>
                <c:pt idx="2760">
                  <c:v>9.5</c:v>
                </c:pt>
                <c:pt idx="2761">
                  <c:v>9.7222222222222214</c:v>
                </c:pt>
                <c:pt idx="2762">
                  <c:v>9.5</c:v>
                </c:pt>
                <c:pt idx="2763">
                  <c:v>8.8888888888888893</c:v>
                </c:pt>
                <c:pt idx="2764">
                  <c:v>8.2777777777777768</c:v>
                </c:pt>
                <c:pt idx="2765">
                  <c:v>7.9999999999999991</c:v>
                </c:pt>
                <c:pt idx="2766">
                  <c:v>7.7777777777777777</c:v>
                </c:pt>
                <c:pt idx="2767">
                  <c:v>7.7777777777777777</c:v>
                </c:pt>
                <c:pt idx="2768">
                  <c:v>7.8888888888888902</c:v>
                </c:pt>
                <c:pt idx="2769">
                  <c:v>7.9999999999999991</c:v>
                </c:pt>
                <c:pt idx="2770">
                  <c:v>8.2777777777777768</c:v>
                </c:pt>
                <c:pt idx="2771">
                  <c:v>8.7777777777777768</c:v>
                </c:pt>
                <c:pt idx="2772">
                  <c:v>9.1111111111111107</c:v>
                </c:pt>
                <c:pt idx="2773">
                  <c:v>9.5</c:v>
                </c:pt>
                <c:pt idx="2774">
                  <c:v>9.7222222222222214</c:v>
                </c:pt>
                <c:pt idx="2775">
                  <c:v>9.5</c:v>
                </c:pt>
                <c:pt idx="2776">
                  <c:v>8.7777777777777768</c:v>
                </c:pt>
                <c:pt idx="2777">
                  <c:v>8.2777777777777768</c:v>
                </c:pt>
                <c:pt idx="2778">
                  <c:v>7.9999999999999991</c:v>
                </c:pt>
                <c:pt idx="2779">
                  <c:v>7.9999999999999991</c:v>
                </c:pt>
                <c:pt idx="2780">
                  <c:v>7.9999999999999991</c:v>
                </c:pt>
                <c:pt idx="2781">
                  <c:v>8.2222222222222197</c:v>
                </c:pt>
                <c:pt idx="2782">
                  <c:v>8.3888888888888893</c:v>
                </c:pt>
                <c:pt idx="2783">
                  <c:v>8.7777777777777768</c:v>
                </c:pt>
                <c:pt idx="2784">
                  <c:v>9.2777777777777786</c:v>
                </c:pt>
                <c:pt idx="2785">
                  <c:v>9.6111111111111089</c:v>
                </c:pt>
                <c:pt idx="2786">
                  <c:v>9.7222222222222214</c:v>
                </c:pt>
                <c:pt idx="2787">
                  <c:v>9.2777777777777786</c:v>
                </c:pt>
                <c:pt idx="2788">
                  <c:v>8.8888888888888893</c:v>
                </c:pt>
                <c:pt idx="2789">
                  <c:v>8.3888888888888893</c:v>
                </c:pt>
                <c:pt idx="2790">
                  <c:v>8.2222222222222197</c:v>
                </c:pt>
                <c:pt idx="2791">
                  <c:v>7.9999999999999991</c:v>
                </c:pt>
                <c:pt idx="2792">
                  <c:v>7.9999999999999991</c:v>
                </c:pt>
                <c:pt idx="2793">
                  <c:v>8.1111111111111125</c:v>
                </c:pt>
                <c:pt idx="2794">
                  <c:v>8.2222222222222197</c:v>
                </c:pt>
                <c:pt idx="2795">
                  <c:v>8.7222222222222232</c:v>
                </c:pt>
                <c:pt idx="2796">
                  <c:v>9.0000000000000018</c:v>
                </c:pt>
                <c:pt idx="2797">
                  <c:v>9.2777777777777786</c:v>
                </c:pt>
                <c:pt idx="2798">
                  <c:v>9.5</c:v>
                </c:pt>
                <c:pt idx="2799">
                  <c:v>9.6111111111111089</c:v>
                </c:pt>
                <c:pt idx="2800">
                  <c:v>9.2222222222222232</c:v>
                </c:pt>
                <c:pt idx="2801">
                  <c:v>8.7777777777777768</c:v>
                </c:pt>
                <c:pt idx="2802">
                  <c:v>8.2777777777777768</c:v>
                </c:pt>
                <c:pt idx="2803">
                  <c:v>8.1111111111111125</c:v>
                </c:pt>
                <c:pt idx="2804">
                  <c:v>7.9999999999999991</c:v>
                </c:pt>
                <c:pt idx="2805">
                  <c:v>7.9999999999999991</c:v>
                </c:pt>
                <c:pt idx="2806">
                  <c:v>8.1111111111111125</c:v>
                </c:pt>
                <c:pt idx="2807">
                  <c:v>8.2777777777777768</c:v>
                </c:pt>
                <c:pt idx="2808">
                  <c:v>8.7222222222222232</c:v>
                </c:pt>
                <c:pt idx="2809">
                  <c:v>9.0000000000000018</c:v>
                </c:pt>
                <c:pt idx="2810">
                  <c:v>9.2222222222222232</c:v>
                </c:pt>
                <c:pt idx="2811">
                  <c:v>9.2222222222222232</c:v>
                </c:pt>
                <c:pt idx="2812">
                  <c:v>8.7777777777777768</c:v>
                </c:pt>
                <c:pt idx="2813">
                  <c:v>8.4999999999999982</c:v>
                </c:pt>
                <c:pt idx="2814">
                  <c:v>8.2222222222222197</c:v>
                </c:pt>
                <c:pt idx="2815">
                  <c:v>7.9999999999999991</c:v>
                </c:pt>
                <c:pt idx="2816">
                  <c:v>7.9999999999999991</c:v>
                </c:pt>
                <c:pt idx="2817">
                  <c:v>7.9999999999999991</c:v>
                </c:pt>
                <c:pt idx="2818">
                  <c:v>7.9999999999999991</c:v>
                </c:pt>
                <c:pt idx="2819">
                  <c:v>8.2777777777777768</c:v>
                </c:pt>
                <c:pt idx="2820">
                  <c:v>8.6111111111111107</c:v>
                </c:pt>
                <c:pt idx="2821">
                  <c:v>8.8888888888888893</c:v>
                </c:pt>
                <c:pt idx="2822">
                  <c:v>9.2222222222222232</c:v>
                </c:pt>
                <c:pt idx="2823">
                  <c:v>9.2777777777777786</c:v>
                </c:pt>
                <c:pt idx="2824">
                  <c:v>9.3888888888888875</c:v>
                </c:pt>
                <c:pt idx="2825">
                  <c:v>9.0000000000000018</c:v>
                </c:pt>
                <c:pt idx="2826">
                  <c:v>8.7222222222222232</c:v>
                </c:pt>
                <c:pt idx="2827">
                  <c:v>8.2777777777777768</c:v>
                </c:pt>
                <c:pt idx="2828">
                  <c:v>8.2777777777777768</c:v>
                </c:pt>
                <c:pt idx="2829">
                  <c:v>8.2777777777777768</c:v>
                </c:pt>
                <c:pt idx="2830">
                  <c:v>8.4999999999999982</c:v>
                </c:pt>
                <c:pt idx="2831">
                  <c:v>8.6111111111111107</c:v>
                </c:pt>
                <c:pt idx="2832">
                  <c:v>8.7777777777777768</c:v>
                </c:pt>
                <c:pt idx="2833">
                  <c:v>9.1111111111111107</c:v>
                </c:pt>
                <c:pt idx="2834">
                  <c:v>9.3888888888888875</c:v>
                </c:pt>
                <c:pt idx="2835">
                  <c:v>9.5</c:v>
                </c:pt>
                <c:pt idx="2836">
                  <c:v>9.5</c:v>
                </c:pt>
                <c:pt idx="2837">
                  <c:v>9.1111111111111107</c:v>
                </c:pt>
                <c:pt idx="2838">
                  <c:v>8.7777777777777768</c:v>
                </c:pt>
                <c:pt idx="2839">
                  <c:v>8.6111111111111107</c:v>
                </c:pt>
                <c:pt idx="2840">
                  <c:v>8.3888888888888893</c:v>
                </c:pt>
                <c:pt idx="2841">
                  <c:v>8.3888888888888893</c:v>
                </c:pt>
                <c:pt idx="2842">
                  <c:v>8.4999999999999982</c:v>
                </c:pt>
                <c:pt idx="2843">
                  <c:v>8.4999999999999982</c:v>
                </c:pt>
                <c:pt idx="2844">
                  <c:v>8.7222222222222232</c:v>
                </c:pt>
                <c:pt idx="2845">
                  <c:v>9.1111111111111107</c:v>
                </c:pt>
                <c:pt idx="2846">
                  <c:v>9.3888888888888875</c:v>
                </c:pt>
                <c:pt idx="2847">
                  <c:v>9.6111111111111089</c:v>
                </c:pt>
                <c:pt idx="2848">
                  <c:v>9.7777777777777786</c:v>
                </c:pt>
                <c:pt idx="2849">
                  <c:v>9.7777777777777786</c:v>
                </c:pt>
                <c:pt idx="2850">
                  <c:v>9.3888888888888875</c:v>
                </c:pt>
                <c:pt idx="2851">
                  <c:v>9.2222222222222232</c:v>
                </c:pt>
                <c:pt idx="2852">
                  <c:v>9.0000000000000018</c:v>
                </c:pt>
                <c:pt idx="2853">
                  <c:v>8.7777777777777768</c:v>
                </c:pt>
                <c:pt idx="2854">
                  <c:v>8.7222222222222232</c:v>
                </c:pt>
                <c:pt idx="2855">
                  <c:v>8.8888888888888893</c:v>
                </c:pt>
                <c:pt idx="2856">
                  <c:v>9.0000000000000018</c:v>
                </c:pt>
                <c:pt idx="2857">
                  <c:v>9.2777777777777786</c:v>
                </c:pt>
                <c:pt idx="2858">
                  <c:v>9.7222222222222214</c:v>
                </c:pt>
                <c:pt idx="2859">
                  <c:v>9.8888888888888875</c:v>
                </c:pt>
                <c:pt idx="2860">
                  <c:v>10</c:v>
                </c:pt>
                <c:pt idx="2861">
                  <c:v>9.7777777777777786</c:v>
                </c:pt>
                <c:pt idx="2862">
                  <c:v>9.5</c:v>
                </c:pt>
                <c:pt idx="2863">
                  <c:v>9.2777777777777786</c:v>
                </c:pt>
                <c:pt idx="2864">
                  <c:v>9.0000000000000018</c:v>
                </c:pt>
                <c:pt idx="2865">
                  <c:v>8.7222222222222232</c:v>
                </c:pt>
                <c:pt idx="2866">
                  <c:v>8.6111111111111107</c:v>
                </c:pt>
                <c:pt idx="2867">
                  <c:v>8.7222222222222232</c:v>
                </c:pt>
                <c:pt idx="2868">
                  <c:v>8.8888888888888893</c:v>
                </c:pt>
                <c:pt idx="2869">
                  <c:v>9.2222222222222232</c:v>
                </c:pt>
                <c:pt idx="2870">
                  <c:v>9.6111111111111089</c:v>
                </c:pt>
                <c:pt idx="2871">
                  <c:v>9.7777777777777786</c:v>
                </c:pt>
                <c:pt idx="2872">
                  <c:v>10</c:v>
                </c:pt>
                <c:pt idx="2873">
                  <c:v>10.111111111111112</c:v>
                </c:pt>
                <c:pt idx="2874">
                  <c:v>10</c:v>
                </c:pt>
                <c:pt idx="2875">
                  <c:v>9.6111111111111089</c:v>
                </c:pt>
                <c:pt idx="2876">
                  <c:v>9.5</c:v>
                </c:pt>
                <c:pt idx="2877">
                  <c:v>9.2222222222222232</c:v>
                </c:pt>
                <c:pt idx="2878">
                  <c:v>9.0000000000000018</c:v>
                </c:pt>
                <c:pt idx="2879">
                  <c:v>8.7777777777777768</c:v>
                </c:pt>
                <c:pt idx="2880">
                  <c:v>9.1111111111111107</c:v>
                </c:pt>
                <c:pt idx="2881">
                  <c:v>9.2777777777777786</c:v>
                </c:pt>
                <c:pt idx="2882">
                  <c:v>9.5</c:v>
                </c:pt>
                <c:pt idx="2883">
                  <c:v>9.7777777777777786</c:v>
                </c:pt>
                <c:pt idx="2884">
                  <c:v>10</c:v>
                </c:pt>
                <c:pt idx="2885">
                  <c:v>10.111111111111112</c:v>
                </c:pt>
                <c:pt idx="2886">
                  <c:v>9.8888888888888875</c:v>
                </c:pt>
                <c:pt idx="2887">
                  <c:v>9.6111111111111089</c:v>
                </c:pt>
                <c:pt idx="2888">
                  <c:v>9.2777777777777786</c:v>
                </c:pt>
                <c:pt idx="2889">
                  <c:v>9.1111111111111107</c:v>
                </c:pt>
                <c:pt idx="2890">
                  <c:v>8.7777777777777768</c:v>
                </c:pt>
                <c:pt idx="2891">
                  <c:v>8.7222222222222232</c:v>
                </c:pt>
                <c:pt idx="2892">
                  <c:v>8.7777777777777768</c:v>
                </c:pt>
                <c:pt idx="2893">
                  <c:v>9.0000000000000018</c:v>
                </c:pt>
                <c:pt idx="2894">
                  <c:v>9.2777777777777786</c:v>
                </c:pt>
                <c:pt idx="2895">
                  <c:v>9.7222222222222214</c:v>
                </c:pt>
                <c:pt idx="2896">
                  <c:v>10</c:v>
                </c:pt>
                <c:pt idx="2897">
                  <c:v>10.222222222222221</c:v>
                </c:pt>
                <c:pt idx="2898">
                  <c:v>10.277777777777777</c:v>
                </c:pt>
                <c:pt idx="2899">
                  <c:v>10.222222222222221</c:v>
                </c:pt>
                <c:pt idx="2900">
                  <c:v>9.6111111111111089</c:v>
                </c:pt>
                <c:pt idx="2901">
                  <c:v>9.2777777777777786</c:v>
                </c:pt>
                <c:pt idx="2902">
                  <c:v>8.7777777777777768</c:v>
                </c:pt>
                <c:pt idx="2903">
                  <c:v>8.7777777777777768</c:v>
                </c:pt>
                <c:pt idx="2904">
                  <c:v>8.6111111111111107</c:v>
                </c:pt>
                <c:pt idx="2905">
                  <c:v>9.0000000000000018</c:v>
                </c:pt>
                <c:pt idx="2906">
                  <c:v>9.1111111111111107</c:v>
                </c:pt>
                <c:pt idx="2907">
                  <c:v>9.5</c:v>
                </c:pt>
                <c:pt idx="2908">
                  <c:v>9.8888888888888875</c:v>
                </c:pt>
                <c:pt idx="2909">
                  <c:v>10.222222222222221</c:v>
                </c:pt>
                <c:pt idx="2910">
                  <c:v>10.222222222222221</c:v>
                </c:pt>
                <c:pt idx="2911">
                  <c:v>10</c:v>
                </c:pt>
                <c:pt idx="2912">
                  <c:v>9.3888888888888875</c:v>
                </c:pt>
                <c:pt idx="2913">
                  <c:v>9.1111111111111107</c:v>
                </c:pt>
                <c:pt idx="2914">
                  <c:v>8.7222222222222232</c:v>
                </c:pt>
                <c:pt idx="2915">
                  <c:v>8.4999999999999982</c:v>
                </c:pt>
                <c:pt idx="2916">
                  <c:v>8.1111111111111125</c:v>
                </c:pt>
                <c:pt idx="2917">
                  <c:v>8.4999999999999982</c:v>
                </c:pt>
                <c:pt idx="2918">
                  <c:v>8.7222222222222232</c:v>
                </c:pt>
                <c:pt idx="2919">
                  <c:v>9.2222222222222232</c:v>
                </c:pt>
                <c:pt idx="2920">
                  <c:v>9.7777777777777786</c:v>
                </c:pt>
                <c:pt idx="2921">
                  <c:v>10.277777777777777</c:v>
                </c:pt>
                <c:pt idx="2922">
                  <c:v>10.611111111111112</c:v>
                </c:pt>
                <c:pt idx="2923">
                  <c:v>10.777777777777777</c:v>
                </c:pt>
                <c:pt idx="2924">
                  <c:v>10.499999999999998</c:v>
                </c:pt>
                <c:pt idx="2925">
                  <c:v>9.7777777777777786</c:v>
                </c:pt>
                <c:pt idx="2926">
                  <c:v>9.3888888888888875</c:v>
                </c:pt>
                <c:pt idx="2927">
                  <c:v>9.2222222222222232</c:v>
                </c:pt>
                <c:pt idx="2928">
                  <c:v>9.0000000000000018</c:v>
                </c:pt>
                <c:pt idx="2929">
                  <c:v>9.0000000000000018</c:v>
                </c:pt>
                <c:pt idx="2930">
                  <c:v>9.2222222222222232</c:v>
                </c:pt>
                <c:pt idx="2931">
                  <c:v>9.3888888888888875</c:v>
                </c:pt>
                <c:pt idx="2932">
                  <c:v>9.7222222222222214</c:v>
                </c:pt>
                <c:pt idx="2933">
                  <c:v>10.111111111111112</c:v>
                </c:pt>
                <c:pt idx="2934">
                  <c:v>10.388888888888891</c:v>
                </c:pt>
                <c:pt idx="2935">
                  <c:v>10.499999999999998</c:v>
                </c:pt>
                <c:pt idx="2936">
                  <c:v>10.222222222222221</c:v>
                </c:pt>
                <c:pt idx="2937">
                  <c:v>9.6111111111111089</c:v>
                </c:pt>
                <c:pt idx="2938">
                  <c:v>9.2222222222222232</c:v>
                </c:pt>
                <c:pt idx="2939">
                  <c:v>8.7777777777777768</c:v>
                </c:pt>
                <c:pt idx="2940">
                  <c:v>8.6111111111111107</c:v>
                </c:pt>
                <c:pt idx="2941">
                  <c:v>8.6111111111111107</c:v>
                </c:pt>
                <c:pt idx="2942">
                  <c:v>8.7777777777777768</c:v>
                </c:pt>
                <c:pt idx="2943">
                  <c:v>9.0000000000000018</c:v>
                </c:pt>
                <c:pt idx="2944">
                  <c:v>9.5</c:v>
                </c:pt>
                <c:pt idx="2945">
                  <c:v>10.111111111111112</c:v>
                </c:pt>
                <c:pt idx="2946">
                  <c:v>10.611111111111112</c:v>
                </c:pt>
                <c:pt idx="2947">
                  <c:v>10.777777777777777</c:v>
                </c:pt>
                <c:pt idx="2948">
                  <c:v>10.777777777777777</c:v>
                </c:pt>
                <c:pt idx="2949">
                  <c:v>10.611111111111112</c:v>
                </c:pt>
                <c:pt idx="2950">
                  <c:v>9.7777777777777786</c:v>
                </c:pt>
                <c:pt idx="2951">
                  <c:v>9.6111111111111089</c:v>
                </c:pt>
                <c:pt idx="2952">
                  <c:v>9.5</c:v>
                </c:pt>
                <c:pt idx="2953">
                  <c:v>9.2777777777777786</c:v>
                </c:pt>
                <c:pt idx="2954">
                  <c:v>9.2222222222222232</c:v>
                </c:pt>
                <c:pt idx="2955">
                  <c:v>9.2777777777777786</c:v>
                </c:pt>
                <c:pt idx="2956">
                  <c:v>9.5</c:v>
                </c:pt>
                <c:pt idx="2957">
                  <c:v>9.7777777777777786</c:v>
                </c:pt>
                <c:pt idx="2958">
                  <c:v>10.222222222222221</c:v>
                </c:pt>
                <c:pt idx="2959">
                  <c:v>10.499999999999998</c:v>
                </c:pt>
                <c:pt idx="2960">
                  <c:v>10.499999999999998</c:v>
                </c:pt>
                <c:pt idx="2961">
                  <c:v>10.277777777777777</c:v>
                </c:pt>
                <c:pt idx="2962">
                  <c:v>9.7222222222222214</c:v>
                </c:pt>
                <c:pt idx="2963">
                  <c:v>9.3888888888888875</c:v>
                </c:pt>
                <c:pt idx="2964">
                  <c:v>9.3888888888888875</c:v>
                </c:pt>
                <c:pt idx="2965">
                  <c:v>9.2777777777777786</c:v>
                </c:pt>
                <c:pt idx="2966">
                  <c:v>9.2222222222222232</c:v>
                </c:pt>
                <c:pt idx="2967">
                  <c:v>9.2777777777777786</c:v>
                </c:pt>
                <c:pt idx="2968">
                  <c:v>9.3888888888888875</c:v>
                </c:pt>
                <c:pt idx="2969">
                  <c:v>9.7222222222222214</c:v>
                </c:pt>
                <c:pt idx="2970">
                  <c:v>10.222222222222221</c:v>
                </c:pt>
                <c:pt idx="2971">
                  <c:v>10.499999999999998</c:v>
                </c:pt>
                <c:pt idx="2972">
                  <c:v>10.611111111111112</c:v>
                </c:pt>
                <c:pt idx="2973">
                  <c:v>10.611111111111112</c:v>
                </c:pt>
                <c:pt idx="2974">
                  <c:v>10.111111111111112</c:v>
                </c:pt>
                <c:pt idx="2975">
                  <c:v>9.7777777777777786</c:v>
                </c:pt>
                <c:pt idx="2976">
                  <c:v>9.7222222222222214</c:v>
                </c:pt>
                <c:pt idx="2977">
                  <c:v>9.6111111111111089</c:v>
                </c:pt>
                <c:pt idx="2978">
                  <c:v>9.6111111111111089</c:v>
                </c:pt>
                <c:pt idx="2979">
                  <c:v>9.5</c:v>
                </c:pt>
                <c:pt idx="2980">
                  <c:v>9.6111111111111089</c:v>
                </c:pt>
                <c:pt idx="2981">
                  <c:v>9.7222222222222214</c:v>
                </c:pt>
                <c:pt idx="2982">
                  <c:v>9.8888888888888875</c:v>
                </c:pt>
                <c:pt idx="2983">
                  <c:v>10.111111111111112</c:v>
                </c:pt>
                <c:pt idx="2984">
                  <c:v>10.388888888888891</c:v>
                </c:pt>
                <c:pt idx="2985">
                  <c:v>10.388888888888891</c:v>
                </c:pt>
                <c:pt idx="2986">
                  <c:v>10.222222222222221</c:v>
                </c:pt>
                <c:pt idx="2987">
                  <c:v>9.8888888888888875</c:v>
                </c:pt>
                <c:pt idx="2988">
                  <c:v>9.7777777777777786</c:v>
                </c:pt>
                <c:pt idx="2989">
                  <c:v>9.6111111111111089</c:v>
                </c:pt>
                <c:pt idx="2990">
                  <c:v>9.3888888888888875</c:v>
                </c:pt>
                <c:pt idx="2991">
                  <c:v>9.7777777777777786</c:v>
                </c:pt>
                <c:pt idx="2992">
                  <c:v>9.7222222222222214</c:v>
                </c:pt>
                <c:pt idx="2993">
                  <c:v>10.111111111111112</c:v>
                </c:pt>
                <c:pt idx="2994">
                  <c:v>10.611111111111112</c:v>
                </c:pt>
                <c:pt idx="2995">
                  <c:v>10.999999999999998</c:v>
                </c:pt>
                <c:pt idx="2996">
                  <c:v>11.222222222222223</c:v>
                </c:pt>
                <c:pt idx="2997">
                  <c:v>11.277777777777777</c:v>
                </c:pt>
                <c:pt idx="2998">
                  <c:v>11.277777777777777</c:v>
                </c:pt>
                <c:pt idx="2999">
                  <c:v>10.499999999999998</c:v>
                </c:pt>
                <c:pt idx="3000">
                  <c:v>9.6111111111111089</c:v>
                </c:pt>
                <c:pt idx="3001">
                  <c:v>8.7777777777777768</c:v>
                </c:pt>
                <c:pt idx="3002">
                  <c:v>9.0000000000000018</c:v>
                </c:pt>
                <c:pt idx="3003">
                  <c:v>8.3888888888888893</c:v>
                </c:pt>
                <c:pt idx="3004">
                  <c:v>8.6111111111111107</c:v>
                </c:pt>
                <c:pt idx="3005">
                  <c:v>9.1111111111111107</c:v>
                </c:pt>
                <c:pt idx="3006">
                  <c:v>10.111111111111112</c:v>
                </c:pt>
                <c:pt idx="3007">
                  <c:v>10.72222222222222</c:v>
                </c:pt>
                <c:pt idx="3008">
                  <c:v>11.111111111111111</c:v>
                </c:pt>
                <c:pt idx="3009">
                  <c:v>11.222222222222223</c:v>
                </c:pt>
                <c:pt idx="3010">
                  <c:v>11.277777777777777</c:v>
                </c:pt>
                <c:pt idx="3011">
                  <c:v>11.111111111111111</c:v>
                </c:pt>
                <c:pt idx="3012">
                  <c:v>9.6111111111111089</c:v>
                </c:pt>
                <c:pt idx="3013">
                  <c:v>8.6111111111111107</c:v>
                </c:pt>
                <c:pt idx="3014">
                  <c:v>8.7777777777777768</c:v>
                </c:pt>
                <c:pt idx="3015">
                  <c:v>8.3888888888888893</c:v>
                </c:pt>
                <c:pt idx="3016">
                  <c:v>9.5</c:v>
                </c:pt>
                <c:pt idx="3017">
                  <c:v>8.8888888888888893</c:v>
                </c:pt>
                <c:pt idx="3018">
                  <c:v>9.6111111111111089</c:v>
                </c:pt>
                <c:pt idx="3019">
                  <c:v>10.388888888888891</c:v>
                </c:pt>
                <c:pt idx="3020">
                  <c:v>10.888888888888889</c:v>
                </c:pt>
                <c:pt idx="3021">
                  <c:v>11.222222222222223</c:v>
                </c:pt>
                <c:pt idx="3022">
                  <c:v>11.277777777777777</c:v>
                </c:pt>
                <c:pt idx="3023">
                  <c:v>10.999999999999998</c:v>
                </c:pt>
                <c:pt idx="3024">
                  <c:v>9.7777777777777786</c:v>
                </c:pt>
                <c:pt idx="3025">
                  <c:v>8.6111111111111107</c:v>
                </c:pt>
                <c:pt idx="3026">
                  <c:v>8.2777777777777768</c:v>
                </c:pt>
                <c:pt idx="3027">
                  <c:v>8.2777777777777768</c:v>
                </c:pt>
                <c:pt idx="3028">
                  <c:v>9.0000000000000018</c:v>
                </c:pt>
                <c:pt idx="3029">
                  <c:v>9.0000000000000018</c:v>
                </c:pt>
                <c:pt idx="3030">
                  <c:v>9.0000000000000018</c:v>
                </c:pt>
                <c:pt idx="3031">
                  <c:v>9.8888888888888875</c:v>
                </c:pt>
                <c:pt idx="3032">
                  <c:v>10.499999999999998</c:v>
                </c:pt>
                <c:pt idx="3033">
                  <c:v>10.888888888888889</c:v>
                </c:pt>
                <c:pt idx="3034">
                  <c:v>10.999999999999998</c:v>
                </c:pt>
                <c:pt idx="3035">
                  <c:v>11.111111111111111</c:v>
                </c:pt>
                <c:pt idx="3036">
                  <c:v>10.72222222222222</c:v>
                </c:pt>
                <c:pt idx="3037">
                  <c:v>8.4999999999999982</c:v>
                </c:pt>
                <c:pt idx="3038">
                  <c:v>8.1111111111111125</c:v>
                </c:pt>
                <c:pt idx="3039">
                  <c:v>8.1111111111111125</c:v>
                </c:pt>
                <c:pt idx="3040">
                  <c:v>8.2777777777777768</c:v>
                </c:pt>
                <c:pt idx="3041">
                  <c:v>8.3888888888888893</c:v>
                </c:pt>
                <c:pt idx="3042">
                  <c:v>8.4999999999999982</c:v>
                </c:pt>
                <c:pt idx="3043">
                  <c:v>9.2777777777777786</c:v>
                </c:pt>
                <c:pt idx="3044">
                  <c:v>10.111111111111112</c:v>
                </c:pt>
                <c:pt idx="3045">
                  <c:v>10.72222222222222</c:v>
                </c:pt>
                <c:pt idx="3046">
                  <c:v>10.999999999999998</c:v>
                </c:pt>
                <c:pt idx="3047">
                  <c:v>10.999999999999998</c:v>
                </c:pt>
                <c:pt idx="3048">
                  <c:v>10.72222222222222</c:v>
                </c:pt>
                <c:pt idx="3049">
                  <c:v>9.2222222222222232</c:v>
                </c:pt>
                <c:pt idx="3050">
                  <c:v>8.8888888888888893</c:v>
                </c:pt>
                <c:pt idx="3051">
                  <c:v>8.7222222222222232</c:v>
                </c:pt>
                <c:pt idx="3052">
                  <c:v>8.6111111111111107</c:v>
                </c:pt>
                <c:pt idx="3053">
                  <c:v>9.0000000000000018</c:v>
                </c:pt>
                <c:pt idx="3054">
                  <c:v>8.7777777777777768</c:v>
                </c:pt>
                <c:pt idx="3055">
                  <c:v>9.2777777777777786</c:v>
                </c:pt>
                <c:pt idx="3056">
                  <c:v>9.7777777777777786</c:v>
                </c:pt>
                <c:pt idx="3057">
                  <c:v>10.277777777777777</c:v>
                </c:pt>
                <c:pt idx="3058">
                  <c:v>10.611111111111112</c:v>
                </c:pt>
                <c:pt idx="3059">
                  <c:v>10.777777777777777</c:v>
                </c:pt>
                <c:pt idx="3060">
                  <c:v>10.72222222222222</c:v>
                </c:pt>
                <c:pt idx="3061">
                  <c:v>9.6111111111111089</c:v>
                </c:pt>
                <c:pt idx="3062">
                  <c:v>8.8888888888888893</c:v>
                </c:pt>
                <c:pt idx="3063">
                  <c:v>8.7222222222222232</c:v>
                </c:pt>
                <c:pt idx="3064">
                  <c:v>8.6111111111111107</c:v>
                </c:pt>
                <c:pt idx="3065">
                  <c:v>8.4999999999999982</c:v>
                </c:pt>
                <c:pt idx="3066">
                  <c:v>8.8888888888888893</c:v>
                </c:pt>
                <c:pt idx="3067">
                  <c:v>9.0000000000000018</c:v>
                </c:pt>
                <c:pt idx="3068">
                  <c:v>9.6111111111111089</c:v>
                </c:pt>
                <c:pt idx="3069">
                  <c:v>10.222222222222221</c:v>
                </c:pt>
                <c:pt idx="3070">
                  <c:v>10.499999999999998</c:v>
                </c:pt>
                <c:pt idx="3071">
                  <c:v>10.72222222222222</c:v>
                </c:pt>
                <c:pt idx="3072">
                  <c:v>10.611111111111112</c:v>
                </c:pt>
                <c:pt idx="3073">
                  <c:v>9.1111111111111107</c:v>
                </c:pt>
                <c:pt idx="3074">
                  <c:v>8.8888888888888893</c:v>
                </c:pt>
                <c:pt idx="3075">
                  <c:v>8.7777777777777768</c:v>
                </c:pt>
                <c:pt idx="3076">
                  <c:v>8.7222222222222232</c:v>
                </c:pt>
                <c:pt idx="3077">
                  <c:v>8.3888888888888893</c:v>
                </c:pt>
                <c:pt idx="3078">
                  <c:v>8.7222222222222232</c:v>
                </c:pt>
                <c:pt idx="3079">
                  <c:v>8.7222222222222232</c:v>
                </c:pt>
                <c:pt idx="3080">
                  <c:v>9.2777777777777786</c:v>
                </c:pt>
                <c:pt idx="3081">
                  <c:v>9.8888888888888875</c:v>
                </c:pt>
                <c:pt idx="3083">
                  <c:v>10.499999999999998</c:v>
                </c:pt>
                <c:pt idx="3084">
                  <c:v>10.611111111111112</c:v>
                </c:pt>
                <c:pt idx="3085">
                  <c:v>10.277777777777777</c:v>
                </c:pt>
                <c:pt idx="3086">
                  <c:v>9.0000000000000018</c:v>
                </c:pt>
                <c:pt idx="3087">
                  <c:v>8.8888888888888893</c:v>
                </c:pt>
                <c:pt idx="3088">
                  <c:v>8.7777777777777768</c:v>
                </c:pt>
                <c:pt idx="3089">
                  <c:v>8.7222222222222232</c:v>
                </c:pt>
                <c:pt idx="3090">
                  <c:v>9.2777777777777786</c:v>
                </c:pt>
                <c:pt idx="3091">
                  <c:v>9.2222222222222232</c:v>
                </c:pt>
                <c:pt idx="3092">
                  <c:v>9.2777777777777786</c:v>
                </c:pt>
                <c:pt idx="3093">
                  <c:v>10</c:v>
                </c:pt>
                <c:pt idx="3094">
                  <c:v>10.611111111111112</c:v>
                </c:pt>
                <c:pt idx="3095">
                  <c:v>10.888888888888889</c:v>
                </c:pt>
                <c:pt idx="3096">
                  <c:v>10.999999999999998</c:v>
                </c:pt>
                <c:pt idx="3097">
                  <c:v>10.611111111111112</c:v>
                </c:pt>
                <c:pt idx="3098">
                  <c:v>9.3888888888888875</c:v>
                </c:pt>
                <c:pt idx="3099">
                  <c:v>9.3888888888888875</c:v>
                </c:pt>
                <c:pt idx="3100">
                  <c:v>9.2777777777777786</c:v>
                </c:pt>
                <c:pt idx="3101">
                  <c:v>9.1111111111111107</c:v>
                </c:pt>
                <c:pt idx="3102">
                  <c:v>9.0000000000000018</c:v>
                </c:pt>
                <c:pt idx="3103">
                  <c:v>9.0000000000000018</c:v>
                </c:pt>
                <c:pt idx="3104">
                  <c:v>9.2222222222222232</c:v>
                </c:pt>
                <c:pt idx="3105">
                  <c:v>9.7777777777777786</c:v>
                </c:pt>
                <c:pt idx="3106">
                  <c:v>10.277777777777777</c:v>
                </c:pt>
                <c:pt idx="3107">
                  <c:v>10.72222222222222</c:v>
                </c:pt>
                <c:pt idx="3108">
                  <c:v>10.888888888888889</c:v>
                </c:pt>
                <c:pt idx="3109">
                  <c:v>11.111111111111111</c:v>
                </c:pt>
                <c:pt idx="3110">
                  <c:v>10.222222222222221</c:v>
                </c:pt>
                <c:pt idx="3111">
                  <c:v>9.2222222222222232</c:v>
                </c:pt>
                <c:pt idx="3112">
                  <c:v>9.1111111111111107</c:v>
                </c:pt>
                <c:pt idx="3113">
                  <c:v>8.7777777777777768</c:v>
                </c:pt>
                <c:pt idx="3114">
                  <c:v>8.8888888888888893</c:v>
                </c:pt>
                <c:pt idx="3115">
                  <c:v>9.8888888888888875</c:v>
                </c:pt>
                <c:pt idx="3116">
                  <c:v>9.2222222222222232</c:v>
                </c:pt>
                <c:pt idx="3117">
                  <c:v>9.7222222222222214</c:v>
                </c:pt>
                <c:pt idx="3118">
                  <c:v>10.611111111111112</c:v>
                </c:pt>
                <c:pt idx="3119">
                  <c:v>11.111111111111111</c:v>
                </c:pt>
                <c:pt idx="3120">
                  <c:v>11.388888888888889</c:v>
                </c:pt>
                <c:pt idx="3121">
                  <c:v>11.388888888888889</c:v>
                </c:pt>
                <c:pt idx="3122">
                  <c:v>10.611111111111112</c:v>
                </c:pt>
                <c:pt idx="3123">
                  <c:v>9.7777777777777786</c:v>
                </c:pt>
                <c:pt idx="3124">
                  <c:v>9.3888888888888875</c:v>
                </c:pt>
                <c:pt idx="3125">
                  <c:v>9.2222222222222232</c:v>
                </c:pt>
                <c:pt idx="3126">
                  <c:v>9.2222222222222232</c:v>
                </c:pt>
                <c:pt idx="3127">
                  <c:v>9.5</c:v>
                </c:pt>
                <c:pt idx="3129">
                  <c:v>9.5</c:v>
                </c:pt>
                <c:pt idx="3130">
                  <c:v>10.111111111111112</c:v>
                </c:pt>
                <c:pt idx="3131">
                  <c:v>10.72222222222222</c:v>
                </c:pt>
                <c:pt idx="3132">
                  <c:v>11.111111111111111</c:v>
                </c:pt>
                <c:pt idx="3133">
                  <c:v>11.500000000000002</c:v>
                </c:pt>
                <c:pt idx="3134">
                  <c:v>11.277777777777777</c:v>
                </c:pt>
                <c:pt idx="3135">
                  <c:v>10</c:v>
                </c:pt>
                <c:pt idx="3136">
                  <c:v>9.2777777777777786</c:v>
                </c:pt>
                <c:pt idx="3137">
                  <c:v>9.3888888888888875</c:v>
                </c:pt>
                <c:pt idx="3138">
                  <c:v>9.0000000000000018</c:v>
                </c:pt>
                <c:pt idx="3139">
                  <c:v>8.7777777777777768</c:v>
                </c:pt>
                <c:pt idx="3140">
                  <c:v>9.3888888888888875</c:v>
                </c:pt>
                <c:pt idx="3141">
                  <c:v>9.2777777777777786</c:v>
                </c:pt>
                <c:pt idx="3142">
                  <c:v>10.111111111111112</c:v>
                </c:pt>
                <c:pt idx="3143">
                  <c:v>10.999999999999998</c:v>
                </c:pt>
                <c:pt idx="3144">
                  <c:v>11.611111111111111</c:v>
                </c:pt>
                <c:pt idx="3145">
                  <c:v>11.888888888888888</c:v>
                </c:pt>
                <c:pt idx="3146">
                  <c:v>11.500000000000002</c:v>
                </c:pt>
                <c:pt idx="3147">
                  <c:v>10.277777777777777</c:v>
                </c:pt>
                <c:pt idx="3148">
                  <c:v>9.7222222222222214</c:v>
                </c:pt>
                <c:pt idx="3149">
                  <c:v>9.0000000000000018</c:v>
                </c:pt>
                <c:pt idx="3150">
                  <c:v>8.7777777777777768</c:v>
                </c:pt>
                <c:pt idx="3152">
                  <c:v>8.7222222222222232</c:v>
                </c:pt>
                <c:pt idx="3153">
                  <c:v>8.8888888888888893</c:v>
                </c:pt>
                <c:pt idx="3154">
                  <c:v>9.3888888888888875</c:v>
                </c:pt>
                <c:pt idx="3155">
                  <c:v>10.388888888888891</c:v>
                </c:pt>
                <c:pt idx="3156">
                  <c:v>11.222222222222223</c:v>
                </c:pt>
                <c:pt idx="3157">
                  <c:v>11.777777777777779</c:v>
                </c:pt>
                <c:pt idx="3158">
                  <c:v>12.222222222222221</c:v>
                </c:pt>
                <c:pt idx="3159">
                  <c:v>11.722222222222223</c:v>
                </c:pt>
                <c:pt idx="3160">
                  <c:v>9.6111111111111089</c:v>
                </c:pt>
                <c:pt idx="3161">
                  <c:v>9.0000000000000018</c:v>
                </c:pt>
                <c:pt idx="3162">
                  <c:v>9.1111111111111107</c:v>
                </c:pt>
                <c:pt idx="3163">
                  <c:v>8.7777777777777768</c:v>
                </c:pt>
                <c:pt idx="3164">
                  <c:v>8.4999999999999982</c:v>
                </c:pt>
                <c:pt idx="3165">
                  <c:v>8.7777777777777768</c:v>
                </c:pt>
                <c:pt idx="3166">
                  <c:v>9.0000000000000018</c:v>
                </c:pt>
                <c:pt idx="3167">
                  <c:v>10.111111111111112</c:v>
                </c:pt>
                <c:pt idx="3168">
                  <c:v>11.111111111111111</c:v>
                </c:pt>
                <c:pt idx="3169">
                  <c:v>11.777777777777779</c:v>
                </c:pt>
                <c:pt idx="3170">
                  <c:v>11.888888888888888</c:v>
                </c:pt>
                <c:pt idx="3171">
                  <c:v>11.111111111111111</c:v>
                </c:pt>
                <c:pt idx="3172">
                  <c:v>9.8888888888888875</c:v>
                </c:pt>
                <c:pt idx="3173">
                  <c:v>9.1111111111111107</c:v>
                </c:pt>
                <c:pt idx="3174">
                  <c:v>8.3888888888888893</c:v>
                </c:pt>
                <c:pt idx="3175">
                  <c:v>8.2222222222222197</c:v>
                </c:pt>
                <c:pt idx="3176">
                  <c:v>8.2222222222222197</c:v>
                </c:pt>
                <c:pt idx="3177">
                  <c:v>8.2777777777777768</c:v>
                </c:pt>
                <c:pt idx="3178">
                  <c:v>8.4999999999999982</c:v>
                </c:pt>
                <c:pt idx="3179">
                  <c:v>9.2222222222222232</c:v>
                </c:pt>
                <c:pt idx="3180">
                  <c:v>10.222222222222221</c:v>
                </c:pt>
                <c:pt idx="3181">
                  <c:v>11.111111111111111</c:v>
                </c:pt>
                <c:pt idx="3182">
                  <c:v>11.722222222222223</c:v>
                </c:pt>
                <c:pt idx="3183">
                  <c:v>12</c:v>
                </c:pt>
                <c:pt idx="3184">
                  <c:v>11.500000000000002</c:v>
                </c:pt>
                <c:pt idx="3185">
                  <c:v>10.388888888888891</c:v>
                </c:pt>
                <c:pt idx="3186">
                  <c:v>10.277777777777777</c:v>
                </c:pt>
                <c:pt idx="3187">
                  <c:v>10.499999999999998</c:v>
                </c:pt>
                <c:pt idx="3188">
                  <c:v>10.72222222222222</c:v>
                </c:pt>
                <c:pt idx="3189">
                  <c:v>10.611111111111112</c:v>
                </c:pt>
                <c:pt idx="3190">
                  <c:v>10.777777777777777</c:v>
                </c:pt>
                <c:pt idx="3191">
                  <c:v>10.777777777777777</c:v>
                </c:pt>
                <c:pt idx="3192">
                  <c:v>10.999999999999998</c:v>
                </c:pt>
                <c:pt idx="3193">
                  <c:v>11.611111111111111</c:v>
                </c:pt>
                <c:pt idx="3194">
                  <c:v>12</c:v>
                </c:pt>
                <c:pt idx="3195">
                  <c:v>12.111111111111109</c:v>
                </c:pt>
                <c:pt idx="3196">
                  <c:v>11.777777777777779</c:v>
                </c:pt>
                <c:pt idx="3197">
                  <c:v>11.111111111111111</c:v>
                </c:pt>
                <c:pt idx="3198">
                  <c:v>10.277777777777777</c:v>
                </c:pt>
                <c:pt idx="3199">
                  <c:v>9.7777777777777786</c:v>
                </c:pt>
                <c:pt idx="3200">
                  <c:v>9.3888888888888875</c:v>
                </c:pt>
                <c:pt idx="3201">
                  <c:v>9.5</c:v>
                </c:pt>
                <c:pt idx="3202">
                  <c:v>9.3888888888888875</c:v>
                </c:pt>
                <c:pt idx="3203">
                  <c:v>9.8888888888888875</c:v>
                </c:pt>
                <c:pt idx="3204">
                  <c:v>10.611111111111112</c:v>
                </c:pt>
                <c:pt idx="3205">
                  <c:v>11.277777777777777</c:v>
                </c:pt>
                <c:pt idx="3206">
                  <c:v>11.888888888888888</c:v>
                </c:pt>
                <c:pt idx="3207">
                  <c:v>12.277777777777779</c:v>
                </c:pt>
                <c:pt idx="3208">
                  <c:v>12.722222222222221</c:v>
                </c:pt>
                <c:pt idx="3209">
                  <c:v>12.222222222222221</c:v>
                </c:pt>
                <c:pt idx="3210">
                  <c:v>9.5</c:v>
                </c:pt>
                <c:pt idx="3211">
                  <c:v>8.8888888888888893</c:v>
                </c:pt>
                <c:pt idx="3212">
                  <c:v>9.2222222222222232</c:v>
                </c:pt>
                <c:pt idx="3213">
                  <c:v>9.1111111111111107</c:v>
                </c:pt>
                <c:pt idx="3214">
                  <c:v>9.1111111111111107</c:v>
                </c:pt>
                <c:pt idx="3215">
                  <c:v>9.2222222222222232</c:v>
                </c:pt>
                <c:pt idx="3216">
                  <c:v>9.3888888888888875</c:v>
                </c:pt>
                <c:pt idx="3217">
                  <c:v>10.388888888888891</c:v>
                </c:pt>
                <c:pt idx="3218">
                  <c:v>11.500000000000002</c:v>
                </c:pt>
                <c:pt idx="3219">
                  <c:v>12</c:v>
                </c:pt>
                <c:pt idx="3220">
                  <c:v>12.111111111111109</c:v>
                </c:pt>
                <c:pt idx="3221">
                  <c:v>11.611111111111111</c:v>
                </c:pt>
                <c:pt idx="3222">
                  <c:v>10</c:v>
                </c:pt>
                <c:pt idx="3223">
                  <c:v>9.5</c:v>
                </c:pt>
                <c:pt idx="3224">
                  <c:v>8.6111111111111107</c:v>
                </c:pt>
                <c:pt idx="3225">
                  <c:v>8.3888888888888893</c:v>
                </c:pt>
                <c:pt idx="3226">
                  <c:v>8.4999999999999982</c:v>
                </c:pt>
                <c:pt idx="3227">
                  <c:v>8.4999999999999982</c:v>
                </c:pt>
                <c:pt idx="3228">
                  <c:v>8.7777777777777768</c:v>
                </c:pt>
                <c:pt idx="3229">
                  <c:v>9.7777777777777786</c:v>
                </c:pt>
                <c:pt idx="3230">
                  <c:v>10.777777777777777</c:v>
                </c:pt>
                <c:pt idx="3231">
                  <c:v>11.722222222222223</c:v>
                </c:pt>
                <c:pt idx="3232">
                  <c:v>12.277777777777779</c:v>
                </c:pt>
                <c:pt idx="3233">
                  <c:v>12.5</c:v>
                </c:pt>
                <c:pt idx="3234">
                  <c:v>12</c:v>
                </c:pt>
                <c:pt idx="3235">
                  <c:v>9.7222222222222214</c:v>
                </c:pt>
                <c:pt idx="3236">
                  <c:v>9.2777777777777786</c:v>
                </c:pt>
                <c:pt idx="3237">
                  <c:v>9.0000000000000018</c:v>
                </c:pt>
                <c:pt idx="3238">
                  <c:v>9.0000000000000018</c:v>
                </c:pt>
                <c:pt idx="3239">
                  <c:v>9.1111111111111107</c:v>
                </c:pt>
                <c:pt idx="3240">
                  <c:v>9.1111111111111107</c:v>
                </c:pt>
                <c:pt idx="3241">
                  <c:v>9.2777777777777786</c:v>
                </c:pt>
                <c:pt idx="3242">
                  <c:v>10.277777777777777</c:v>
                </c:pt>
                <c:pt idx="3243">
                  <c:v>11.388888888888889</c:v>
                </c:pt>
                <c:pt idx="3244">
                  <c:v>11.888888888888888</c:v>
                </c:pt>
                <c:pt idx="3245">
                  <c:v>12.222222222222221</c:v>
                </c:pt>
                <c:pt idx="3246">
                  <c:v>11.722222222222223</c:v>
                </c:pt>
                <c:pt idx="3247">
                  <c:v>10.277777777777777</c:v>
                </c:pt>
                <c:pt idx="3248">
                  <c:v>9.5</c:v>
                </c:pt>
                <c:pt idx="3249">
                  <c:v>8.6111111111111107</c:v>
                </c:pt>
                <c:pt idx="3250">
                  <c:v>8.4999999999999982</c:v>
                </c:pt>
                <c:pt idx="3251">
                  <c:v>8.3888888888888893</c:v>
                </c:pt>
                <c:pt idx="3252">
                  <c:v>8.3888888888888893</c:v>
                </c:pt>
                <c:pt idx="3253">
                  <c:v>8.7777777777777768</c:v>
                </c:pt>
                <c:pt idx="3254">
                  <c:v>9.7222222222222214</c:v>
                </c:pt>
                <c:pt idx="3255">
                  <c:v>10.888888888888889</c:v>
                </c:pt>
                <c:pt idx="3256">
                  <c:v>11.777777777777779</c:v>
                </c:pt>
                <c:pt idx="3257">
                  <c:v>12.388888888888888</c:v>
                </c:pt>
                <c:pt idx="3258">
                  <c:v>12.722222222222221</c:v>
                </c:pt>
                <c:pt idx="3259">
                  <c:v>12</c:v>
                </c:pt>
                <c:pt idx="3260">
                  <c:v>9.8888888888888875</c:v>
                </c:pt>
                <c:pt idx="3261">
                  <c:v>9.6111111111111089</c:v>
                </c:pt>
                <c:pt idx="3262">
                  <c:v>9.2222222222222232</c:v>
                </c:pt>
                <c:pt idx="3263">
                  <c:v>8.8888888888888893</c:v>
                </c:pt>
                <c:pt idx="3264">
                  <c:v>9.0000000000000018</c:v>
                </c:pt>
                <c:pt idx="3265">
                  <c:v>8.8888888888888893</c:v>
                </c:pt>
                <c:pt idx="3266">
                  <c:v>9.2777777777777786</c:v>
                </c:pt>
                <c:pt idx="3267">
                  <c:v>10.222222222222221</c:v>
                </c:pt>
                <c:pt idx="3268">
                  <c:v>11.388888888888889</c:v>
                </c:pt>
                <c:pt idx="3269">
                  <c:v>12</c:v>
                </c:pt>
                <c:pt idx="3270">
                  <c:v>12.388888888888888</c:v>
                </c:pt>
                <c:pt idx="3271">
                  <c:v>11.500000000000002</c:v>
                </c:pt>
                <c:pt idx="3272">
                  <c:v>10.388888888888891</c:v>
                </c:pt>
                <c:pt idx="3273">
                  <c:v>9.5</c:v>
                </c:pt>
                <c:pt idx="3274">
                  <c:v>8.8888888888888893</c:v>
                </c:pt>
                <c:pt idx="3275">
                  <c:v>8.4999999999999982</c:v>
                </c:pt>
                <c:pt idx="3276">
                  <c:v>8.4999999999999982</c:v>
                </c:pt>
                <c:pt idx="3277">
                  <c:v>8.4999999999999982</c:v>
                </c:pt>
                <c:pt idx="3278">
                  <c:v>8.8888888888888893</c:v>
                </c:pt>
                <c:pt idx="3279">
                  <c:v>9.8888888888888875</c:v>
                </c:pt>
                <c:pt idx="3280">
                  <c:v>11.277777777777777</c:v>
                </c:pt>
                <c:pt idx="3281">
                  <c:v>12.222222222222221</c:v>
                </c:pt>
                <c:pt idx="3282">
                  <c:v>12.888888888888889</c:v>
                </c:pt>
                <c:pt idx="3283">
                  <c:v>13.277777777777777</c:v>
                </c:pt>
                <c:pt idx="3284">
                  <c:v>12.722222222222221</c:v>
                </c:pt>
                <c:pt idx="3285">
                  <c:v>10.72222222222222</c:v>
                </c:pt>
                <c:pt idx="3286">
                  <c:v>9.8888888888888875</c:v>
                </c:pt>
                <c:pt idx="3287">
                  <c:v>9.1111111111111107</c:v>
                </c:pt>
                <c:pt idx="3288">
                  <c:v>8.2777777777777768</c:v>
                </c:pt>
                <c:pt idx="3289">
                  <c:v>8.2777777777777768</c:v>
                </c:pt>
                <c:pt idx="3290">
                  <c:v>8.4999999999999982</c:v>
                </c:pt>
                <c:pt idx="3291">
                  <c:v>9.0000000000000018</c:v>
                </c:pt>
                <c:pt idx="3292">
                  <c:v>10</c:v>
                </c:pt>
                <c:pt idx="3293">
                  <c:v>11.277777777777777</c:v>
                </c:pt>
                <c:pt idx="3294">
                  <c:v>12.111111111111109</c:v>
                </c:pt>
                <c:pt idx="3295">
                  <c:v>12.5</c:v>
                </c:pt>
                <c:pt idx="3296">
                  <c:v>12</c:v>
                </c:pt>
                <c:pt idx="3297">
                  <c:v>10.72222222222222</c:v>
                </c:pt>
                <c:pt idx="3298">
                  <c:v>9.8888888888888875</c:v>
                </c:pt>
                <c:pt idx="3299">
                  <c:v>9.3888888888888875</c:v>
                </c:pt>
                <c:pt idx="3300">
                  <c:v>9.2777777777777786</c:v>
                </c:pt>
                <c:pt idx="3301">
                  <c:v>9.2777777777777786</c:v>
                </c:pt>
                <c:pt idx="3302">
                  <c:v>9.3888888888888875</c:v>
                </c:pt>
                <c:pt idx="3303">
                  <c:v>9.6111111111111089</c:v>
                </c:pt>
                <c:pt idx="3304">
                  <c:v>10.111111111111112</c:v>
                </c:pt>
                <c:pt idx="3305">
                  <c:v>11.222222222222223</c:v>
                </c:pt>
                <c:pt idx="3306">
                  <c:v>12.111111111111109</c:v>
                </c:pt>
                <c:pt idx="3307">
                  <c:v>12.777777777777777</c:v>
                </c:pt>
                <c:pt idx="3308">
                  <c:v>13.111111111111111</c:v>
                </c:pt>
                <c:pt idx="3309">
                  <c:v>12.722222222222221</c:v>
                </c:pt>
                <c:pt idx="3310">
                  <c:v>11.388888888888889</c:v>
                </c:pt>
                <c:pt idx="3311">
                  <c:v>11.222222222222223</c:v>
                </c:pt>
                <c:pt idx="3312">
                  <c:v>10.611111111111112</c:v>
                </c:pt>
                <c:pt idx="3313">
                  <c:v>10.222222222222221</c:v>
                </c:pt>
                <c:pt idx="3314">
                  <c:v>10</c:v>
                </c:pt>
                <c:pt idx="3315">
                  <c:v>10.111111111111112</c:v>
                </c:pt>
                <c:pt idx="3316">
                  <c:v>10.499999999999998</c:v>
                </c:pt>
                <c:pt idx="3317">
                  <c:v>11.222222222222223</c:v>
                </c:pt>
                <c:pt idx="3318">
                  <c:v>12</c:v>
                </c:pt>
                <c:pt idx="3319">
                  <c:v>12.611111111111112</c:v>
                </c:pt>
                <c:pt idx="3320">
                  <c:v>12.777777777777777</c:v>
                </c:pt>
                <c:pt idx="3321">
                  <c:v>12.722222222222221</c:v>
                </c:pt>
                <c:pt idx="3322">
                  <c:v>11.777777777777779</c:v>
                </c:pt>
                <c:pt idx="3323">
                  <c:v>11.111111111111111</c:v>
                </c:pt>
                <c:pt idx="3324">
                  <c:v>10.499999999999998</c:v>
                </c:pt>
                <c:pt idx="3325">
                  <c:v>10.277777777777777</c:v>
                </c:pt>
                <c:pt idx="3326">
                  <c:v>10.111111111111112</c:v>
                </c:pt>
                <c:pt idx="3327">
                  <c:v>10.277777777777777</c:v>
                </c:pt>
                <c:pt idx="3328">
                  <c:v>10.388888888888891</c:v>
                </c:pt>
                <c:pt idx="3329">
                  <c:v>10.999999999999998</c:v>
                </c:pt>
                <c:pt idx="3330">
                  <c:v>11.888888888888888</c:v>
                </c:pt>
                <c:pt idx="3331">
                  <c:v>12.611111111111112</c:v>
                </c:pt>
                <c:pt idx="3332">
                  <c:v>12.999999999999998</c:v>
                </c:pt>
                <c:pt idx="3333">
                  <c:v>13.277777777777777</c:v>
                </c:pt>
                <c:pt idx="3334">
                  <c:v>12.888888888888889</c:v>
                </c:pt>
                <c:pt idx="3335">
                  <c:v>11.888888888888888</c:v>
                </c:pt>
                <c:pt idx="3336">
                  <c:v>11.222222222222223</c:v>
                </c:pt>
                <c:pt idx="3337">
                  <c:v>10.777777777777777</c:v>
                </c:pt>
                <c:pt idx="3338">
                  <c:v>10.499999999999998</c:v>
                </c:pt>
                <c:pt idx="3339">
                  <c:v>10.388888888888891</c:v>
                </c:pt>
                <c:pt idx="3340">
                  <c:v>10.388888888888891</c:v>
                </c:pt>
                <c:pt idx="3341">
                  <c:v>10.888888888888889</c:v>
                </c:pt>
                <c:pt idx="3342">
                  <c:v>11.500000000000002</c:v>
                </c:pt>
                <c:pt idx="3343">
                  <c:v>12.222222222222221</c:v>
                </c:pt>
                <c:pt idx="3344">
                  <c:v>12.722222222222221</c:v>
                </c:pt>
                <c:pt idx="3345">
                  <c:v>12.999999999999998</c:v>
                </c:pt>
                <c:pt idx="3346">
                  <c:v>12.888888888888889</c:v>
                </c:pt>
                <c:pt idx="3347">
                  <c:v>12.111111111111109</c:v>
                </c:pt>
                <c:pt idx="3348">
                  <c:v>10.611111111111112</c:v>
                </c:pt>
                <c:pt idx="3349">
                  <c:v>9.8888888888888875</c:v>
                </c:pt>
                <c:pt idx="3350">
                  <c:v>9.5</c:v>
                </c:pt>
                <c:pt idx="3351">
                  <c:v>9.2222222222222232</c:v>
                </c:pt>
                <c:pt idx="3352">
                  <c:v>9.5</c:v>
                </c:pt>
                <c:pt idx="3353">
                  <c:v>9.5</c:v>
                </c:pt>
                <c:pt idx="3354">
                  <c:v>10.222222222222221</c:v>
                </c:pt>
                <c:pt idx="3355">
                  <c:v>11.277777777777777</c:v>
                </c:pt>
                <c:pt idx="3356">
                  <c:v>12.222222222222221</c:v>
                </c:pt>
                <c:pt idx="3357">
                  <c:v>12.722222222222221</c:v>
                </c:pt>
                <c:pt idx="3358">
                  <c:v>12.777777777777777</c:v>
                </c:pt>
                <c:pt idx="3359">
                  <c:v>12.111111111111109</c:v>
                </c:pt>
                <c:pt idx="3360">
                  <c:v>10.499999999999998</c:v>
                </c:pt>
                <c:pt idx="3361">
                  <c:v>9.2777777777777786</c:v>
                </c:pt>
                <c:pt idx="3362">
                  <c:v>8.7222222222222232</c:v>
                </c:pt>
                <c:pt idx="3363">
                  <c:v>8.3888888888888893</c:v>
                </c:pt>
                <c:pt idx="3364">
                  <c:v>8.3888888888888893</c:v>
                </c:pt>
                <c:pt idx="3365">
                  <c:v>8.6111111111111107</c:v>
                </c:pt>
                <c:pt idx="3366">
                  <c:v>9.1111111111111107</c:v>
                </c:pt>
                <c:pt idx="3367">
                  <c:v>10.222222222222221</c:v>
                </c:pt>
                <c:pt idx="3368">
                  <c:v>11.277777777777777</c:v>
                </c:pt>
                <c:pt idx="3369">
                  <c:v>12</c:v>
                </c:pt>
                <c:pt idx="3370">
                  <c:v>12.388888888888888</c:v>
                </c:pt>
                <c:pt idx="3371">
                  <c:v>12.277777777777779</c:v>
                </c:pt>
                <c:pt idx="3372">
                  <c:v>11.111111111111111</c:v>
                </c:pt>
                <c:pt idx="3373">
                  <c:v>10.222222222222221</c:v>
                </c:pt>
                <c:pt idx="3374">
                  <c:v>9.2777777777777786</c:v>
                </c:pt>
                <c:pt idx="3375">
                  <c:v>8.8888888888888893</c:v>
                </c:pt>
                <c:pt idx="3376">
                  <c:v>8.8888888888888893</c:v>
                </c:pt>
                <c:pt idx="3377">
                  <c:v>8.8888888888888893</c:v>
                </c:pt>
                <c:pt idx="3378">
                  <c:v>9.3888888888888875</c:v>
                </c:pt>
                <c:pt idx="3379">
                  <c:v>10.277777777777777</c:v>
                </c:pt>
                <c:pt idx="3380">
                  <c:v>11.388888888888889</c:v>
                </c:pt>
                <c:pt idx="3381">
                  <c:v>12.111111111111109</c:v>
                </c:pt>
                <c:pt idx="3382">
                  <c:v>12.388888888888888</c:v>
                </c:pt>
                <c:pt idx="3383">
                  <c:v>12.5</c:v>
                </c:pt>
                <c:pt idx="3384">
                  <c:v>11.500000000000002</c:v>
                </c:pt>
                <c:pt idx="3385">
                  <c:v>10.388888888888891</c:v>
                </c:pt>
                <c:pt idx="3386">
                  <c:v>9.3888888888888875</c:v>
                </c:pt>
                <c:pt idx="3387">
                  <c:v>8.7777777777777768</c:v>
                </c:pt>
                <c:pt idx="3388">
                  <c:v>8.4999999999999982</c:v>
                </c:pt>
                <c:pt idx="3389">
                  <c:v>8.7222222222222232</c:v>
                </c:pt>
                <c:pt idx="3390">
                  <c:v>8.6111111111111107</c:v>
                </c:pt>
                <c:pt idx="3391">
                  <c:v>9.2222222222222232</c:v>
                </c:pt>
                <c:pt idx="3392">
                  <c:v>10.277777777777777</c:v>
                </c:pt>
                <c:pt idx="3393">
                  <c:v>11.111111111111111</c:v>
                </c:pt>
                <c:pt idx="3394">
                  <c:v>11.611111111111111</c:v>
                </c:pt>
                <c:pt idx="3395">
                  <c:v>11.888888888888888</c:v>
                </c:pt>
                <c:pt idx="3396">
                  <c:v>11.722222222222223</c:v>
                </c:pt>
                <c:pt idx="3397">
                  <c:v>10.611111111111112</c:v>
                </c:pt>
                <c:pt idx="3398">
                  <c:v>10.222222222222221</c:v>
                </c:pt>
                <c:pt idx="3399">
                  <c:v>10</c:v>
                </c:pt>
                <c:pt idx="3400">
                  <c:v>10</c:v>
                </c:pt>
                <c:pt idx="3401">
                  <c:v>9.8888888888888875</c:v>
                </c:pt>
                <c:pt idx="3402">
                  <c:v>10.111111111111112</c:v>
                </c:pt>
                <c:pt idx="3403">
                  <c:v>10.277777777777777</c:v>
                </c:pt>
                <c:pt idx="3404">
                  <c:v>10.777777777777777</c:v>
                </c:pt>
                <c:pt idx="3405">
                  <c:v>11.500000000000002</c:v>
                </c:pt>
                <c:pt idx="3406">
                  <c:v>12</c:v>
                </c:pt>
                <c:pt idx="3407">
                  <c:v>12.222222222222221</c:v>
                </c:pt>
                <c:pt idx="3408">
                  <c:v>12.111111111111109</c:v>
                </c:pt>
                <c:pt idx="3409">
                  <c:v>11.277777777777777</c:v>
                </c:pt>
                <c:pt idx="3410">
                  <c:v>10.999999999999998</c:v>
                </c:pt>
                <c:pt idx="3411">
                  <c:v>10.388888888888891</c:v>
                </c:pt>
                <c:pt idx="3412">
                  <c:v>10</c:v>
                </c:pt>
                <c:pt idx="3413">
                  <c:v>9.8888888888888875</c:v>
                </c:pt>
                <c:pt idx="3414">
                  <c:v>10</c:v>
                </c:pt>
                <c:pt idx="3415">
                  <c:v>10.111111111111112</c:v>
                </c:pt>
                <c:pt idx="3416">
                  <c:v>10.499999999999998</c:v>
                </c:pt>
                <c:pt idx="3417">
                  <c:v>11.222222222222223</c:v>
                </c:pt>
                <c:pt idx="3418">
                  <c:v>11.611111111111111</c:v>
                </c:pt>
                <c:pt idx="3419">
                  <c:v>12</c:v>
                </c:pt>
                <c:pt idx="3420">
                  <c:v>12.222222222222221</c:v>
                </c:pt>
                <c:pt idx="3421">
                  <c:v>12</c:v>
                </c:pt>
                <c:pt idx="3422">
                  <c:v>11.388888888888889</c:v>
                </c:pt>
                <c:pt idx="3423">
                  <c:v>10.111111111111112</c:v>
                </c:pt>
                <c:pt idx="3424">
                  <c:v>9.2777777777777786</c:v>
                </c:pt>
                <c:pt idx="3425">
                  <c:v>9.2777777777777786</c:v>
                </c:pt>
                <c:pt idx="3426">
                  <c:v>8.8888888888888893</c:v>
                </c:pt>
                <c:pt idx="3427">
                  <c:v>9.3888888888888875</c:v>
                </c:pt>
                <c:pt idx="3428">
                  <c:v>9.7777777777777786</c:v>
                </c:pt>
                <c:pt idx="3429">
                  <c:v>10.611111111111112</c:v>
                </c:pt>
                <c:pt idx="3430">
                  <c:v>11.611111111111111</c:v>
                </c:pt>
                <c:pt idx="3431">
                  <c:v>12.222222222222221</c:v>
                </c:pt>
                <c:pt idx="3432">
                  <c:v>12.388888888888888</c:v>
                </c:pt>
                <c:pt idx="3433">
                  <c:v>12</c:v>
                </c:pt>
                <c:pt idx="3434">
                  <c:v>10.999999999999998</c:v>
                </c:pt>
                <c:pt idx="3435">
                  <c:v>10.222222222222221</c:v>
                </c:pt>
                <c:pt idx="3436">
                  <c:v>9.3888888888888875</c:v>
                </c:pt>
                <c:pt idx="3437">
                  <c:v>9.1111111111111107</c:v>
                </c:pt>
                <c:pt idx="3438">
                  <c:v>9.1111111111111107</c:v>
                </c:pt>
                <c:pt idx="3439">
                  <c:v>9.2222222222222232</c:v>
                </c:pt>
                <c:pt idx="3440">
                  <c:v>9.5</c:v>
                </c:pt>
                <c:pt idx="3441">
                  <c:v>10.277777777777777</c:v>
                </c:pt>
                <c:pt idx="3442">
                  <c:v>11.111111111111111</c:v>
                </c:pt>
                <c:pt idx="3443">
                  <c:v>11.777777777777779</c:v>
                </c:pt>
                <c:pt idx="3444">
                  <c:v>12.277777777777779</c:v>
                </c:pt>
                <c:pt idx="3445">
                  <c:v>12.5</c:v>
                </c:pt>
                <c:pt idx="3446">
                  <c:v>12</c:v>
                </c:pt>
                <c:pt idx="3447">
                  <c:v>11.111111111111111</c:v>
                </c:pt>
                <c:pt idx="3448">
                  <c:v>9.6111111111111089</c:v>
                </c:pt>
                <c:pt idx="3449">
                  <c:v>8.7222222222222232</c:v>
                </c:pt>
                <c:pt idx="3450">
                  <c:v>8.4999999999999982</c:v>
                </c:pt>
                <c:pt idx="3451">
                  <c:v>8.3888888888888893</c:v>
                </c:pt>
                <c:pt idx="3452">
                  <c:v>8.4999999999999982</c:v>
                </c:pt>
                <c:pt idx="3453">
                  <c:v>9.2222222222222232</c:v>
                </c:pt>
                <c:pt idx="3454">
                  <c:v>10.277777777777777</c:v>
                </c:pt>
                <c:pt idx="3455">
                  <c:v>11.388888888888889</c:v>
                </c:pt>
                <c:pt idx="3456">
                  <c:v>11.777777777777779</c:v>
                </c:pt>
                <c:pt idx="3457">
                  <c:v>12</c:v>
                </c:pt>
                <c:pt idx="3458">
                  <c:v>10.72222222222222</c:v>
                </c:pt>
                <c:pt idx="3459">
                  <c:v>10.222222222222221</c:v>
                </c:pt>
                <c:pt idx="3460">
                  <c:v>9.0000000000000018</c:v>
                </c:pt>
                <c:pt idx="3461">
                  <c:v>8.6111111111111107</c:v>
                </c:pt>
                <c:pt idx="3462">
                  <c:v>8.4999999999999982</c:v>
                </c:pt>
                <c:pt idx="3463">
                  <c:v>8.4999999999999982</c:v>
                </c:pt>
                <c:pt idx="3464">
                  <c:v>8.6111111111111107</c:v>
                </c:pt>
                <c:pt idx="3465">
                  <c:v>9.0000000000000018</c:v>
                </c:pt>
                <c:pt idx="3466">
                  <c:v>10</c:v>
                </c:pt>
                <c:pt idx="3467">
                  <c:v>10.888888888888889</c:v>
                </c:pt>
                <c:pt idx="3468">
                  <c:v>11.611111111111111</c:v>
                </c:pt>
                <c:pt idx="3469">
                  <c:v>12.222222222222221</c:v>
                </c:pt>
                <c:pt idx="3470">
                  <c:v>12.388888888888888</c:v>
                </c:pt>
                <c:pt idx="3471">
                  <c:v>11.277777777777777</c:v>
                </c:pt>
                <c:pt idx="3472">
                  <c:v>10.388888888888891</c:v>
                </c:pt>
                <c:pt idx="3473">
                  <c:v>9.5</c:v>
                </c:pt>
                <c:pt idx="3474">
                  <c:v>8.7222222222222232</c:v>
                </c:pt>
                <c:pt idx="3475">
                  <c:v>8.4999999999999982</c:v>
                </c:pt>
                <c:pt idx="3476">
                  <c:v>8.6111111111111107</c:v>
                </c:pt>
                <c:pt idx="3477">
                  <c:v>9.0000000000000018</c:v>
                </c:pt>
                <c:pt idx="3478">
                  <c:v>10</c:v>
                </c:pt>
                <c:pt idx="3479">
                  <c:v>11.388888888888889</c:v>
                </c:pt>
                <c:pt idx="3480">
                  <c:v>12.388888888888888</c:v>
                </c:pt>
                <c:pt idx="3481">
                  <c:v>12.777777777777777</c:v>
                </c:pt>
                <c:pt idx="3482">
                  <c:v>12.611111111111112</c:v>
                </c:pt>
                <c:pt idx="3483">
                  <c:v>11.277777777777777</c:v>
                </c:pt>
                <c:pt idx="3484">
                  <c:v>10.111111111111112</c:v>
                </c:pt>
                <c:pt idx="3485">
                  <c:v>9.0000000000000018</c:v>
                </c:pt>
                <c:pt idx="3486">
                  <c:v>8.3888888888888893</c:v>
                </c:pt>
                <c:pt idx="3487">
                  <c:v>8.2777777777777768</c:v>
                </c:pt>
                <c:pt idx="3488">
                  <c:v>8.3888888888888893</c:v>
                </c:pt>
                <c:pt idx="3489">
                  <c:v>8.6111111111111107</c:v>
                </c:pt>
                <c:pt idx="3490">
                  <c:v>9.5</c:v>
                </c:pt>
                <c:pt idx="3491">
                  <c:v>10.888888888888889</c:v>
                </c:pt>
                <c:pt idx="3492">
                  <c:v>11.777777777777779</c:v>
                </c:pt>
                <c:pt idx="3493">
                  <c:v>12.611111111111112</c:v>
                </c:pt>
                <c:pt idx="3494">
                  <c:v>12.999999999999998</c:v>
                </c:pt>
                <c:pt idx="3495">
                  <c:v>12.722222222222221</c:v>
                </c:pt>
                <c:pt idx="3496">
                  <c:v>11.500000000000002</c:v>
                </c:pt>
                <c:pt idx="3497">
                  <c:v>10.499999999999998</c:v>
                </c:pt>
                <c:pt idx="3498">
                  <c:v>9.7777777777777786</c:v>
                </c:pt>
                <c:pt idx="3499">
                  <c:v>9.5</c:v>
                </c:pt>
                <c:pt idx="3500">
                  <c:v>9.6111111111111089</c:v>
                </c:pt>
                <c:pt idx="3501">
                  <c:v>10</c:v>
                </c:pt>
                <c:pt idx="3502">
                  <c:v>10.111111111111112</c:v>
                </c:pt>
                <c:pt idx="3503">
                  <c:v>10.611111111111112</c:v>
                </c:pt>
                <c:pt idx="3504">
                  <c:v>11.777777777777779</c:v>
                </c:pt>
                <c:pt idx="3505">
                  <c:v>12.5</c:v>
                </c:pt>
                <c:pt idx="3506">
                  <c:v>12.777777777777777</c:v>
                </c:pt>
                <c:pt idx="3507">
                  <c:v>12.222222222222221</c:v>
                </c:pt>
                <c:pt idx="3508">
                  <c:v>11.222222222222223</c:v>
                </c:pt>
                <c:pt idx="3509">
                  <c:v>10.72222222222222</c:v>
                </c:pt>
                <c:pt idx="3510">
                  <c:v>10.388888888888891</c:v>
                </c:pt>
                <c:pt idx="3511">
                  <c:v>10</c:v>
                </c:pt>
                <c:pt idx="3512">
                  <c:v>9.8888888888888875</c:v>
                </c:pt>
                <c:pt idx="3513">
                  <c:v>9.7777777777777786</c:v>
                </c:pt>
                <c:pt idx="3514">
                  <c:v>10.222222222222221</c:v>
                </c:pt>
                <c:pt idx="3515">
                  <c:v>10.888888888888889</c:v>
                </c:pt>
                <c:pt idx="3516">
                  <c:v>11.888888888888888</c:v>
                </c:pt>
                <c:pt idx="3517">
                  <c:v>12.5</c:v>
                </c:pt>
                <c:pt idx="3518">
                  <c:v>13.111111111111111</c:v>
                </c:pt>
                <c:pt idx="3519">
                  <c:v>13.388888888888889</c:v>
                </c:pt>
                <c:pt idx="3520">
                  <c:v>12.999999999999998</c:v>
                </c:pt>
                <c:pt idx="3521">
                  <c:v>11.611111111111111</c:v>
                </c:pt>
                <c:pt idx="3522">
                  <c:v>10.999999999999998</c:v>
                </c:pt>
                <c:pt idx="3523">
                  <c:v>10.499999999999998</c:v>
                </c:pt>
                <c:pt idx="3524">
                  <c:v>10</c:v>
                </c:pt>
                <c:pt idx="3525">
                  <c:v>10.111111111111112</c:v>
                </c:pt>
                <c:pt idx="3526">
                  <c:v>10.388888888888891</c:v>
                </c:pt>
                <c:pt idx="3527">
                  <c:v>10.499999999999998</c:v>
                </c:pt>
                <c:pt idx="3528">
                  <c:v>11.277777777777777</c:v>
                </c:pt>
                <c:pt idx="3529">
                  <c:v>12.388888888888888</c:v>
                </c:pt>
                <c:pt idx="3530">
                  <c:v>12.999999999999998</c:v>
                </c:pt>
                <c:pt idx="3531">
                  <c:v>13.111111111111111</c:v>
                </c:pt>
                <c:pt idx="3532">
                  <c:v>12.388888888888888</c:v>
                </c:pt>
                <c:pt idx="3533">
                  <c:v>11.388888888888889</c:v>
                </c:pt>
                <c:pt idx="3534">
                  <c:v>10.72222222222222</c:v>
                </c:pt>
                <c:pt idx="3535">
                  <c:v>10.111111111111112</c:v>
                </c:pt>
                <c:pt idx="3536">
                  <c:v>9.7222222222222214</c:v>
                </c:pt>
                <c:pt idx="3537">
                  <c:v>9.2777777777777786</c:v>
                </c:pt>
                <c:pt idx="3538">
                  <c:v>9.6111111111111089</c:v>
                </c:pt>
                <c:pt idx="3539">
                  <c:v>10.222222222222221</c:v>
                </c:pt>
                <c:pt idx="3540">
                  <c:v>11.222222222222223</c:v>
                </c:pt>
                <c:pt idx="3541">
                  <c:v>12.222222222222221</c:v>
                </c:pt>
                <c:pt idx="3542">
                  <c:v>12.999999999999998</c:v>
                </c:pt>
                <c:pt idx="3543">
                  <c:v>13.388888888888889</c:v>
                </c:pt>
                <c:pt idx="3544">
                  <c:v>13.499999999999998</c:v>
                </c:pt>
                <c:pt idx="3545">
                  <c:v>12.611111111111112</c:v>
                </c:pt>
                <c:pt idx="3546">
                  <c:v>10.888888888888889</c:v>
                </c:pt>
                <c:pt idx="3547">
                  <c:v>10.72222222222222</c:v>
                </c:pt>
                <c:pt idx="3548">
                  <c:v>10.499999999999998</c:v>
                </c:pt>
                <c:pt idx="3549">
                  <c:v>9.8888888888888875</c:v>
                </c:pt>
                <c:pt idx="3550">
                  <c:v>9.8888888888888875</c:v>
                </c:pt>
                <c:pt idx="3551">
                  <c:v>9.7777777777777786</c:v>
                </c:pt>
                <c:pt idx="3552">
                  <c:v>10.277777777777777</c:v>
                </c:pt>
                <c:pt idx="3553">
                  <c:v>11.277777777777777</c:v>
                </c:pt>
                <c:pt idx="3554">
                  <c:v>12.388888888888888</c:v>
                </c:pt>
                <c:pt idx="3555">
                  <c:v>12.888888888888889</c:v>
                </c:pt>
                <c:pt idx="3556">
                  <c:v>12.722222222222221</c:v>
                </c:pt>
                <c:pt idx="3557">
                  <c:v>11.611111111111111</c:v>
                </c:pt>
                <c:pt idx="3558">
                  <c:v>10.777777777777777</c:v>
                </c:pt>
                <c:pt idx="3559">
                  <c:v>10.222222222222221</c:v>
                </c:pt>
                <c:pt idx="3560">
                  <c:v>9.6111111111111089</c:v>
                </c:pt>
                <c:pt idx="3561">
                  <c:v>9.3888888888888875</c:v>
                </c:pt>
                <c:pt idx="3562">
                  <c:v>9.2222222222222232</c:v>
                </c:pt>
                <c:pt idx="3563">
                  <c:v>9.3888888888888875</c:v>
                </c:pt>
                <c:pt idx="3564">
                  <c:v>10.111111111111112</c:v>
                </c:pt>
                <c:pt idx="3565">
                  <c:v>11.222222222222223</c:v>
                </c:pt>
                <c:pt idx="3566">
                  <c:v>12.222222222222221</c:v>
                </c:pt>
                <c:pt idx="3567">
                  <c:v>12.888888888888889</c:v>
                </c:pt>
                <c:pt idx="3568">
                  <c:v>13.277777777777777</c:v>
                </c:pt>
                <c:pt idx="3569">
                  <c:v>13.22222222222222</c:v>
                </c:pt>
                <c:pt idx="3570">
                  <c:v>12.388888888888888</c:v>
                </c:pt>
                <c:pt idx="3571">
                  <c:v>11.111111111111111</c:v>
                </c:pt>
                <c:pt idx="3572">
                  <c:v>10.777777777777777</c:v>
                </c:pt>
                <c:pt idx="3573">
                  <c:v>10.72222222222222</c:v>
                </c:pt>
                <c:pt idx="3574">
                  <c:v>10.388888888888891</c:v>
                </c:pt>
                <c:pt idx="3575">
                  <c:v>10.611111111111112</c:v>
                </c:pt>
                <c:pt idx="3576">
                  <c:v>10.72222222222222</c:v>
                </c:pt>
                <c:pt idx="3577">
                  <c:v>11.111111111111111</c:v>
                </c:pt>
                <c:pt idx="3578">
                  <c:v>11.888888888888888</c:v>
                </c:pt>
                <c:pt idx="3579">
                  <c:v>12.722222222222221</c:v>
                </c:pt>
                <c:pt idx="3580">
                  <c:v>12.999999999999998</c:v>
                </c:pt>
                <c:pt idx="3581">
                  <c:v>12.777777777777777</c:v>
                </c:pt>
                <c:pt idx="3582">
                  <c:v>12</c:v>
                </c:pt>
                <c:pt idx="3583">
                  <c:v>11.277777777777777</c:v>
                </c:pt>
                <c:pt idx="3584">
                  <c:v>11.111111111111111</c:v>
                </c:pt>
                <c:pt idx="3585">
                  <c:v>10.72222222222222</c:v>
                </c:pt>
                <c:pt idx="3586">
                  <c:v>10.611111111111112</c:v>
                </c:pt>
                <c:pt idx="3587">
                  <c:v>10.611111111111112</c:v>
                </c:pt>
                <c:pt idx="3588">
                  <c:v>10.72222222222222</c:v>
                </c:pt>
                <c:pt idx="3589">
                  <c:v>11.111111111111111</c:v>
                </c:pt>
                <c:pt idx="3590">
                  <c:v>11.888888888888888</c:v>
                </c:pt>
                <c:pt idx="3591">
                  <c:v>12.722222222222221</c:v>
                </c:pt>
                <c:pt idx="3592">
                  <c:v>13.22222222222222</c:v>
                </c:pt>
                <c:pt idx="3593">
                  <c:v>13.499999999999998</c:v>
                </c:pt>
                <c:pt idx="3594">
                  <c:v>13.22222222222222</c:v>
                </c:pt>
                <c:pt idx="3595">
                  <c:v>12.777777777777777</c:v>
                </c:pt>
                <c:pt idx="3596">
                  <c:v>12.111111111111109</c:v>
                </c:pt>
                <c:pt idx="3597">
                  <c:v>11.611111111111111</c:v>
                </c:pt>
                <c:pt idx="3598">
                  <c:v>11.611111111111111</c:v>
                </c:pt>
                <c:pt idx="3599">
                  <c:v>11.388888888888889</c:v>
                </c:pt>
                <c:pt idx="3600">
                  <c:v>11.777777777777779</c:v>
                </c:pt>
                <c:pt idx="3601">
                  <c:v>11.777777777777779</c:v>
                </c:pt>
                <c:pt idx="3602">
                  <c:v>12</c:v>
                </c:pt>
                <c:pt idx="3603">
                  <c:v>12.722222222222221</c:v>
                </c:pt>
                <c:pt idx="3604">
                  <c:v>13.277777777777777</c:v>
                </c:pt>
                <c:pt idx="3605">
                  <c:v>13.499999999999998</c:v>
                </c:pt>
                <c:pt idx="3606">
                  <c:v>13.22222222222222</c:v>
                </c:pt>
                <c:pt idx="3607">
                  <c:v>12.388888888888888</c:v>
                </c:pt>
                <c:pt idx="3608">
                  <c:v>12.111111111111109</c:v>
                </c:pt>
                <c:pt idx="3609">
                  <c:v>11.777777777777779</c:v>
                </c:pt>
                <c:pt idx="3610">
                  <c:v>11.388888888888889</c:v>
                </c:pt>
                <c:pt idx="3611">
                  <c:v>11.111111111111111</c:v>
                </c:pt>
                <c:pt idx="3612">
                  <c:v>11.388888888888889</c:v>
                </c:pt>
                <c:pt idx="3613">
                  <c:v>11.500000000000002</c:v>
                </c:pt>
                <c:pt idx="3614">
                  <c:v>12</c:v>
                </c:pt>
                <c:pt idx="3615">
                  <c:v>12.888888888888889</c:v>
                </c:pt>
                <c:pt idx="3616">
                  <c:v>13.499999999999998</c:v>
                </c:pt>
                <c:pt idx="3617">
                  <c:v>14.111111111111111</c:v>
                </c:pt>
                <c:pt idx="3618">
                  <c:v>14.277777777777779</c:v>
                </c:pt>
                <c:pt idx="3619">
                  <c:v>13.888888888888889</c:v>
                </c:pt>
                <c:pt idx="3620">
                  <c:v>12.999999999999998</c:v>
                </c:pt>
                <c:pt idx="3621">
                  <c:v>12.611111111111112</c:v>
                </c:pt>
                <c:pt idx="3622">
                  <c:v>12.222222222222221</c:v>
                </c:pt>
                <c:pt idx="3623">
                  <c:v>11.888888888888888</c:v>
                </c:pt>
                <c:pt idx="3624">
                  <c:v>11.722222222222223</c:v>
                </c:pt>
                <c:pt idx="3625">
                  <c:v>12.111111111111109</c:v>
                </c:pt>
                <c:pt idx="3626">
                  <c:v>12.222222222222221</c:v>
                </c:pt>
                <c:pt idx="3627">
                  <c:v>12.611111111111112</c:v>
                </c:pt>
                <c:pt idx="3628">
                  <c:v>13.277777777777777</c:v>
                </c:pt>
                <c:pt idx="3629">
                  <c:v>13.777777777777775</c:v>
                </c:pt>
                <c:pt idx="3630">
                  <c:v>14.111111111111111</c:v>
                </c:pt>
                <c:pt idx="3631">
                  <c:v>13.611111111111111</c:v>
                </c:pt>
                <c:pt idx="3632">
                  <c:v>13.22222222222222</c:v>
                </c:pt>
                <c:pt idx="3633">
                  <c:v>12.611111111111112</c:v>
                </c:pt>
                <c:pt idx="3634">
                  <c:v>12</c:v>
                </c:pt>
                <c:pt idx="3635">
                  <c:v>11.611111111111111</c:v>
                </c:pt>
                <c:pt idx="3636">
                  <c:v>11.277777777777777</c:v>
                </c:pt>
                <c:pt idx="3637">
                  <c:v>11.722222222222223</c:v>
                </c:pt>
                <c:pt idx="3638">
                  <c:v>11.888888888888888</c:v>
                </c:pt>
                <c:pt idx="3639">
                  <c:v>12.5</c:v>
                </c:pt>
                <c:pt idx="3640">
                  <c:v>13.499999999999998</c:v>
                </c:pt>
                <c:pt idx="3641">
                  <c:v>14.388888888888888</c:v>
                </c:pt>
                <c:pt idx="3642">
                  <c:v>14.888888888888888</c:v>
                </c:pt>
                <c:pt idx="3643">
                  <c:v>15.222222222222221</c:v>
                </c:pt>
                <c:pt idx="3644">
                  <c:v>14.611111111111109</c:v>
                </c:pt>
                <c:pt idx="3645">
                  <c:v>13.388888888888889</c:v>
                </c:pt>
                <c:pt idx="3646">
                  <c:v>12.222222222222221</c:v>
                </c:pt>
                <c:pt idx="3647">
                  <c:v>12.111111111111109</c:v>
                </c:pt>
                <c:pt idx="3648">
                  <c:v>11.222222222222223</c:v>
                </c:pt>
                <c:pt idx="3649">
                  <c:v>11.111111111111111</c:v>
                </c:pt>
                <c:pt idx="3650">
                  <c:v>11.611111111111111</c:v>
                </c:pt>
                <c:pt idx="3651">
                  <c:v>11.888888888888888</c:v>
                </c:pt>
                <c:pt idx="3652">
                  <c:v>12.611111111111112</c:v>
                </c:pt>
                <c:pt idx="3653">
                  <c:v>13.777777777777775</c:v>
                </c:pt>
                <c:pt idx="3654">
                  <c:v>14.5</c:v>
                </c:pt>
                <c:pt idx="3655">
                  <c:v>14.777777777777779</c:v>
                </c:pt>
                <c:pt idx="3656">
                  <c:v>14.277777777777779</c:v>
                </c:pt>
                <c:pt idx="3657">
                  <c:v>13.277777777777777</c:v>
                </c:pt>
                <c:pt idx="3658">
                  <c:v>12.5</c:v>
                </c:pt>
                <c:pt idx="3659">
                  <c:v>11.500000000000002</c:v>
                </c:pt>
                <c:pt idx="3660">
                  <c:v>11.222222222222223</c:v>
                </c:pt>
                <c:pt idx="3661">
                  <c:v>10.777777777777777</c:v>
                </c:pt>
                <c:pt idx="3662">
                  <c:v>11.222222222222223</c:v>
                </c:pt>
                <c:pt idx="3663">
                  <c:v>11.611111111111111</c:v>
                </c:pt>
                <c:pt idx="3664">
                  <c:v>12.277777777777779</c:v>
                </c:pt>
                <c:pt idx="3665">
                  <c:v>13.611111111111111</c:v>
                </c:pt>
                <c:pt idx="3666">
                  <c:v>14.611111111111109</c:v>
                </c:pt>
                <c:pt idx="3667">
                  <c:v>15.111111111111112</c:v>
                </c:pt>
                <c:pt idx="3668">
                  <c:v>15.222222222222221</c:v>
                </c:pt>
                <c:pt idx="3669">
                  <c:v>14.388888888888888</c:v>
                </c:pt>
                <c:pt idx="3670">
                  <c:v>13.277777777777777</c:v>
                </c:pt>
                <c:pt idx="3671">
                  <c:v>12.611111111111112</c:v>
                </c:pt>
                <c:pt idx="3672">
                  <c:v>12.5</c:v>
                </c:pt>
                <c:pt idx="3673">
                  <c:v>12.611111111111112</c:v>
                </c:pt>
                <c:pt idx="3674">
                  <c:v>12.5</c:v>
                </c:pt>
                <c:pt idx="3675">
                  <c:v>12.5</c:v>
                </c:pt>
                <c:pt idx="3676">
                  <c:v>12.722222222222221</c:v>
                </c:pt>
                <c:pt idx="3677">
                  <c:v>13.22222222222222</c:v>
                </c:pt>
                <c:pt idx="3678">
                  <c:v>14.111111111111111</c:v>
                </c:pt>
                <c:pt idx="3679">
                  <c:v>14.722222222222221</c:v>
                </c:pt>
                <c:pt idx="3680">
                  <c:v>15</c:v>
                </c:pt>
                <c:pt idx="3681">
                  <c:v>14.5</c:v>
                </c:pt>
                <c:pt idx="3682">
                  <c:v>14.000000000000002</c:v>
                </c:pt>
                <c:pt idx="3683">
                  <c:v>13.111111111111111</c:v>
                </c:pt>
                <c:pt idx="3684">
                  <c:v>12.5</c:v>
                </c:pt>
                <c:pt idx="3685">
                  <c:v>11.888888888888888</c:v>
                </c:pt>
                <c:pt idx="3686">
                  <c:v>11.222222222222223</c:v>
                </c:pt>
                <c:pt idx="3687">
                  <c:v>11.722222222222223</c:v>
                </c:pt>
                <c:pt idx="3688">
                  <c:v>12.388888888888888</c:v>
                </c:pt>
                <c:pt idx="3689">
                  <c:v>13.111111111111111</c:v>
                </c:pt>
                <c:pt idx="3690">
                  <c:v>14.277777777777779</c:v>
                </c:pt>
                <c:pt idx="3691">
                  <c:v>15.111111111111112</c:v>
                </c:pt>
                <c:pt idx="3692">
                  <c:v>15.499999999999998</c:v>
                </c:pt>
                <c:pt idx="3693">
                  <c:v>15.388888888888889</c:v>
                </c:pt>
                <c:pt idx="3694">
                  <c:v>14.5</c:v>
                </c:pt>
                <c:pt idx="3695">
                  <c:v>13.722222222222223</c:v>
                </c:pt>
                <c:pt idx="3696">
                  <c:v>13.22222222222222</c:v>
                </c:pt>
                <c:pt idx="3697">
                  <c:v>12.722222222222221</c:v>
                </c:pt>
                <c:pt idx="3698">
                  <c:v>12.388888888888888</c:v>
                </c:pt>
                <c:pt idx="3699">
                  <c:v>12.277777777777779</c:v>
                </c:pt>
                <c:pt idx="3700">
                  <c:v>12.277777777777779</c:v>
                </c:pt>
                <c:pt idx="3701">
                  <c:v>12.999999999999998</c:v>
                </c:pt>
                <c:pt idx="3702">
                  <c:v>13.777777777777775</c:v>
                </c:pt>
                <c:pt idx="3703">
                  <c:v>14.722222222222221</c:v>
                </c:pt>
                <c:pt idx="3704">
                  <c:v>15.222222222222221</c:v>
                </c:pt>
                <c:pt idx="3705">
                  <c:v>15.499999999999998</c:v>
                </c:pt>
                <c:pt idx="3706">
                  <c:v>14.888888888888888</c:v>
                </c:pt>
                <c:pt idx="3707">
                  <c:v>14.222222222222223</c:v>
                </c:pt>
                <c:pt idx="3708">
                  <c:v>12.888888888888889</c:v>
                </c:pt>
                <c:pt idx="3709">
                  <c:v>11.888888888888888</c:v>
                </c:pt>
                <c:pt idx="3710">
                  <c:v>11.222222222222223</c:v>
                </c:pt>
                <c:pt idx="3711">
                  <c:v>10.611111111111112</c:v>
                </c:pt>
                <c:pt idx="3712">
                  <c:v>11.277777777777777</c:v>
                </c:pt>
                <c:pt idx="3713">
                  <c:v>12</c:v>
                </c:pt>
                <c:pt idx="3714">
                  <c:v>13.111111111111111</c:v>
                </c:pt>
                <c:pt idx="3715">
                  <c:v>14.722222222222221</c:v>
                </c:pt>
                <c:pt idx="3716">
                  <c:v>15.611111111111111</c:v>
                </c:pt>
                <c:pt idx="3717">
                  <c:v>15.888888888888889</c:v>
                </c:pt>
                <c:pt idx="3718">
                  <c:v>15.222222222222221</c:v>
                </c:pt>
                <c:pt idx="3719">
                  <c:v>14.111111111111111</c:v>
                </c:pt>
                <c:pt idx="3720">
                  <c:v>12.277777777777779</c:v>
                </c:pt>
                <c:pt idx="3721">
                  <c:v>11.388888888888889</c:v>
                </c:pt>
                <c:pt idx="3722">
                  <c:v>10.72222222222222</c:v>
                </c:pt>
                <c:pt idx="3723">
                  <c:v>10</c:v>
                </c:pt>
                <c:pt idx="3724">
                  <c:v>10.72222222222222</c:v>
                </c:pt>
                <c:pt idx="3725">
                  <c:v>10.611111111111112</c:v>
                </c:pt>
                <c:pt idx="3726">
                  <c:v>11.611111111111111</c:v>
                </c:pt>
                <c:pt idx="3727">
                  <c:v>13.277777777777777</c:v>
                </c:pt>
                <c:pt idx="3728">
                  <c:v>14.611111111111109</c:v>
                </c:pt>
                <c:pt idx="3729">
                  <c:v>15.277777777777777</c:v>
                </c:pt>
                <c:pt idx="3730">
                  <c:v>15.499999999999998</c:v>
                </c:pt>
                <c:pt idx="3731">
                  <c:v>15</c:v>
                </c:pt>
                <c:pt idx="3732">
                  <c:v>13.22222222222222</c:v>
                </c:pt>
                <c:pt idx="3733">
                  <c:v>11.722222222222223</c:v>
                </c:pt>
                <c:pt idx="3734">
                  <c:v>10.888888888888889</c:v>
                </c:pt>
                <c:pt idx="3735">
                  <c:v>10.111111111111112</c:v>
                </c:pt>
                <c:pt idx="3736">
                  <c:v>9.6111111111111089</c:v>
                </c:pt>
                <c:pt idx="3737">
                  <c:v>10.222222222222221</c:v>
                </c:pt>
                <c:pt idx="3738">
                  <c:v>11.222222222222223</c:v>
                </c:pt>
                <c:pt idx="3739">
                  <c:v>12.5</c:v>
                </c:pt>
                <c:pt idx="3740">
                  <c:v>14.5</c:v>
                </c:pt>
                <c:pt idx="3741">
                  <c:v>15.388888888888889</c:v>
                </c:pt>
                <c:pt idx="3742">
                  <c:v>15.72222222222222</c:v>
                </c:pt>
                <c:pt idx="3743">
                  <c:v>14.888888888888888</c:v>
                </c:pt>
                <c:pt idx="3744">
                  <c:v>12.777777777777777</c:v>
                </c:pt>
                <c:pt idx="3745">
                  <c:v>11.722222222222223</c:v>
                </c:pt>
                <c:pt idx="3746">
                  <c:v>10.222222222222221</c:v>
                </c:pt>
                <c:pt idx="3747">
                  <c:v>9.7222222222222214</c:v>
                </c:pt>
                <c:pt idx="3748">
                  <c:v>9.7222222222222214</c:v>
                </c:pt>
                <c:pt idx="3749">
                  <c:v>9.8888888888888875</c:v>
                </c:pt>
                <c:pt idx="3750">
                  <c:v>10.611111111111112</c:v>
                </c:pt>
                <c:pt idx="3751">
                  <c:v>11.777777777777779</c:v>
                </c:pt>
                <c:pt idx="3752">
                  <c:v>13.499999999999998</c:v>
                </c:pt>
                <c:pt idx="3753">
                  <c:v>14.611111111111109</c:v>
                </c:pt>
                <c:pt idx="3754">
                  <c:v>15.388888888888889</c:v>
                </c:pt>
                <c:pt idx="3755">
                  <c:v>15.72222222222222</c:v>
                </c:pt>
                <c:pt idx="3756">
                  <c:v>15</c:v>
                </c:pt>
                <c:pt idx="3757">
                  <c:v>13.22222222222222</c:v>
                </c:pt>
                <c:pt idx="3758">
                  <c:v>12</c:v>
                </c:pt>
                <c:pt idx="3759">
                  <c:v>10.611111111111112</c:v>
                </c:pt>
                <c:pt idx="3760">
                  <c:v>10.277777777777777</c:v>
                </c:pt>
                <c:pt idx="3761">
                  <c:v>9.8888888888888875</c:v>
                </c:pt>
                <c:pt idx="3762">
                  <c:v>10.388888888888891</c:v>
                </c:pt>
                <c:pt idx="3763">
                  <c:v>11.611111111111111</c:v>
                </c:pt>
                <c:pt idx="3764">
                  <c:v>13.22222222222222</c:v>
                </c:pt>
                <c:pt idx="3765">
                  <c:v>14.777777777777779</c:v>
                </c:pt>
                <c:pt idx="3766">
                  <c:v>15.499999999999998</c:v>
                </c:pt>
                <c:pt idx="3767">
                  <c:v>15.72222222222222</c:v>
                </c:pt>
                <c:pt idx="3768">
                  <c:v>13.277777777777777</c:v>
                </c:pt>
                <c:pt idx="3769">
                  <c:v>12.5</c:v>
                </c:pt>
                <c:pt idx="3770">
                  <c:v>10.888888888888889</c:v>
                </c:pt>
                <c:pt idx="3771">
                  <c:v>10.499999999999998</c:v>
                </c:pt>
                <c:pt idx="3772">
                  <c:v>10</c:v>
                </c:pt>
                <c:pt idx="3773">
                  <c:v>9.8888888888888875</c:v>
                </c:pt>
                <c:pt idx="3774">
                  <c:v>10.111111111111112</c:v>
                </c:pt>
                <c:pt idx="3775">
                  <c:v>10.999999999999998</c:v>
                </c:pt>
                <c:pt idx="3776">
                  <c:v>12.388888888888888</c:v>
                </c:pt>
                <c:pt idx="3777">
                  <c:v>13.722222222222223</c:v>
                </c:pt>
                <c:pt idx="3778">
                  <c:v>14.722222222222221</c:v>
                </c:pt>
                <c:pt idx="3779">
                  <c:v>15.499999999999998</c:v>
                </c:pt>
                <c:pt idx="3780">
                  <c:v>15.611111111111111</c:v>
                </c:pt>
                <c:pt idx="3781">
                  <c:v>13.722222222222223</c:v>
                </c:pt>
                <c:pt idx="3782">
                  <c:v>12.888888888888889</c:v>
                </c:pt>
                <c:pt idx="3783">
                  <c:v>12.388888888888888</c:v>
                </c:pt>
                <c:pt idx="3784">
                  <c:v>12.611111111111112</c:v>
                </c:pt>
                <c:pt idx="3785">
                  <c:v>12.722222222222221</c:v>
                </c:pt>
                <c:pt idx="3786">
                  <c:v>12.722222222222221</c:v>
                </c:pt>
                <c:pt idx="3787">
                  <c:v>12.722222222222221</c:v>
                </c:pt>
                <c:pt idx="3788">
                  <c:v>12.888888888888889</c:v>
                </c:pt>
                <c:pt idx="3789">
                  <c:v>13.611111111111111</c:v>
                </c:pt>
                <c:pt idx="3790">
                  <c:v>14.277777777777779</c:v>
                </c:pt>
                <c:pt idx="3791">
                  <c:v>14.777777777777779</c:v>
                </c:pt>
                <c:pt idx="3792">
                  <c:v>14.777777777777779</c:v>
                </c:pt>
                <c:pt idx="3793">
                  <c:v>13.611111111111111</c:v>
                </c:pt>
                <c:pt idx="3794">
                  <c:v>13.111111111111111</c:v>
                </c:pt>
                <c:pt idx="3795">
                  <c:v>12.722222222222221</c:v>
                </c:pt>
                <c:pt idx="3796">
                  <c:v>12.5</c:v>
                </c:pt>
                <c:pt idx="3797">
                  <c:v>12.388888888888888</c:v>
                </c:pt>
                <c:pt idx="3798">
                  <c:v>12.277777777777779</c:v>
                </c:pt>
                <c:pt idx="3799">
                  <c:v>12.388888888888888</c:v>
                </c:pt>
                <c:pt idx="3800">
                  <c:v>12.777777777777777</c:v>
                </c:pt>
                <c:pt idx="3801">
                  <c:v>13.499999999999998</c:v>
                </c:pt>
                <c:pt idx="3802">
                  <c:v>14.000000000000002</c:v>
                </c:pt>
                <c:pt idx="3803">
                  <c:v>14.5</c:v>
                </c:pt>
                <c:pt idx="3804">
                  <c:v>14.888888888888888</c:v>
                </c:pt>
                <c:pt idx="3805">
                  <c:v>14.888888888888888</c:v>
                </c:pt>
                <c:pt idx="3806">
                  <c:v>13.777777777777775</c:v>
                </c:pt>
                <c:pt idx="3807">
                  <c:v>12.999999999999998</c:v>
                </c:pt>
                <c:pt idx="3808">
                  <c:v>12.611111111111112</c:v>
                </c:pt>
                <c:pt idx="3809">
                  <c:v>12.5</c:v>
                </c:pt>
                <c:pt idx="3810">
                  <c:v>12.5</c:v>
                </c:pt>
                <c:pt idx="3811">
                  <c:v>12.611111111111112</c:v>
                </c:pt>
                <c:pt idx="3812">
                  <c:v>12.722222222222221</c:v>
                </c:pt>
                <c:pt idx="3813">
                  <c:v>13.111111111111111</c:v>
                </c:pt>
                <c:pt idx="3814">
                  <c:v>13.777777777777775</c:v>
                </c:pt>
                <c:pt idx="3815">
                  <c:v>14.222222222222223</c:v>
                </c:pt>
                <c:pt idx="3816">
                  <c:v>14.388888888888888</c:v>
                </c:pt>
                <c:pt idx="3817">
                  <c:v>14.277777777777779</c:v>
                </c:pt>
                <c:pt idx="3818">
                  <c:v>13.499999999999998</c:v>
                </c:pt>
                <c:pt idx="3819">
                  <c:v>12.888888888888889</c:v>
                </c:pt>
                <c:pt idx="3820">
                  <c:v>12.722222222222221</c:v>
                </c:pt>
                <c:pt idx="3821">
                  <c:v>12.722222222222221</c:v>
                </c:pt>
                <c:pt idx="3822">
                  <c:v>12.722222222222221</c:v>
                </c:pt>
                <c:pt idx="3823">
                  <c:v>12.722222222222221</c:v>
                </c:pt>
                <c:pt idx="3824">
                  <c:v>12.722222222222221</c:v>
                </c:pt>
                <c:pt idx="3825">
                  <c:v>12.999999999999998</c:v>
                </c:pt>
                <c:pt idx="3826">
                  <c:v>13.388888888888889</c:v>
                </c:pt>
                <c:pt idx="3827">
                  <c:v>13.777777777777775</c:v>
                </c:pt>
                <c:pt idx="3828">
                  <c:v>14.222222222222223</c:v>
                </c:pt>
                <c:pt idx="3829">
                  <c:v>14.388888888888888</c:v>
                </c:pt>
                <c:pt idx="3830">
                  <c:v>14.388888888888888</c:v>
                </c:pt>
                <c:pt idx="3831">
                  <c:v>13.611111111111111</c:v>
                </c:pt>
                <c:pt idx="3832">
                  <c:v>13.111111111111111</c:v>
                </c:pt>
                <c:pt idx="3833">
                  <c:v>12.888888888888889</c:v>
                </c:pt>
                <c:pt idx="3834">
                  <c:v>12.722222222222221</c:v>
                </c:pt>
                <c:pt idx="3835">
                  <c:v>12.722222222222221</c:v>
                </c:pt>
                <c:pt idx="3836">
                  <c:v>12.777777777777777</c:v>
                </c:pt>
                <c:pt idx="3837">
                  <c:v>12.999999999999998</c:v>
                </c:pt>
                <c:pt idx="3838">
                  <c:v>13.388888888888889</c:v>
                </c:pt>
                <c:pt idx="3839">
                  <c:v>13.888888888888889</c:v>
                </c:pt>
                <c:pt idx="3840">
                  <c:v>14.222222222222223</c:v>
                </c:pt>
                <c:pt idx="3841">
                  <c:v>14.388888888888888</c:v>
                </c:pt>
                <c:pt idx="3842">
                  <c:v>14.222222222222223</c:v>
                </c:pt>
                <c:pt idx="3843">
                  <c:v>13.611111111111111</c:v>
                </c:pt>
                <c:pt idx="3844">
                  <c:v>13.22222222222222</c:v>
                </c:pt>
                <c:pt idx="3845">
                  <c:v>12.999999999999998</c:v>
                </c:pt>
                <c:pt idx="3846">
                  <c:v>12.888888888888889</c:v>
                </c:pt>
                <c:pt idx="3847">
                  <c:v>12.888888888888889</c:v>
                </c:pt>
                <c:pt idx="3848">
                  <c:v>12.888888888888889</c:v>
                </c:pt>
                <c:pt idx="3849">
                  <c:v>12.999999999999998</c:v>
                </c:pt>
                <c:pt idx="3850">
                  <c:v>13.277777777777777</c:v>
                </c:pt>
                <c:pt idx="3851">
                  <c:v>13.722222222222223</c:v>
                </c:pt>
                <c:pt idx="3852">
                  <c:v>14.000000000000002</c:v>
                </c:pt>
                <c:pt idx="3853">
                  <c:v>14.277777777777779</c:v>
                </c:pt>
                <c:pt idx="3854">
                  <c:v>14.388888888888888</c:v>
                </c:pt>
                <c:pt idx="3855">
                  <c:v>14.388888888888888</c:v>
                </c:pt>
                <c:pt idx="3856">
                  <c:v>13.722222222222223</c:v>
                </c:pt>
                <c:pt idx="3857">
                  <c:v>13.388888888888889</c:v>
                </c:pt>
                <c:pt idx="3858">
                  <c:v>13.22222222222222</c:v>
                </c:pt>
                <c:pt idx="3859">
                  <c:v>13.111111111111111</c:v>
                </c:pt>
                <c:pt idx="3860">
                  <c:v>13.111111111111111</c:v>
                </c:pt>
                <c:pt idx="3861">
                  <c:v>13.22222222222222</c:v>
                </c:pt>
                <c:pt idx="3862">
                  <c:v>13.388888888888889</c:v>
                </c:pt>
                <c:pt idx="3863">
                  <c:v>13.777777777777775</c:v>
                </c:pt>
                <c:pt idx="3864">
                  <c:v>14.277777777777779</c:v>
                </c:pt>
                <c:pt idx="3865">
                  <c:v>14.5</c:v>
                </c:pt>
                <c:pt idx="3866">
                  <c:v>14.722222222222221</c:v>
                </c:pt>
                <c:pt idx="3867">
                  <c:v>14.5</c:v>
                </c:pt>
                <c:pt idx="3868">
                  <c:v>14.000000000000002</c:v>
                </c:pt>
                <c:pt idx="3869">
                  <c:v>13.388888888888889</c:v>
                </c:pt>
                <c:pt idx="3870">
                  <c:v>13.111111111111111</c:v>
                </c:pt>
                <c:pt idx="3871">
                  <c:v>12.999999999999998</c:v>
                </c:pt>
                <c:pt idx="3872">
                  <c:v>12.999999999999998</c:v>
                </c:pt>
                <c:pt idx="3873">
                  <c:v>12.999999999999998</c:v>
                </c:pt>
                <c:pt idx="3874">
                  <c:v>13.111111111111111</c:v>
                </c:pt>
                <c:pt idx="3875">
                  <c:v>13.499999999999998</c:v>
                </c:pt>
                <c:pt idx="3876">
                  <c:v>13.888888888888889</c:v>
                </c:pt>
                <c:pt idx="3877">
                  <c:v>14.277777777777779</c:v>
                </c:pt>
                <c:pt idx="3878">
                  <c:v>14.611111111111109</c:v>
                </c:pt>
                <c:pt idx="3879">
                  <c:v>14.722222222222221</c:v>
                </c:pt>
                <c:pt idx="3880">
                  <c:v>14.5</c:v>
                </c:pt>
                <c:pt idx="3881">
                  <c:v>14.000000000000002</c:v>
                </c:pt>
                <c:pt idx="3882">
                  <c:v>13.499999999999998</c:v>
                </c:pt>
                <c:pt idx="3883">
                  <c:v>13.277777777777777</c:v>
                </c:pt>
                <c:pt idx="3884">
                  <c:v>13.22222222222222</c:v>
                </c:pt>
                <c:pt idx="3885">
                  <c:v>13.22222222222222</c:v>
                </c:pt>
                <c:pt idx="3886">
                  <c:v>13.277777777777777</c:v>
                </c:pt>
                <c:pt idx="3887">
                  <c:v>13.499999999999998</c:v>
                </c:pt>
                <c:pt idx="3888">
                  <c:v>13.888888888888889</c:v>
                </c:pt>
                <c:pt idx="3889">
                  <c:v>14.277777777777779</c:v>
                </c:pt>
                <c:pt idx="3890">
                  <c:v>14.5</c:v>
                </c:pt>
                <c:pt idx="3891">
                  <c:v>14.611111111111109</c:v>
                </c:pt>
                <c:pt idx="3892">
                  <c:v>14.388888888888888</c:v>
                </c:pt>
                <c:pt idx="3893">
                  <c:v>13.888888888888889</c:v>
                </c:pt>
                <c:pt idx="3894">
                  <c:v>13.388888888888889</c:v>
                </c:pt>
                <c:pt idx="3895">
                  <c:v>13.111111111111111</c:v>
                </c:pt>
                <c:pt idx="3896">
                  <c:v>13.111111111111111</c:v>
                </c:pt>
                <c:pt idx="3897">
                  <c:v>12.999999999999998</c:v>
                </c:pt>
                <c:pt idx="3898">
                  <c:v>13.111111111111111</c:v>
                </c:pt>
                <c:pt idx="3899">
                  <c:v>13.22222222222222</c:v>
                </c:pt>
                <c:pt idx="3900">
                  <c:v>13.611111111111111</c:v>
                </c:pt>
                <c:pt idx="3901">
                  <c:v>14.000000000000002</c:v>
                </c:pt>
                <c:pt idx="3902">
                  <c:v>14.277777777777779</c:v>
                </c:pt>
                <c:pt idx="3903">
                  <c:v>14.611111111111109</c:v>
                </c:pt>
                <c:pt idx="3904">
                  <c:v>14.777777777777779</c:v>
                </c:pt>
                <c:pt idx="3905">
                  <c:v>14.5</c:v>
                </c:pt>
                <c:pt idx="3906">
                  <c:v>14.111111111111111</c:v>
                </c:pt>
                <c:pt idx="3907">
                  <c:v>13.611111111111111</c:v>
                </c:pt>
                <c:pt idx="3908">
                  <c:v>13.388888888888889</c:v>
                </c:pt>
                <c:pt idx="3909">
                  <c:v>13.277777777777777</c:v>
                </c:pt>
                <c:pt idx="3910">
                  <c:v>13.388888888888889</c:v>
                </c:pt>
                <c:pt idx="3911">
                  <c:v>13.499999999999998</c:v>
                </c:pt>
                <c:pt idx="3912">
                  <c:v>13.722222222222223</c:v>
                </c:pt>
                <c:pt idx="3913">
                  <c:v>14.111111111111111</c:v>
                </c:pt>
                <c:pt idx="3914">
                  <c:v>14.388888888888888</c:v>
                </c:pt>
                <c:pt idx="3915">
                  <c:v>14.722222222222221</c:v>
                </c:pt>
                <c:pt idx="3916">
                  <c:v>14.777777777777779</c:v>
                </c:pt>
                <c:pt idx="3917">
                  <c:v>14.5</c:v>
                </c:pt>
                <c:pt idx="3918">
                  <c:v>14.111111111111111</c:v>
                </c:pt>
                <c:pt idx="3919">
                  <c:v>13.611111111111111</c:v>
                </c:pt>
                <c:pt idx="3920">
                  <c:v>13.388888888888889</c:v>
                </c:pt>
                <c:pt idx="3921">
                  <c:v>13.22222222222222</c:v>
                </c:pt>
                <c:pt idx="3922">
                  <c:v>13.22222222222222</c:v>
                </c:pt>
                <c:pt idx="3923">
                  <c:v>13.277777777777777</c:v>
                </c:pt>
                <c:pt idx="3924">
                  <c:v>13.388888888888889</c:v>
                </c:pt>
                <c:pt idx="3925">
                  <c:v>13.777777777777775</c:v>
                </c:pt>
                <c:pt idx="3926">
                  <c:v>14.222222222222223</c:v>
                </c:pt>
                <c:pt idx="3927">
                  <c:v>14.5</c:v>
                </c:pt>
                <c:pt idx="3928">
                  <c:v>14.777777777777779</c:v>
                </c:pt>
                <c:pt idx="3929">
                  <c:v>15</c:v>
                </c:pt>
                <c:pt idx="3930">
                  <c:v>14.722222222222221</c:v>
                </c:pt>
                <c:pt idx="3931">
                  <c:v>14.222222222222223</c:v>
                </c:pt>
                <c:pt idx="3932">
                  <c:v>13.777777777777775</c:v>
                </c:pt>
                <c:pt idx="3933">
                  <c:v>13.611111111111111</c:v>
                </c:pt>
                <c:pt idx="3934">
                  <c:v>13.611111111111111</c:v>
                </c:pt>
                <c:pt idx="3935">
                  <c:v>13.611111111111111</c:v>
                </c:pt>
                <c:pt idx="3936">
                  <c:v>13.722222222222223</c:v>
                </c:pt>
                <c:pt idx="3937">
                  <c:v>13.777777777777775</c:v>
                </c:pt>
                <c:pt idx="3938">
                  <c:v>14.222222222222223</c:v>
                </c:pt>
                <c:pt idx="3939">
                  <c:v>14.5</c:v>
                </c:pt>
                <c:pt idx="3940">
                  <c:v>14.777777777777779</c:v>
                </c:pt>
                <c:pt idx="3941">
                  <c:v>14.888888888888888</c:v>
                </c:pt>
                <c:pt idx="3942">
                  <c:v>14.722222222222221</c:v>
                </c:pt>
                <c:pt idx="3943">
                  <c:v>14.277777777777779</c:v>
                </c:pt>
                <c:pt idx="3944">
                  <c:v>13.888888888888889</c:v>
                </c:pt>
                <c:pt idx="3945">
                  <c:v>13.611111111111111</c:v>
                </c:pt>
                <c:pt idx="3946">
                  <c:v>13.499999999999998</c:v>
                </c:pt>
                <c:pt idx="3947">
                  <c:v>13.499999999999998</c:v>
                </c:pt>
                <c:pt idx="3948">
                  <c:v>13.499999999999998</c:v>
                </c:pt>
                <c:pt idx="3949">
                  <c:v>13.722222222222223</c:v>
                </c:pt>
                <c:pt idx="3950">
                  <c:v>14.111111111111111</c:v>
                </c:pt>
                <c:pt idx="3951">
                  <c:v>14.388888888888888</c:v>
                </c:pt>
                <c:pt idx="3952">
                  <c:v>14.777777777777779</c:v>
                </c:pt>
                <c:pt idx="3953">
                  <c:v>15.111111111111112</c:v>
                </c:pt>
                <c:pt idx="3954">
                  <c:v>15.111111111111112</c:v>
                </c:pt>
                <c:pt idx="3955">
                  <c:v>14.888888888888888</c:v>
                </c:pt>
                <c:pt idx="3956">
                  <c:v>14.5</c:v>
                </c:pt>
                <c:pt idx="3957">
                  <c:v>13.888888888888889</c:v>
                </c:pt>
                <c:pt idx="3958">
                  <c:v>13.777777777777775</c:v>
                </c:pt>
                <c:pt idx="3959">
                  <c:v>13.722222222222223</c:v>
                </c:pt>
                <c:pt idx="3960">
                  <c:v>13.722222222222223</c:v>
                </c:pt>
                <c:pt idx="3961">
                  <c:v>13.777777777777775</c:v>
                </c:pt>
                <c:pt idx="3962">
                  <c:v>14.000000000000002</c:v>
                </c:pt>
                <c:pt idx="3963">
                  <c:v>14.5</c:v>
                </c:pt>
                <c:pt idx="3964">
                  <c:v>14.777777777777779</c:v>
                </c:pt>
                <c:pt idx="3965">
                  <c:v>15.111111111111112</c:v>
                </c:pt>
                <c:pt idx="3966">
                  <c:v>15.222222222222221</c:v>
                </c:pt>
                <c:pt idx="3967">
                  <c:v>15.111111111111112</c:v>
                </c:pt>
                <c:pt idx="3968">
                  <c:v>14.611111111111109</c:v>
                </c:pt>
                <c:pt idx="3969">
                  <c:v>14.111111111111111</c:v>
                </c:pt>
                <c:pt idx="3970">
                  <c:v>13.499999999999998</c:v>
                </c:pt>
                <c:pt idx="3971">
                  <c:v>13.388888888888889</c:v>
                </c:pt>
                <c:pt idx="3972">
                  <c:v>13.277777777777777</c:v>
                </c:pt>
                <c:pt idx="3973">
                  <c:v>13.388888888888889</c:v>
                </c:pt>
                <c:pt idx="3974">
                  <c:v>13.777777777777775</c:v>
                </c:pt>
                <c:pt idx="3975">
                  <c:v>14.277777777777779</c:v>
                </c:pt>
                <c:pt idx="3976">
                  <c:v>14.777777777777779</c:v>
                </c:pt>
                <c:pt idx="3977">
                  <c:v>15.277777777777777</c:v>
                </c:pt>
                <c:pt idx="3978">
                  <c:v>15.611111111111111</c:v>
                </c:pt>
                <c:pt idx="3979">
                  <c:v>15.777777777777777</c:v>
                </c:pt>
                <c:pt idx="3980">
                  <c:v>15.111111111111112</c:v>
                </c:pt>
                <c:pt idx="3981">
                  <c:v>14.611111111111109</c:v>
                </c:pt>
                <c:pt idx="3982">
                  <c:v>13.888888888888889</c:v>
                </c:pt>
                <c:pt idx="3983">
                  <c:v>13.499999999999998</c:v>
                </c:pt>
                <c:pt idx="3984">
                  <c:v>13.499999999999998</c:v>
                </c:pt>
                <c:pt idx="3985">
                  <c:v>13.722222222222223</c:v>
                </c:pt>
                <c:pt idx="3986">
                  <c:v>13.777777777777775</c:v>
                </c:pt>
                <c:pt idx="3987">
                  <c:v>14.000000000000002</c:v>
                </c:pt>
                <c:pt idx="3988">
                  <c:v>14.611111111111109</c:v>
                </c:pt>
                <c:pt idx="3989">
                  <c:v>15.111111111111112</c:v>
                </c:pt>
                <c:pt idx="3990">
                  <c:v>15.499999999999998</c:v>
                </c:pt>
                <c:pt idx="3991">
                  <c:v>15.72222222222222</c:v>
                </c:pt>
                <c:pt idx="3992">
                  <c:v>15.611111111111111</c:v>
                </c:pt>
                <c:pt idx="3993">
                  <c:v>14.888888888888888</c:v>
                </c:pt>
                <c:pt idx="3994">
                  <c:v>14.111111111111111</c:v>
                </c:pt>
                <c:pt idx="3995">
                  <c:v>13.277777777777777</c:v>
                </c:pt>
                <c:pt idx="3996">
                  <c:v>13.111111111111111</c:v>
                </c:pt>
                <c:pt idx="3997">
                  <c:v>12.999999999999998</c:v>
                </c:pt>
                <c:pt idx="3998">
                  <c:v>13.277777777777777</c:v>
                </c:pt>
                <c:pt idx="3999">
                  <c:v>13.611111111111111</c:v>
                </c:pt>
                <c:pt idx="4000">
                  <c:v>14.277777777777779</c:v>
                </c:pt>
                <c:pt idx="4001">
                  <c:v>15.111111111111112</c:v>
                </c:pt>
                <c:pt idx="4002">
                  <c:v>15.611111111111111</c:v>
                </c:pt>
                <c:pt idx="4003">
                  <c:v>15.999999999999998</c:v>
                </c:pt>
                <c:pt idx="4004">
                  <c:v>16.222222222222225</c:v>
                </c:pt>
                <c:pt idx="4005">
                  <c:v>15.388888888888889</c:v>
                </c:pt>
                <c:pt idx="4006">
                  <c:v>14.722222222222221</c:v>
                </c:pt>
                <c:pt idx="4007">
                  <c:v>13.722222222222223</c:v>
                </c:pt>
                <c:pt idx="4008">
                  <c:v>13.22222222222222</c:v>
                </c:pt>
                <c:pt idx="4009">
                  <c:v>13.22222222222222</c:v>
                </c:pt>
                <c:pt idx="4010">
                  <c:v>13.388888888888889</c:v>
                </c:pt>
                <c:pt idx="4011">
                  <c:v>13.611111111111111</c:v>
                </c:pt>
                <c:pt idx="4012">
                  <c:v>13.888888888888889</c:v>
                </c:pt>
                <c:pt idx="4013">
                  <c:v>14.611111111111109</c:v>
                </c:pt>
                <c:pt idx="4014">
                  <c:v>15.222222222222221</c:v>
                </c:pt>
                <c:pt idx="4015">
                  <c:v>15.777777777777777</c:v>
                </c:pt>
                <c:pt idx="4016">
                  <c:v>16.111111111111111</c:v>
                </c:pt>
                <c:pt idx="4017">
                  <c:v>15.999999999999998</c:v>
                </c:pt>
                <c:pt idx="4018">
                  <c:v>15</c:v>
                </c:pt>
                <c:pt idx="4019">
                  <c:v>14.611111111111109</c:v>
                </c:pt>
                <c:pt idx="4020">
                  <c:v>14.000000000000002</c:v>
                </c:pt>
                <c:pt idx="4021">
                  <c:v>13.611111111111111</c:v>
                </c:pt>
                <c:pt idx="4022">
                  <c:v>13.499999999999998</c:v>
                </c:pt>
                <c:pt idx="4023">
                  <c:v>13.777777777777775</c:v>
                </c:pt>
                <c:pt idx="4024">
                  <c:v>13.888888888888889</c:v>
                </c:pt>
                <c:pt idx="4025">
                  <c:v>14.5</c:v>
                </c:pt>
                <c:pt idx="4026">
                  <c:v>15.222222222222221</c:v>
                </c:pt>
                <c:pt idx="4027">
                  <c:v>15.72222222222222</c:v>
                </c:pt>
                <c:pt idx="4028">
                  <c:v>15.999999999999998</c:v>
                </c:pt>
                <c:pt idx="4029">
                  <c:v>16.111111111111111</c:v>
                </c:pt>
                <c:pt idx="4030">
                  <c:v>15.277777777777777</c:v>
                </c:pt>
                <c:pt idx="4031">
                  <c:v>14.888888888888888</c:v>
                </c:pt>
                <c:pt idx="4032">
                  <c:v>14.277777777777779</c:v>
                </c:pt>
                <c:pt idx="4033">
                  <c:v>13.777777777777775</c:v>
                </c:pt>
                <c:pt idx="4034">
                  <c:v>13.611111111111111</c:v>
                </c:pt>
                <c:pt idx="4035">
                  <c:v>13.499999999999998</c:v>
                </c:pt>
                <c:pt idx="4036">
                  <c:v>13.722222222222223</c:v>
                </c:pt>
                <c:pt idx="4037">
                  <c:v>14.222222222222223</c:v>
                </c:pt>
                <c:pt idx="4038">
                  <c:v>15</c:v>
                </c:pt>
                <c:pt idx="4039">
                  <c:v>15.388888888888889</c:v>
                </c:pt>
                <c:pt idx="4040">
                  <c:v>15.72222222222222</c:v>
                </c:pt>
                <c:pt idx="4041">
                  <c:v>15.999999999999998</c:v>
                </c:pt>
                <c:pt idx="4042">
                  <c:v>15.888888888888889</c:v>
                </c:pt>
                <c:pt idx="4043">
                  <c:v>15.111111111111112</c:v>
                </c:pt>
                <c:pt idx="4044">
                  <c:v>14.611111111111109</c:v>
                </c:pt>
                <c:pt idx="4045">
                  <c:v>14.5</c:v>
                </c:pt>
                <c:pt idx="4046">
                  <c:v>14.388888888888888</c:v>
                </c:pt>
                <c:pt idx="4047">
                  <c:v>14.388888888888888</c:v>
                </c:pt>
                <c:pt idx="4048">
                  <c:v>14.5</c:v>
                </c:pt>
                <c:pt idx="4049">
                  <c:v>14.722222222222221</c:v>
                </c:pt>
                <c:pt idx="4050">
                  <c:v>15.111111111111112</c:v>
                </c:pt>
                <c:pt idx="4051">
                  <c:v>15.72222222222222</c:v>
                </c:pt>
                <c:pt idx="4052">
                  <c:v>15.999999999999998</c:v>
                </c:pt>
                <c:pt idx="4053">
                  <c:v>16.277777777777775</c:v>
                </c:pt>
                <c:pt idx="4054">
                  <c:v>16.388888888888889</c:v>
                </c:pt>
                <c:pt idx="4055">
                  <c:v>15.72222222222222</c:v>
                </c:pt>
                <c:pt idx="4056">
                  <c:v>15.388888888888889</c:v>
                </c:pt>
                <c:pt idx="4057">
                  <c:v>14.5</c:v>
                </c:pt>
                <c:pt idx="4058">
                  <c:v>14.222222222222223</c:v>
                </c:pt>
                <c:pt idx="4059">
                  <c:v>14.000000000000002</c:v>
                </c:pt>
                <c:pt idx="4060">
                  <c:v>14.222222222222223</c:v>
                </c:pt>
                <c:pt idx="4061">
                  <c:v>14.277777777777779</c:v>
                </c:pt>
                <c:pt idx="4062">
                  <c:v>14.611111111111109</c:v>
                </c:pt>
                <c:pt idx="4063">
                  <c:v>15.277777777777777</c:v>
                </c:pt>
                <c:pt idx="4064">
                  <c:v>15.777777777777777</c:v>
                </c:pt>
                <c:pt idx="4065">
                  <c:v>16.222222222222225</c:v>
                </c:pt>
                <c:pt idx="4066">
                  <c:v>16.388888888888889</c:v>
                </c:pt>
                <c:pt idx="4067">
                  <c:v>16.388888888888889</c:v>
                </c:pt>
                <c:pt idx="4068">
                  <c:v>15.72222222222222</c:v>
                </c:pt>
                <c:pt idx="4069">
                  <c:v>14.888888888888888</c:v>
                </c:pt>
                <c:pt idx="4070">
                  <c:v>14.5</c:v>
                </c:pt>
                <c:pt idx="4071">
                  <c:v>14.277777777777779</c:v>
                </c:pt>
                <c:pt idx="4072">
                  <c:v>14.111111111111111</c:v>
                </c:pt>
                <c:pt idx="4073">
                  <c:v>14.277777777777779</c:v>
                </c:pt>
                <c:pt idx="4074">
                  <c:v>14.722222222222221</c:v>
                </c:pt>
                <c:pt idx="4075">
                  <c:v>15.277777777777777</c:v>
                </c:pt>
                <c:pt idx="4076">
                  <c:v>16.111111111111111</c:v>
                </c:pt>
                <c:pt idx="4077">
                  <c:v>16.5</c:v>
                </c:pt>
                <c:pt idx="4078">
                  <c:v>16.777777777777779</c:v>
                </c:pt>
                <c:pt idx="4079">
                  <c:v>16.722222222222221</c:v>
                </c:pt>
                <c:pt idx="4080">
                  <c:v>15.72222222222222</c:v>
                </c:pt>
                <c:pt idx="4081">
                  <c:v>15.388888888888889</c:v>
                </c:pt>
                <c:pt idx="4082">
                  <c:v>15.222222222222221</c:v>
                </c:pt>
                <c:pt idx="4083">
                  <c:v>15.111111111111112</c:v>
                </c:pt>
                <c:pt idx="4084">
                  <c:v>15</c:v>
                </c:pt>
                <c:pt idx="4085">
                  <c:v>15</c:v>
                </c:pt>
                <c:pt idx="4086">
                  <c:v>15.222222222222221</c:v>
                </c:pt>
                <c:pt idx="4087">
                  <c:v>15.499999999999998</c:v>
                </c:pt>
                <c:pt idx="4088">
                  <c:v>15.999999999999998</c:v>
                </c:pt>
                <c:pt idx="4089">
                  <c:v>16.388888888888889</c:v>
                </c:pt>
                <c:pt idx="4090">
                  <c:v>16.777777777777779</c:v>
                </c:pt>
                <c:pt idx="4091">
                  <c:v>17</c:v>
                </c:pt>
                <c:pt idx="4092">
                  <c:v>16.888888888888889</c:v>
                </c:pt>
                <c:pt idx="4093">
                  <c:v>16.222222222222225</c:v>
                </c:pt>
                <c:pt idx="4094">
                  <c:v>15.388888888888889</c:v>
                </c:pt>
                <c:pt idx="4095">
                  <c:v>14.722222222222221</c:v>
                </c:pt>
                <c:pt idx="4096">
                  <c:v>14.611111111111109</c:v>
                </c:pt>
                <c:pt idx="4097">
                  <c:v>14.611111111111109</c:v>
                </c:pt>
                <c:pt idx="4098">
                  <c:v>14.777777777777779</c:v>
                </c:pt>
                <c:pt idx="4099">
                  <c:v>15.277777777777777</c:v>
                </c:pt>
                <c:pt idx="4100">
                  <c:v>15.888888888888889</c:v>
                </c:pt>
                <c:pt idx="4101">
                  <c:v>16.777777777777779</c:v>
                </c:pt>
                <c:pt idx="4102">
                  <c:v>17.277777777777779</c:v>
                </c:pt>
                <c:pt idx="4103">
                  <c:v>17.5</c:v>
                </c:pt>
                <c:pt idx="4104">
                  <c:v>17.222222222222221</c:v>
                </c:pt>
                <c:pt idx="4105">
                  <c:v>16.277777777777775</c:v>
                </c:pt>
                <c:pt idx="4106">
                  <c:v>15.777777777777777</c:v>
                </c:pt>
                <c:pt idx="4107">
                  <c:v>15.388888888888889</c:v>
                </c:pt>
                <c:pt idx="4108">
                  <c:v>15.111111111111112</c:v>
                </c:pt>
                <c:pt idx="4109">
                  <c:v>14.777777777777779</c:v>
                </c:pt>
                <c:pt idx="4110">
                  <c:v>14.888888888888888</c:v>
                </c:pt>
                <c:pt idx="4111">
                  <c:v>15.277777777777777</c:v>
                </c:pt>
                <c:pt idx="4112">
                  <c:v>15.999999999999998</c:v>
                </c:pt>
                <c:pt idx="4113">
                  <c:v>16.5</c:v>
                </c:pt>
                <c:pt idx="4114">
                  <c:v>17</c:v>
                </c:pt>
                <c:pt idx="4115">
                  <c:v>17.388888888888886</c:v>
                </c:pt>
                <c:pt idx="4116">
                  <c:v>17.611111111111111</c:v>
                </c:pt>
                <c:pt idx="4117">
                  <c:v>17.222222222222221</c:v>
                </c:pt>
                <c:pt idx="4118">
                  <c:v>16.5</c:v>
                </c:pt>
                <c:pt idx="4119">
                  <c:v>15.999999999999998</c:v>
                </c:pt>
                <c:pt idx="4120">
                  <c:v>15.888888888888889</c:v>
                </c:pt>
                <c:pt idx="4121">
                  <c:v>15.72222222222222</c:v>
                </c:pt>
                <c:pt idx="4122">
                  <c:v>15.72222222222222</c:v>
                </c:pt>
                <c:pt idx="4123">
                  <c:v>15.72222222222222</c:v>
                </c:pt>
                <c:pt idx="4124">
                  <c:v>15.999999999999998</c:v>
                </c:pt>
                <c:pt idx="4125">
                  <c:v>16.388888888888889</c:v>
                </c:pt>
                <c:pt idx="4126">
                  <c:v>16.888888888888889</c:v>
                </c:pt>
                <c:pt idx="4127">
                  <c:v>17.111111111111111</c:v>
                </c:pt>
                <c:pt idx="4128">
                  <c:v>17.222222222222221</c:v>
                </c:pt>
                <c:pt idx="4129">
                  <c:v>16.722222222222221</c:v>
                </c:pt>
                <c:pt idx="4130">
                  <c:v>16.277777777777775</c:v>
                </c:pt>
                <c:pt idx="4131">
                  <c:v>15.888888888888889</c:v>
                </c:pt>
                <c:pt idx="4132">
                  <c:v>15.777777777777777</c:v>
                </c:pt>
                <c:pt idx="4133">
                  <c:v>15.777777777777777</c:v>
                </c:pt>
                <c:pt idx="4134">
                  <c:v>15.777777777777777</c:v>
                </c:pt>
                <c:pt idx="4135">
                  <c:v>15.777777777777777</c:v>
                </c:pt>
                <c:pt idx="4136">
                  <c:v>15.999999999999998</c:v>
                </c:pt>
                <c:pt idx="4137">
                  <c:v>16.388888888888889</c:v>
                </c:pt>
                <c:pt idx="4138">
                  <c:v>16.722222222222221</c:v>
                </c:pt>
                <c:pt idx="4139">
                  <c:v>17</c:v>
                </c:pt>
                <c:pt idx="4140">
                  <c:v>17.277777777777779</c:v>
                </c:pt>
                <c:pt idx="4141">
                  <c:v>17.388888888888886</c:v>
                </c:pt>
                <c:pt idx="4142">
                  <c:v>16.888888888888889</c:v>
                </c:pt>
                <c:pt idx="4143">
                  <c:v>16.611111111111111</c:v>
                </c:pt>
                <c:pt idx="4144">
                  <c:v>16.111111111111111</c:v>
                </c:pt>
                <c:pt idx="4145">
                  <c:v>15.777777777777777</c:v>
                </c:pt>
                <c:pt idx="4146">
                  <c:v>15.72222222222222</c:v>
                </c:pt>
                <c:pt idx="4147">
                  <c:v>15.999999999999998</c:v>
                </c:pt>
                <c:pt idx="4148">
                  <c:v>15.888888888888889</c:v>
                </c:pt>
                <c:pt idx="4149">
                  <c:v>16.388888888888889</c:v>
                </c:pt>
                <c:pt idx="4150">
                  <c:v>16.888888888888889</c:v>
                </c:pt>
                <c:pt idx="4151">
                  <c:v>17.277777777777779</c:v>
                </c:pt>
                <c:pt idx="4152">
                  <c:v>17.5</c:v>
                </c:pt>
                <c:pt idx="4153">
                  <c:v>17.5</c:v>
                </c:pt>
                <c:pt idx="4154">
                  <c:v>16.888888888888889</c:v>
                </c:pt>
                <c:pt idx="4155">
                  <c:v>16.5</c:v>
                </c:pt>
                <c:pt idx="4156">
                  <c:v>16.277777777777775</c:v>
                </c:pt>
                <c:pt idx="4157">
                  <c:v>16.111111111111111</c:v>
                </c:pt>
                <c:pt idx="4158">
                  <c:v>15.999999999999998</c:v>
                </c:pt>
                <c:pt idx="4159">
                  <c:v>15.999999999999998</c:v>
                </c:pt>
                <c:pt idx="4160">
                  <c:v>15.999999999999998</c:v>
                </c:pt>
                <c:pt idx="4161">
                  <c:v>16.277777777777775</c:v>
                </c:pt>
                <c:pt idx="4162">
                  <c:v>16.777777777777779</c:v>
                </c:pt>
                <c:pt idx="4163">
                  <c:v>17.111111111111111</c:v>
                </c:pt>
                <c:pt idx="4164">
                  <c:v>17.388888888888886</c:v>
                </c:pt>
                <c:pt idx="4165">
                  <c:v>17.611111111111111</c:v>
                </c:pt>
                <c:pt idx="4166">
                  <c:v>17.722222222222221</c:v>
                </c:pt>
                <c:pt idx="4167">
                  <c:v>17.222222222222221</c:v>
                </c:pt>
                <c:pt idx="4168">
                  <c:v>16.722222222222221</c:v>
                </c:pt>
                <c:pt idx="4169">
                  <c:v>16.222222222222225</c:v>
                </c:pt>
                <c:pt idx="4170">
                  <c:v>16.111111111111111</c:v>
                </c:pt>
                <c:pt idx="4171">
                  <c:v>16.111111111111111</c:v>
                </c:pt>
                <c:pt idx="4172">
                  <c:v>16.277777777777775</c:v>
                </c:pt>
                <c:pt idx="4173">
                  <c:v>16.5</c:v>
                </c:pt>
                <c:pt idx="4174">
                  <c:v>16.888888888888889</c:v>
                </c:pt>
                <c:pt idx="4175">
                  <c:v>17.5</c:v>
                </c:pt>
                <c:pt idx="4176">
                  <c:v>17.777777777777779</c:v>
                </c:pt>
                <c:pt idx="4177">
                  <c:v>18.000000000000004</c:v>
                </c:pt>
                <c:pt idx="4178">
                  <c:v>17.777777777777779</c:v>
                </c:pt>
                <c:pt idx="4179">
                  <c:v>17.222222222222221</c:v>
                </c:pt>
                <c:pt idx="4180">
                  <c:v>16.777777777777779</c:v>
                </c:pt>
                <c:pt idx="4181">
                  <c:v>16.277777777777775</c:v>
                </c:pt>
                <c:pt idx="4182">
                  <c:v>16.111111111111111</c:v>
                </c:pt>
                <c:pt idx="4183">
                  <c:v>15.888888888888889</c:v>
                </c:pt>
                <c:pt idx="4184">
                  <c:v>15.999999999999998</c:v>
                </c:pt>
                <c:pt idx="4185">
                  <c:v>16.277777777777775</c:v>
                </c:pt>
                <c:pt idx="4186">
                  <c:v>16.722222222222221</c:v>
                </c:pt>
                <c:pt idx="4187">
                  <c:v>17.277777777777779</c:v>
                </c:pt>
                <c:pt idx="4188">
                  <c:v>17.611111111111111</c:v>
                </c:pt>
                <c:pt idx="4189">
                  <c:v>17.888888888888889</c:v>
                </c:pt>
                <c:pt idx="4190">
                  <c:v>18.000000000000004</c:v>
                </c:pt>
                <c:pt idx="4191">
                  <c:v>17.888888888888889</c:v>
                </c:pt>
                <c:pt idx="4192">
                  <c:v>17.277777777777779</c:v>
                </c:pt>
                <c:pt idx="4193">
                  <c:v>16.611111111111111</c:v>
                </c:pt>
                <c:pt idx="4194">
                  <c:v>15.611111111111111</c:v>
                </c:pt>
                <c:pt idx="4195">
                  <c:v>15.388888888888889</c:v>
                </c:pt>
                <c:pt idx="4196">
                  <c:v>15.111111111111112</c:v>
                </c:pt>
                <c:pt idx="4197">
                  <c:v>15.499999999999998</c:v>
                </c:pt>
                <c:pt idx="4198">
                  <c:v>16.111111111111111</c:v>
                </c:pt>
                <c:pt idx="4199">
                  <c:v>16.722222222222221</c:v>
                </c:pt>
                <c:pt idx="4200">
                  <c:v>17.611111111111111</c:v>
                </c:pt>
                <c:pt idx="4201">
                  <c:v>17.888888888888889</c:v>
                </c:pt>
                <c:pt idx="4202">
                  <c:v>18.000000000000004</c:v>
                </c:pt>
                <c:pt idx="4203">
                  <c:v>17.722222222222221</c:v>
                </c:pt>
                <c:pt idx="4204">
                  <c:v>16.722222222222221</c:v>
                </c:pt>
                <c:pt idx="4205">
                  <c:v>15.999999999999998</c:v>
                </c:pt>
                <c:pt idx="4206">
                  <c:v>15.277777777777777</c:v>
                </c:pt>
                <c:pt idx="4207">
                  <c:v>14.888888888888888</c:v>
                </c:pt>
                <c:pt idx="4208">
                  <c:v>14.888888888888888</c:v>
                </c:pt>
                <c:pt idx="4209">
                  <c:v>15</c:v>
                </c:pt>
                <c:pt idx="4210">
                  <c:v>15.499999999999998</c:v>
                </c:pt>
                <c:pt idx="4211">
                  <c:v>16.277777777777775</c:v>
                </c:pt>
                <c:pt idx="4212">
                  <c:v>17.222222222222221</c:v>
                </c:pt>
                <c:pt idx="4213">
                  <c:v>17.611111111111111</c:v>
                </c:pt>
                <c:pt idx="4214">
                  <c:v>18.000000000000004</c:v>
                </c:pt>
                <c:pt idx="4215">
                  <c:v>18.222222222222221</c:v>
                </c:pt>
                <c:pt idx="4216">
                  <c:v>17.388888888888886</c:v>
                </c:pt>
                <c:pt idx="4217">
                  <c:v>16.888888888888889</c:v>
                </c:pt>
                <c:pt idx="4218">
                  <c:v>16.111111111111111</c:v>
                </c:pt>
                <c:pt idx="4219">
                  <c:v>15.277777777777777</c:v>
                </c:pt>
                <c:pt idx="4220">
                  <c:v>15.222222222222221</c:v>
                </c:pt>
                <c:pt idx="4221">
                  <c:v>15.611111111111111</c:v>
                </c:pt>
                <c:pt idx="4222">
                  <c:v>15.277777777777777</c:v>
                </c:pt>
                <c:pt idx="4223">
                  <c:v>16.111111111111111</c:v>
                </c:pt>
                <c:pt idx="4224">
                  <c:v>16.888888888888889</c:v>
                </c:pt>
                <c:pt idx="4225">
                  <c:v>17.722222222222221</c:v>
                </c:pt>
                <c:pt idx="4226">
                  <c:v>18.000000000000004</c:v>
                </c:pt>
                <c:pt idx="4227">
                  <c:v>18.000000000000004</c:v>
                </c:pt>
                <c:pt idx="4228">
                  <c:v>17</c:v>
                </c:pt>
                <c:pt idx="4229">
                  <c:v>16.5</c:v>
                </c:pt>
                <c:pt idx="4230">
                  <c:v>15.777777777777777</c:v>
                </c:pt>
                <c:pt idx="4231">
                  <c:v>15.222222222222221</c:v>
                </c:pt>
                <c:pt idx="4232">
                  <c:v>14.888888888888888</c:v>
                </c:pt>
                <c:pt idx="4233">
                  <c:v>14.777777777777779</c:v>
                </c:pt>
                <c:pt idx="4234">
                  <c:v>14.777777777777779</c:v>
                </c:pt>
                <c:pt idx="4235">
                  <c:v>15.611111111111111</c:v>
                </c:pt>
                <c:pt idx="4236">
                  <c:v>16.5</c:v>
                </c:pt>
                <c:pt idx="4237">
                  <c:v>17.277777777777779</c:v>
                </c:pt>
                <c:pt idx="4238">
                  <c:v>17.777777777777779</c:v>
                </c:pt>
                <c:pt idx="4239">
                  <c:v>18.222222222222221</c:v>
                </c:pt>
                <c:pt idx="4240">
                  <c:v>18.000000000000004</c:v>
                </c:pt>
                <c:pt idx="4241">
                  <c:v>17.222222222222221</c:v>
                </c:pt>
                <c:pt idx="4242">
                  <c:v>16.5</c:v>
                </c:pt>
                <c:pt idx="4243">
                  <c:v>15.611111111111111</c:v>
                </c:pt>
                <c:pt idx="4244">
                  <c:v>15.222222222222221</c:v>
                </c:pt>
                <c:pt idx="4245">
                  <c:v>14.888888888888888</c:v>
                </c:pt>
                <c:pt idx="4246">
                  <c:v>15</c:v>
                </c:pt>
                <c:pt idx="4247">
                  <c:v>15.388888888888889</c:v>
                </c:pt>
                <c:pt idx="4248">
                  <c:v>15.999999999999998</c:v>
                </c:pt>
                <c:pt idx="4249">
                  <c:v>16.888888888888889</c:v>
                </c:pt>
                <c:pt idx="4250">
                  <c:v>17.722222222222221</c:v>
                </c:pt>
                <c:pt idx="4251">
                  <c:v>18.000000000000004</c:v>
                </c:pt>
                <c:pt idx="4252">
                  <c:v>17.722222222222221</c:v>
                </c:pt>
                <c:pt idx="4253">
                  <c:v>16.388888888888889</c:v>
                </c:pt>
                <c:pt idx="4254">
                  <c:v>15.999999999999998</c:v>
                </c:pt>
                <c:pt idx="4255">
                  <c:v>15.111111111111112</c:v>
                </c:pt>
                <c:pt idx="4256">
                  <c:v>14.611111111111109</c:v>
                </c:pt>
                <c:pt idx="4257">
                  <c:v>14.111111111111111</c:v>
                </c:pt>
                <c:pt idx="4258">
                  <c:v>14.611111111111109</c:v>
                </c:pt>
                <c:pt idx="4259">
                  <c:v>14.777777777777779</c:v>
                </c:pt>
                <c:pt idx="4260">
                  <c:v>15.611111111111111</c:v>
                </c:pt>
                <c:pt idx="4261">
                  <c:v>16.611111111111111</c:v>
                </c:pt>
                <c:pt idx="4262">
                  <c:v>17.388888888888886</c:v>
                </c:pt>
                <c:pt idx="4263">
                  <c:v>18.000000000000004</c:v>
                </c:pt>
                <c:pt idx="4264">
                  <c:v>18.277777777777782</c:v>
                </c:pt>
                <c:pt idx="4265">
                  <c:v>17.722222222222221</c:v>
                </c:pt>
                <c:pt idx="4266">
                  <c:v>17.111111111111111</c:v>
                </c:pt>
                <c:pt idx="4267">
                  <c:v>15.999999999999998</c:v>
                </c:pt>
                <c:pt idx="4268">
                  <c:v>15.388888888888889</c:v>
                </c:pt>
                <c:pt idx="4269">
                  <c:v>14.888888888888888</c:v>
                </c:pt>
                <c:pt idx="4270">
                  <c:v>15</c:v>
                </c:pt>
                <c:pt idx="4271">
                  <c:v>15.222222222222221</c:v>
                </c:pt>
                <c:pt idx="4272">
                  <c:v>15.611111111111111</c:v>
                </c:pt>
                <c:pt idx="4273">
                  <c:v>16.277777777777775</c:v>
                </c:pt>
                <c:pt idx="4274">
                  <c:v>17.388888888888886</c:v>
                </c:pt>
                <c:pt idx="4275">
                  <c:v>18.000000000000004</c:v>
                </c:pt>
                <c:pt idx="4276">
                  <c:v>18.222222222222221</c:v>
                </c:pt>
                <c:pt idx="4277">
                  <c:v>17.388888888888886</c:v>
                </c:pt>
                <c:pt idx="4278">
                  <c:v>16.5</c:v>
                </c:pt>
                <c:pt idx="4279">
                  <c:v>16.111111111111111</c:v>
                </c:pt>
                <c:pt idx="4280">
                  <c:v>15.611111111111111</c:v>
                </c:pt>
                <c:pt idx="4281">
                  <c:v>15</c:v>
                </c:pt>
                <c:pt idx="4282">
                  <c:v>14.611111111111109</c:v>
                </c:pt>
                <c:pt idx="4283">
                  <c:v>14.722222222222221</c:v>
                </c:pt>
                <c:pt idx="4284">
                  <c:v>15.499999999999998</c:v>
                </c:pt>
                <c:pt idx="4285">
                  <c:v>16.222222222222225</c:v>
                </c:pt>
                <c:pt idx="4286">
                  <c:v>17.277777777777779</c:v>
                </c:pt>
                <c:pt idx="4287">
                  <c:v>18.000000000000004</c:v>
                </c:pt>
                <c:pt idx="4288">
                  <c:v>18.388888888888886</c:v>
                </c:pt>
                <c:pt idx="4289">
                  <c:v>18.499999999999996</c:v>
                </c:pt>
                <c:pt idx="4290">
                  <c:v>18.222222222222221</c:v>
                </c:pt>
                <c:pt idx="4291">
                  <c:v>16.5</c:v>
                </c:pt>
                <c:pt idx="4292">
                  <c:v>15.499999999999998</c:v>
                </c:pt>
                <c:pt idx="4293">
                  <c:v>14.611111111111109</c:v>
                </c:pt>
                <c:pt idx="4294">
                  <c:v>13.722222222222223</c:v>
                </c:pt>
                <c:pt idx="4295">
                  <c:v>14.388888888888888</c:v>
                </c:pt>
                <c:pt idx="4296">
                  <c:v>14.222222222222223</c:v>
                </c:pt>
                <c:pt idx="4297">
                  <c:v>15</c:v>
                </c:pt>
                <c:pt idx="4298">
                  <c:v>15.999999999999998</c:v>
                </c:pt>
                <c:pt idx="4299">
                  <c:v>17.277777777777779</c:v>
                </c:pt>
                <c:pt idx="4300">
                  <c:v>18.000000000000004</c:v>
                </c:pt>
                <c:pt idx="4301">
                  <c:v>18.111111111111107</c:v>
                </c:pt>
                <c:pt idx="4302">
                  <c:v>17</c:v>
                </c:pt>
                <c:pt idx="4303">
                  <c:v>16.111111111111111</c:v>
                </c:pt>
                <c:pt idx="4304">
                  <c:v>15.388888888888889</c:v>
                </c:pt>
                <c:pt idx="4305">
                  <c:v>14.611111111111109</c:v>
                </c:pt>
                <c:pt idx="4306">
                  <c:v>13.777777777777775</c:v>
                </c:pt>
                <c:pt idx="4307">
                  <c:v>14.000000000000002</c:v>
                </c:pt>
                <c:pt idx="4308">
                  <c:v>14.111111111111111</c:v>
                </c:pt>
                <c:pt idx="4309">
                  <c:v>15.111111111111112</c:v>
                </c:pt>
                <c:pt idx="4310">
                  <c:v>16.111111111111111</c:v>
                </c:pt>
                <c:pt idx="4311">
                  <c:v>17.388888888888886</c:v>
                </c:pt>
                <c:pt idx="4312">
                  <c:v>18.222222222222221</c:v>
                </c:pt>
                <c:pt idx="4313">
                  <c:v>18.611111111111111</c:v>
                </c:pt>
                <c:pt idx="4314">
                  <c:v>18.277777777777782</c:v>
                </c:pt>
                <c:pt idx="4315">
                  <c:v>17.111111111111111</c:v>
                </c:pt>
                <c:pt idx="4316">
                  <c:v>16.111111111111111</c:v>
                </c:pt>
                <c:pt idx="4317">
                  <c:v>14.888888888888888</c:v>
                </c:pt>
                <c:pt idx="4318">
                  <c:v>14.000000000000002</c:v>
                </c:pt>
                <c:pt idx="4319">
                  <c:v>13.111111111111111</c:v>
                </c:pt>
                <c:pt idx="4320">
                  <c:v>14.111111111111111</c:v>
                </c:pt>
                <c:pt idx="4321">
                  <c:v>13.777777777777775</c:v>
                </c:pt>
                <c:pt idx="4322">
                  <c:v>15</c:v>
                </c:pt>
                <c:pt idx="4323">
                  <c:v>16.388888888888889</c:v>
                </c:pt>
                <c:pt idx="4324">
                  <c:v>17.611111111111111</c:v>
                </c:pt>
                <c:pt idx="4325">
                  <c:v>18.222222222222221</c:v>
                </c:pt>
                <c:pt idx="4326">
                  <c:v>18.388888888888886</c:v>
                </c:pt>
                <c:pt idx="4327">
                  <c:v>16.888888888888889</c:v>
                </c:pt>
                <c:pt idx="4328">
                  <c:v>15.611111111111111</c:v>
                </c:pt>
                <c:pt idx="4329">
                  <c:v>14.611111111111109</c:v>
                </c:pt>
                <c:pt idx="4330">
                  <c:v>13.777777777777775</c:v>
                </c:pt>
                <c:pt idx="4331">
                  <c:v>13.611111111111111</c:v>
                </c:pt>
                <c:pt idx="4332">
                  <c:v>14.000000000000002</c:v>
                </c:pt>
                <c:pt idx="4333">
                  <c:v>13.611111111111111</c:v>
                </c:pt>
                <c:pt idx="4334">
                  <c:v>14.722222222222221</c:v>
                </c:pt>
                <c:pt idx="4335">
                  <c:v>15.999999999999998</c:v>
                </c:pt>
                <c:pt idx="4336">
                  <c:v>17.611111111111111</c:v>
                </c:pt>
                <c:pt idx="4337">
                  <c:v>18.277777777777782</c:v>
                </c:pt>
                <c:pt idx="4338">
                  <c:v>18.722222222222225</c:v>
                </c:pt>
                <c:pt idx="4339">
                  <c:v>17.777777777777779</c:v>
                </c:pt>
                <c:pt idx="4340">
                  <c:v>16.388888888888889</c:v>
                </c:pt>
                <c:pt idx="4341">
                  <c:v>15.388888888888889</c:v>
                </c:pt>
                <c:pt idx="4342">
                  <c:v>14.388888888888888</c:v>
                </c:pt>
                <c:pt idx="4343">
                  <c:v>13.611111111111111</c:v>
                </c:pt>
                <c:pt idx="4344">
                  <c:v>12.999999999999998</c:v>
                </c:pt>
                <c:pt idx="4345">
                  <c:v>13.888888888888889</c:v>
                </c:pt>
                <c:pt idx="4346">
                  <c:v>14.222222222222223</c:v>
                </c:pt>
                <c:pt idx="4347">
                  <c:v>15</c:v>
                </c:pt>
                <c:pt idx="4348">
                  <c:v>16.388888888888889</c:v>
                </c:pt>
                <c:pt idx="4349">
                  <c:v>17.5</c:v>
                </c:pt>
                <c:pt idx="4350">
                  <c:v>17.888888888888889</c:v>
                </c:pt>
                <c:pt idx="4351">
                  <c:v>18.000000000000004</c:v>
                </c:pt>
                <c:pt idx="4352">
                  <c:v>16.777777777777779</c:v>
                </c:pt>
                <c:pt idx="4353">
                  <c:v>15.499999999999998</c:v>
                </c:pt>
                <c:pt idx="4354">
                  <c:v>15.111111111111112</c:v>
                </c:pt>
                <c:pt idx="4355">
                  <c:v>14.722222222222221</c:v>
                </c:pt>
                <c:pt idx="4356">
                  <c:v>14.777777777777779</c:v>
                </c:pt>
                <c:pt idx="4357">
                  <c:v>15</c:v>
                </c:pt>
                <c:pt idx="4358">
                  <c:v>15.111111111111112</c:v>
                </c:pt>
                <c:pt idx="4359">
                  <c:v>15.499999999999998</c:v>
                </c:pt>
                <c:pt idx="4360">
                  <c:v>16.611111111111111</c:v>
                </c:pt>
                <c:pt idx="4361">
                  <c:v>17.722222222222221</c:v>
                </c:pt>
                <c:pt idx="4362">
                  <c:v>18.277777777777782</c:v>
                </c:pt>
                <c:pt idx="4363">
                  <c:v>18.499999999999996</c:v>
                </c:pt>
                <c:pt idx="4364">
                  <c:v>17.722222222222221</c:v>
                </c:pt>
                <c:pt idx="4365">
                  <c:v>16.722222222222221</c:v>
                </c:pt>
                <c:pt idx="4366">
                  <c:v>16.388888888888889</c:v>
                </c:pt>
                <c:pt idx="4367">
                  <c:v>16.222222222222225</c:v>
                </c:pt>
                <c:pt idx="4368">
                  <c:v>16.111111111111111</c:v>
                </c:pt>
                <c:pt idx="4369">
                  <c:v>16.111111111111111</c:v>
                </c:pt>
                <c:pt idx="4370">
                  <c:v>16.111111111111111</c:v>
                </c:pt>
                <c:pt idx="4371">
                  <c:v>16.388888888888889</c:v>
                </c:pt>
                <c:pt idx="4372">
                  <c:v>16.777777777777779</c:v>
                </c:pt>
                <c:pt idx="4373">
                  <c:v>17.611111111111111</c:v>
                </c:pt>
                <c:pt idx="4374">
                  <c:v>18.277777777777782</c:v>
                </c:pt>
                <c:pt idx="4375">
                  <c:v>18.722222222222225</c:v>
                </c:pt>
                <c:pt idx="4376">
                  <c:v>18.722222222222225</c:v>
                </c:pt>
                <c:pt idx="4377">
                  <c:v>18.000000000000004</c:v>
                </c:pt>
                <c:pt idx="4378">
                  <c:v>17.222222222222221</c:v>
                </c:pt>
                <c:pt idx="4379">
                  <c:v>16.722222222222221</c:v>
                </c:pt>
                <c:pt idx="4380">
                  <c:v>16.277777777777775</c:v>
                </c:pt>
                <c:pt idx="4381">
                  <c:v>15.888888888888889</c:v>
                </c:pt>
                <c:pt idx="4382">
                  <c:v>16.111111111111111</c:v>
                </c:pt>
                <c:pt idx="4383">
                  <c:v>16.222222222222225</c:v>
                </c:pt>
                <c:pt idx="4384">
                  <c:v>16.888888888888889</c:v>
                </c:pt>
                <c:pt idx="4385">
                  <c:v>17.777777777777779</c:v>
                </c:pt>
                <c:pt idx="4386">
                  <c:v>18.611111111111111</c:v>
                </c:pt>
                <c:pt idx="4387">
                  <c:v>19.111111111111114</c:v>
                </c:pt>
                <c:pt idx="4388">
                  <c:v>19.222222222222218</c:v>
                </c:pt>
                <c:pt idx="4389">
                  <c:v>18.277777777777782</c:v>
                </c:pt>
                <c:pt idx="4390">
                  <c:v>17.277777777777779</c:v>
                </c:pt>
                <c:pt idx="4391">
                  <c:v>16.5</c:v>
                </c:pt>
                <c:pt idx="4392">
                  <c:v>15.999999999999998</c:v>
                </c:pt>
                <c:pt idx="4393">
                  <c:v>15.72222222222222</c:v>
                </c:pt>
                <c:pt idx="4394">
                  <c:v>15.611111111111111</c:v>
                </c:pt>
                <c:pt idx="4395">
                  <c:v>15.72222222222222</c:v>
                </c:pt>
                <c:pt idx="4396">
                  <c:v>16.388888888888889</c:v>
                </c:pt>
                <c:pt idx="4397">
                  <c:v>17.388888888888886</c:v>
                </c:pt>
                <c:pt idx="4398">
                  <c:v>18.277777777777782</c:v>
                </c:pt>
                <c:pt idx="4399">
                  <c:v>18.888888888888889</c:v>
                </c:pt>
                <c:pt idx="4400">
                  <c:v>19.222222222222218</c:v>
                </c:pt>
                <c:pt idx="4401">
                  <c:v>19.222222222222218</c:v>
                </c:pt>
                <c:pt idx="4402">
                  <c:v>18.388888888888886</c:v>
                </c:pt>
                <c:pt idx="4403">
                  <c:v>17.277777777777779</c:v>
                </c:pt>
                <c:pt idx="4404">
                  <c:v>16.388888888888889</c:v>
                </c:pt>
                <c:pt idx="4405">
                  <c:v>15.611111111111111</c:v>
                </c:pt>
                <c:pt idx="4406">
                  <c:v>15.222222222222221</c:v>
                </c:pt>
                <c:pt idx="4407">
                  <c:v>15.888888888888889</c:v>
                </c:pt>
                <c:pt idx="4408">
                  <c:v>16.222222222222225</c:v>
                </c:pt>
                <c:pt idx="4409">
                  <c:v>17.111111111111111</c:v>
                </c:pt>
                <c:pt idx="4410">
                  <c:v>18.277777777777782</c:v>
                </c:pt>
                <c:pt idx="4411">
                  <c:v>19.222222222222218</c:v>
                </c:pt>
                <c:pt idx="4412">
                  <c:v>19.611111111111111</c:v>
                </c:pt>
                <c:pt idx="4413">
                  <c:v>19.277777777777779</c:v>
                </c:pt>
                <c:pt idx="4414">
                  <c:v>18.388888888888886</c:v>
                </c:pt>
                <c:pt idx="4415">
                  <c:v>17.277777777777779</c:v>
                </c:pt>
                <c:pt idx="4416">
                  <c:v>16.277777777777775</c:v>
                </c:pt>
                <c:pt idx="4417">
                  <c:v>15.499999999999998</c:v>
                </c:pt>
                <c:pt idx="4418">
                  <c:v>14.722222222222221</c:v>
                </c:pt>
                <c:pt idx="4419">
                  <c:v>15.111111111111112</c:v>
                </c:pt>
                <c:pt idx="4420">
                  <c:v>15</c:v>
                </c:pt>
                <c:pt idx="4421">
                  <c:v>16.222222222222225</c:v>
                </c:pt>
                <c:pt idx="4422">
                  <c:v>17.722222222222221</c:v>
                </c:pt>
                <c:pt idx="4423">
                  <c:v>18.722222222222225</c:v>
                </c:pt>
                <c:pt idx="4424">
                  <c:v>19.388888888888893</c:v>
                </c:pt>
                <c:pt idx="4425">
                  <c:v>19.722222222222221</c:v>
                </c:pt>
                <c:pt idx="4426">
                  <c:v>19.499999999999996</c:v>
                </c:pt>
                <c:pt idx="4427">
                  <c:v>18.277777777777782</c:v>
                </c:pt>
                <c:pt idx="4428">
                  <c:v>16.111111111111111</c:v>
                </c:pt>
                <c:pt idx="4429">
                  <c:v>15.222222222222221</c:v>
                </c:pt>
                <c:pt idx="4430">
                  <c:v>15.277777777777777</c:v>
                </c:pt>
                <c:pt idx="4431">
                  <c:v>14.222222222222223</c:v>
                </c:pt>
                <c:pt idx="4432">
                  <c:v>15.72222222222222</c:v>
                </c:pt>
                <c:pt idx="4433">
                  <c:v>15.499999999999998</c:v>
                </c:pt>
                <c:pt idx="4434">
                  <c:v>16.888888888888889</c:v>
                </c:pt>
                <c:pt idx="4435">
                  <c:v>18.499999999999996</c:v>
                </c:pt>
                <c:pt idx="4436">
                  <c:v>19.499999999999996</c:v>
                </c:pt>
                <c:pt idx="4437">
                  <c:v>19.888888888888886</c:v>
                </c:pt>
                <c:pt idx="4438">
                  <c:v>19.277777777777779</c:v>
                </c:pt>
                <c:pt idx="4439">
                  <c:v>17.277777777777779</c:v>
                </c:pt>
                <c:pt idx="4440">
                  <c:v>16.5</c:v>
                </c:pt>
                <c:pt idx="4441">
                  <c:v>16.388888888888889</c:v>
                </c:pt>
                <c:pt idx="4442">
                  <c:v>16.5</c:v>
                </c:pt>
                <c:pt idx="4443">
                  <c:v>16.388888888888889</c:v>
                </c:pt>
                <c:pt idx="4444">
                  <c:v>16.5</c:v>
                </c:pt>
                <c:pt idx="4445">
                  <c:v>16.611111111111111</c:v>
                </c:pt>
                <c:pt idx="4446">
                  <c:v>17.111111111111111</c:v>
                </c:pt>
                <c:pt idx="4447">
                  <c:v>18.000000000000004</c:v>
                </c:pt>
                <c:pt idx="4448">
                  <c:v>18.777777777777775</c:v>
                </c:pt>
                <c:pt idx="4449">
                  <c:v>19.499999999999996</c:v>
                </c:pt>
                <c:pt idx="4450">
                  <c:v>19.888888888888886</c:v>
                </c:pt>
                <c:pt idx="4451">
                  <c:v>19.611111111111111</c:v>
                </c:pt>
                <c:pt idx="4452">
                  <c:v>18.722222222222225</c:v>
                </c:pt>
                <c:pt idx="4453">
                  <c:v>18.000000000000004</c:v>
                </c:pt>
                <c:pt idx="4454">
                  <c:v>17.611111111111111</c:v>
                </c:pt>
                <c:pt idx="4455">
                  <c:v>16.5</c:v>
                </c:pt>
                <c:pt idx="4456">
                  <c:v>16.5</c:v>
                </c:pt>
                <c:pt idx="4457">
                  <c:v>17.222222222222221</c:v>
                </c:pt>
                <c:pt idx="4458">
                  <c:v>17.611111111111111</c:v>
                </c:pt>
                <c:pt idx="4459">
                  <c:v>18.388888888888886</c:v>
                </c:pt>
                <c:pt idx="4460">
                  <c:v>19.388888888888893</c:v>
                </c:pt>
                <c:pt idx="4461">
                  <c:v>19.888888888888886</c:v>
                </c:pt>
                <c:pt idx="4462">
                  <c:v>20.222222222222225</c:v>
                </c:pt>
                <c:pt idx="4463">
                  <c:v>19.722222222222221</c:v>
                </c:pt>
                <c:pt idx="4464">
                  <c:v>18.722222222222225</c:v>
                </c:pt>
                <c:pt idx="4465">
                  <c:v>18.222222222222221</c:v>
                </c:pt>
                <c:pt idx="4466">
                  <c:v>18.000000000000004</c:v>
                </c:pt>
                <c:pt idx="4467">
                  <c:v>17.722222222222221</c:v>
                </c:pt>
                <c:pt idx="4468">
                  <c:v>17.111111111111111</c:v>
                </c:pt>
                <c:pt idx="4469">
                  <c:v>17</c:v>
                </c:pt>
                <c:pt idx="4470">
                  <c:v>17.777777777777779</c:v>
                </c:pt>
                <c:pt idx="4471">
                  <c:v>18.388888888888886</c:v>
                </c:pt>
                <c:pt idx="4472">
                  <c:v>19.111111111111114</c:v>
                </c:pt>
                <c:pt idx="4473">
                  <c:v>19.722222222222221</c:v>
                </c:pt>
                <c:pt idx="4474">
                  <c:v>20.111111111111111</c:v>
                </c:pt>
                <c:pt idx="4475">
                  <c:v>20.500000000000004</c:v>
                </c:pt>
                <c:pt idx="4476">
                  <c:v>20.222222222222225</c:v>
                </c:pt>
                <c:pt idx="4477">
                  <c:v>19.222222222222218</c:v>
                </c:pt>
                <c:pt idx="4478">
                  <c:v>18.111111111111107</c:v>
                </c:pt>
                <c:pt idx="4479">
                  <c:v>16.888888888888889</c:v>
                </c:pt>
                <c:pt idx="4480">
                  <c:v>16.111111111111111</c:v>
                </c:pt>
                <c:pt idx="4481">
                  <c:v>15.277777777777777</c:v>
                </c:pt>
                <c:pt idx="4482">
                  <c:v>16.222222222222225</c:v>
                </c:pt>
                <c:pt idx="4483">
                  <c:v>17.111111111111111</c:v>
                </c:pt>
                <c:pt idx="4484">
                  <c:v>18.222222222222221</c:v>
                </c:pt>
                <c:pt idx="4485">
                  <c:v>19.277777777777779</c:v>
                </c:pt>
                <c:pt idx="4486">
                  <c:v>19.888888888888886</c:v>
                </c:pt>
                <c:pt idx="4487">
                  <c:v>20.111111111111111</c:v>
                </c:pt>
                <c:pt idx="4488">
                  <c:v>19.611111111111111</c:v>
                </c:pt>
                <c:pt idx="4489">
                  <c:v>18.000000000000004</c:v>
                </c:pt>
                <c:pt idx="4490">
                  <c:v>17.611111111111111</c:v>
                </c:pt>
                <c:pt idx="4491">
                  <c:v>17.777777777777779</c:v>
                </c:pt>
                <c:pt idx="4492">
                  <c:v>17.611111111111111</c:v>
                </c:pt>
                <c:pt idx="4493">
                  <c:v>17.611111111111111</c:v>
                </c:pt>
                <c:pt idx="4494">
                  <c:v>17.611111111111111</c:v>
                </c:pt>
                <c:pt idx="4495">
                  <c:v>17.777777777777779</c:v>
                </c:pt>
                <c:pt idx="4496">
                  <c:v>18.277777777777782</c:v>
                </c:pt>
                <c:pt idx="4497">
                  <c:v>18.888888888888889</c:v>
                </c:pt>
                <c:pt idx="4498">
                  <c:v>19.388888888888893</c:v>
                </c:pt>
                <c:pt idx="4499">
                  <c:v>19.888888888888886</c:v>
                </c:pt>
                <c:pt idx="4500">
                  <c:v>20.111111111111111</c:v>
                </c:pt>
                <c:pt idx="4501">
                  <c:v>19.888888888888886</c:v>
                </c:pt>
                <c:pt idx="4502">
                  <c:v>19</c:v>
                </c:pt>
                <c:pt idx="4503">
                  <c:v>17.722222222222221</c:v>
                </c:pt>
                <c:pt idx="4504">
                  <c:v>16.777777777777779</c:v>
                </c:pt>
                <c:pt idx="4505">
                  <c:v>16.611111111111111</c:v>
                </c:pt>
                <c:pt idx="4506">
                  <c:v>16.722222222222221</c:v>
                </c:pt>
                <c:pt idx="4507">
                  <c:v>16.777777777777779</c:v>
                </c:pt>
                <c:pt idx="4508">
                  <c:v>17.722222222222221</c:v>
                </c:pt>
                <c:pt idx="4509">
                  <c:v>18.888888888888889</c:v>
                </c:pt>
                <c:pt idx="4510">
                  <c:v>19.722222222222221</c:v>
                </c:pt>
                <c:pt idx="4511">
                  <c:v>20.222222222222225</c:v>
                </c:pt>
                <c:pt idx="4512">
                  <c:v>20.277777777777779</c:v>
                </c:pt>
                <c:pt idx="4513">
                  <c:v>19.888888888888886</c:v>
                </c:pt>
                <c:pt idx="4514">
                  <c:v>18.611111111111111</c:v>
                </c:pt>
                <c:pt idx="4515">
                  <c:v>18.111111111111107</c:v>
                </c:pt>
                <c:pt idx="4516">
                  <c:v>17.388888888888886</c:v>
                </c:pt>
                <c:pt idx="4517">
                  <c:v>16.777777777777779</c:v>
                </c:pt>
                <c:pt idx="4518">
                  <c:v>16.611111111111111</c:v>
                </c:pt>
                <c:pt idx="4519">
                  <c:v>16.722222222222221</c:v>
                </c:pt>
                <c:pt idx="4520">
                  <c:v>17.388888888888886</c:v>
                </c:pt>
                <c:pt idx="4521">
                  <c:v>18.499999999999996</c:v>
                </c:pt>
                <c:pt idx="4522">
                  <c:v>19.222222222222218</c:v>
                </c:pt>
                <c:pt idx="4523">
                  <c:v>19.777777777777775</c:v>
                </c:pt>
                <c:pt idx="4524">
                  <c:v>20.222222222222225</c:v>
                </c:pt>
                <c:pt idx="4525">
                  <c:v>20.388888888888889</c:v>
                </c:pt>
                <c:pt idx="4526">
                  <c:v>20.111111111111111</c:v>
                </c:pt>
                <c:pt idx="4527">
                  <c:v>18.777777777777775</c:v>
                </c:pt>
                <c:pt idx="4528">
                  <c:v>17</c:v>
                </c:pt>
                <c:pt idx="4529">
                  <c:v>16.611111111111111</c:v>
                </c:pt>
                <c:pt idx="4530">
                  <c:v>15.777777777777777</c:v>
                </c:pt>
                <c:pt idx="4531">
                  <c:v>17.277777777777779</c:v>
                </c:pt>
                <c:pt idx="4532">
                  <c:v>16.777777777777779</c:v>
                </c:pt>
                <c:pt idx="4533">
                  <c:v>17.777777777777779</c:v>
                </c:pt>
                <c:pt idx="4534">
                  <c:v>19</c:v>
                </c:pt>
                <c:pt idx="4535">
                  <c:v>19.777777777777775</c:v>
                </c:pt>
                <c:pt idx="4536">
                  <c:v>20.222222222222225</c:v>
                </c:pt>
                <c:pt idx="4537">
                  <c:v>20.277777777777779</c:v>
                </c:pt>
                <c:pt idx="4538">
                  <c:v>19.388888888888893</c:v>
                </c:pt>
                <c:pt idx="4539">
                  <c:v>18.388888888888886</c:v>
                </c:pt>
                <c:pt idx="4540">
                  <c:v>17.722222222222221</c:v>
                </c:pt>
                <c:pt idx="4541">
                  <c:v>16.722222222222221</c:v>
                </c:pt>
                <c:pt idx="4542">
                  <c:v>16.222222222222225</c:v>
                </c:pt>
                <c:pt idx="4543">
                  <c:v>16.888888888888889</c:v>
                </c:pt>
                <c:pt idx="4544">
                  <c:v>16.722222222222221</c:v>
                </c:pt>
                <c:pt idx="4545">
                  <c:v>17.388888888888886</c:v>
                </c:pt>
                <c:pt idx="4546">
                  <c:v>18.499999999999996</c:v>
                </c:pt>
                <c:pt idx="4547">
                  <c:v>19.222222222222218</c:v>
                </c:pt>
                <c:pt idx="4548">
                  <c:v>19.722222222222221</c:v>
                </c:pt>
                <c:pt idx="4549">
                  <c:v>20.222222222222225</c:v>
                </c:pt>
                <c:pt idx="4550">
                  <c:v>20.388888888888889</c:v>
                </c:pt>
                <c:pt idx="4551">
                  <c:v>19.611111111111111</c:v>
                </c:pt>
                <c:pt idx="4552">
                  <c:v>16.5</c:v>
                </c:pt>
                <c:pt idx="4553">
                  <c:v>16.222222222222225</c:v>
                </c:pt>
                <c:pt idx="4554">
                  <c:v>16.111111111111111</c:v>
                </c:pt>
                <c:pt idx="4555">
                  <c:v>15.111111111111112</c:v>
                </c:pt>
                <c:pt idx="4556">
                  <c:v>16.611111111111111</c:v>
                </c:pt>
                <c:pt idx="4557">
                  <c:v>15.72222222222222</c:v>
                </c:pt>
                <c:pt idx="4558">
                  <c:v>16.777777777777779</c:v>
                </c:pt>
                <c:pt idx="4559">
                  <c:v>18.722222222222225</c:v>
                </c:pt>
                <c:pt idx="4560">
                  <c:v>19.777777777777775</c:v>
                </c:pt>
                <c:pt idx="4561">
                  <c:v>20.277777777777779</c:v>
                </c:pt>
                <c:pt idx="4562">
                  <c:v>20.500000000000004</c:v>
                </c:pt>
                <c:pt idx="4563">
                  <c:v>19.499999999999996</c:v>
                </c:pt>
                <c:pt idx="4564">
                  <c:v>18.111111111111107</c:v>
                </c:pt>
                <c:pt idx="4565">
                  <c:v>16.777777777777779</c:v>
                </c:pt>
                <c:pt idx="4566">
                  <c:v>15.888888888888889</c:v>
                </c:pt>
                <c:pt idx="4567">
                  <c:v>15.388888888888889</c:v>
                </c:pt>
                <c:pt idx="4568">
                  <c:v>15.72222222222222</c:v>
                </c:pt>
                <c:pt idx="4569">
                  <c:v>15.277777777777777</c:v>
                </c:pt>
                <c:pt idx="4570">
                  <c:v>16.388888888888889</c:v>
                </c:pt>
                <c:pt idx="4571">
                  <c:v>18.000000000000004</c:v>
                </c:pt>
                <c:pt idx="4572">
                  <c:v>19.111111111111114</c:v>
                </c:pt>
                <c:pt idx="4573">
                  <c:v>19.888888888888886</c:v>
                </c:pt>
                <c:pt idx="4574">
                  <c:v>20.500000000000004</c:v>
                </c:pt>
                <c:pt idx="4575">
                  <c:v>20.722222222222221</c:v>
                </c:pt>
                <c:pt idx="4576">
                  <c:v>18.777777777777775</c:v>
                </c:pt>
                <c:pt idx="4577">
                  <c:v>16.777777777777779</c:v>
                </c:pt>
                <c:pt idx="4578">
                  <c:v>15.888888888888889</c:v>
                </c:pt>
                <c:pt idx="4579">
                  <c:v>15.888888888888889</c:v>
                </c:pt>
                <c:pt idx="4580">
                  <c:v>14.777777777777779</c:v>
                </c:pt>
                <c:pt idx="4581">
                  <c:v>16.388888888888889</c:v>
                </c:pt>
                <c:pt idx="4582">
                  <c:v>15.499999999999998</c:v>
                </c:pt>
                <c:pt idx="4583">
                  <c:v>16.888888888888889</c:v>
                </c:pt>
                <c:pt idx="4584">
                  <c:v>18.722222222222225</c:v>
                </c:pt>
                <c:pt idx="4585">
                  <c:v>20</c:v>
                </c:pt>
                <c:pt idx="4586">
                  <c:v>20.611111111111107</c:v>
                </c:pt>
                <c:pt idx="4587">
                  <c:v>20.777777777777782</c:v>
                </c:pt>
                <c:pt idx="4588">
                  <c:v>18.888888888888889</c:v>
                </c:pt>
                <c:pt idx="4589">
                  <c:v>17</c:v>
                </c:pt>
                <c:pt idx="4590">
                  <c:v>15.777777777777777</c:v>
                </c:pt>
                <c:pt idx="4591">
                  <c:v>14.722222222222221</c:v>
                </c:pt>
                <c:pt idx="4592">
                  <c:v>14.777777777777779</c:v>
                </c:pt>
                <c:pt idx="4593">
                  <c:v>15.111111111111112</c:v>
                </c:pt>
                <c:pt idx="4594">
                  <c:v>14.722222222222221</c:v>
                </c:pt>
                <c:pt idx="4595">
                  <c:v>15.777777777777777</c:v>
                </c:pt>
                <c:pt idx="4596">
                  <c:v>17.611111111111111</c:v>
                </c:pt>
                <c:pt idx="4597">
                  <c:v>19</c:v>
                </c:pt>
                <c:pt idx="4598">
                  <c:v>20.111111111111111</c:v>
                </c:pt>
                <c:pt idx="4599">
                  <c:v>20.777777777777782</c:v>
                </c:pt>
                <c:pt idx="4600">
                  <c:v>20.777777777777782</c:v>
                </c:pt>
                <c:pt idx="4601">
                  <c:v>18.722222222222225</c:v>
                </c:pt>
                <c:pt idx="4602">
                  <c:v>16.222222222222225</c:v>
                </c:pt>
                <c:pt idx="4603">
                  <c:v>15</c:v>
                </c:pt>
                <c:pt idx="4604">
                  <c:v>15.111111111111112</c:v>
                </c:pt>
                <c:pt idx="4605">
                  <c:v>13.777777777777775</c:v>
                </c:pt>
                <c:pt idx="4606">
                  <c:v>15.72222222222222</c:v>
                </c:pt>
                <c:pt idx="4607">
                  <c:v>15</c:v>
                </c:pt>
                <c:pt idx="4608">
                  <c:v>16.388888888888889</c:v>
                </c:pt>
                <c:pt idx="4609">
                  <c:v>18.277777777777782</c:v>
                </c:pt>
                <c:pt idx="4610">
                  <c:v>19.722222222222221</c:v>
                </c:pt>
                <c:pt idx="4611">
                  <c:v>20.500000000000004</c:v>
                </c:pt>
                <c:pt idx="4612">
                  <c:v>20.611111111111107</c:v>
                </c:pt>
                <c:pt idx="4613">
                  <c:v>18.499999999999996</c:v>
                </c:pt>
                <c:pt idx="4614">
                  <c:v>15.999999999999998</c:v>
                </c:pt>
                <c:pt idx="4615">
                  <c:v>14.722222222222221</c:v>
                </c:pt>
                <c:pt idx="4616">
                  <c:v>13.277777777777777</c:v>
                </c:pt>
                <c:pt idx="4617">
                  <c:v>13.22222222222222</c:v>
                </c:pt>
                <c:pt idx="4618">
                  <c:v>13.499999999999998</c:v>
                </c:pt>
                <c:pt idx="4619">
                  <c:v>13.111111111111111</c:v>
                </c:pt>
                <c:pt idx="4620">
                  <c:v>14.388888888888888</c:v>
                </c:pt>
                <c:pt idx="4621">
                  <c:v>16.722222222222221</c:v>
                </c:pt>
                <c:pt idx="4622">
                  <c:v>18.499999999999996</c:v>
                </c:pt>
                <c:pt idx="4623">
                  <c:v>19.777777777777775</c:v>
                </c:pt>
                <c:pt idx="4624">
                  <c:v>20.500000000000004</c:v>
                </c:pt>
                <c:pt idx="4625">
                  <c:v>19.888888888888886</c:v>
                </c:pt>
                <c:pt idx="4626">
                  <c:v>17</c:v>
                </c:pt>
                <c:pt idx="4627">
                  <c:v>16.722222222222221</c:v>
                </c:pt>
                <c:pt idx="4628">
                  <c:v>15.72222222222222</c:v>
                </c:pt>
                <c:pt idx="4629">
                  <c:v>14.888888888888888</c:v>
                </c:pt>
                <c:pt idx="4630">
                  <c:v>14.5</c:v>
                </c:pt>
                <c:pt idx="4631">
                  <c:v>14.611111111111109</c:v>
                </c:pt>
                <c:pt idx="4632">
                  <c:v>15.277777777777777</c:v>
                </c:pt>
                <c:pt idx="4633">
                  <c:v>16.388888888888889</c:v>
                </c:pt>
                <c:pt idx="4634">
                  <c:v>18.000000000000004</c:v>
                </c:pt>
                <c:pt idx="4635">
                  <c:v>19.388888888888893</c:v>
                </c:pt>
                <c:pt idx="4636">
                  <c:v>20.111111111111111</c:v>
                </c:pt>
                <c:pt idx="4637">
                  <c:v>20.222222222222225</c:v>
                </c:pt>
                <c:pt idx="4638">
                  <c:v>18.722222222222225</c:v>
                </c:pt>
                <c:pt idx="4639">
                  <c:v>17.222222222222221</c:v>
                </c:pt>
                <c:pt idx="4640">
                  <c:v>16.222222222222225</c:v>
                </c:pt>
                <c:pt idx="4641">
                  <c:v>15.222222222222221</c:v>
                </c:pt>
                <c:pt idx="4642">
                  <c:v>14.611111111111109</c:v>
                </c:pt>
                <c:pt idx="4643">
                  <c:v>15.388888888888889</c:v>
                </c:pt>
                <c:pt idx="4644">
                  <c:v>15.277777777777777</c:v>
                </c:pt>
                <c:pt idx="4645">
                  <c:v>16.222222222222225</c:v>
                </c:pt>
                <c:pt idx="4646">
                  <c:v>17.777777777777779</c:v>
                </c:pt>
                <c:pt idx="4647">
                  <c:v>19</c:v>
                </c:pt>
                <c:pt idx="4648">
                  <c:v>19.888888888888886</c:v>
                </c:pt>
                <c:pt idx="4649">
                  <c:v>20.388888888888889</c:v>
                </c:pt>
                <c:pt idx="4650">
                  <c:v>19.888888888888886</c:v>
                </c:pt>
                <c:pt idx="4651">
                  <c:v>18.222222222222221</c:v>
                </c:pt>
                <c:pt idx="4652">
                  <c:v>17.611111111111111</c:v>
                </c:pt>
                <c:pt idx="4653">
                  <c:v>16.722222222222221</c:v>
                </c:pt>
                <c:pt idx="4654">
                  <c:v>15.72222222222222</c:v>
                </c:pt>
                <c:pt idx="4655">
                  <c:v>15.277777777777777</c:v>
                </c:pt>
                <c:pt idx="4656">
                  <c:v>16.277777777777775</c:v>
                </c:pt>
                <c:pt idx="4657">
                  <c:v>16.388888888888889</c:v>
                </c:pt>
                <c:pt idx="4658">
                  <c:v>17.222222222222221</c:v>
                </c:pt>
                <c:pt idx="4659">
                  <c:v>18.499999999999996</c:v>
                </c:pt>
                <c:pt idx="4660">
                  <c:v>19.388888888888893</c:v>
                </c:pt>
                <c:pt idx="4661">
                  <c:v>20</c:v>
                </c:pt>
                <c:pt idx="4662">
                  <c:v>20.111111111111111</c:v>
                </c:pt>
                <c:pt idx="4663">
                  <c:v>18.888888888888889</c:v>
                </c:pt>
                <c:pt idx="4664">
                  <c:v>18.000000000000004</c:v>
                </c:pt>
                <c:pt idx="4665">
                  <c:v>17</c:v>
                </c:pt>
                <c:pt idx="4666">
                  <c:v>16.888888888888889</c:v>
                </c:pt>
                <c:pt idx="4667">
                  <c:v>16.5</c:v>
                </c:pt>
                <c:pt idx="4668">
                  <c:v>17.277777777777779</c:v>
                </c:pt>
                <c:pt idx="4669">
                  <c:v>17.222222222222221</c:v>
                </c:pt>
                <c:pt idx="4670">
                  <c:v>17.722222222222221</c:v>
                </c:pt>
                <c:pt idx="4671">
                  <c:v>18.499999999999996</c:v>
                </c:pt>
                <c:pt idx="4672">
                  <c:v>19.277777777777779</c:v>
                </c:pt>
                <c:pt idx="4673">
                  <c:v>19.888888888888886</c:v>
                </c:pt>
                <c:pt idx="4674">
                  <c:v>20.222222222222225</c:v>
                </c:pt>
                <c:pt idx="4675">
                  <c:v>19.777777777777775</c:v>
                </c:pt>
                <c:pt idx="4676">
                  <c:v>18.499999999999996</c:v>
                </c:pt>
                <c:pt idx="4677">
                  <c:v>17.5</c:v>
                </c:pt>
                <c:pt idx="4678">
                  <c:v>16.611111111111111</c:v>
                </c:pt>
                <c:pt idx="4679">
                  <c:v>16.277777777777775</c:v>
                </c:pt>
                <c:pt idx="4680">
                  <c:v>15.999999999999998</c:v>
                </c:pt>
                <c:pt idx="4681">
                  <c:v>16.777777777777779</c:v>
                </c:pt>
                <c:pt idx="4682">
                  <c:v>17</c:v>
                </c:pt>
                <c:pt idx="4683">
                  <c:v>17.611111111111111</c:v>
                </c:pt>
                <c:pt idx="4684">
                  <c:v>18.611111111111111</c:v>
                </c:pt>
                <c:pt idx="4685">
                  <c:v>19.388888888888893</c:v>
                </c:pt>
                <c:pt idx="4686">
                  <c:v>19.777777777777775</c:v>
                </c:pt>
                <c:pt idx="4687">
                  <c:v>20</c:v>
                </c:pt>
                <c:pt idx="4688">
                  <c:v>19.611111111111111</c:v>
                </c:pt>
                <c:pt idx="4689">
                  <c:v>18.388888888888886</c:v>
                </c:pt>
                <c:pt idx="4690">
                  <c:v>18.222222222222221</c:v>
                </c:pt>
                <c:pt idx="4691">
                  <c:v>17.277777777777779</c:v>
                </c:pt>
                <c:pt idx="4692">
                  <c:v>16.777777777777779</c:v>
                </c:pt>
                <c:pt idx="4693">
                  <c:v>17.5</c:v>
                </c:pt>
                <c:pt idx="4694">
                  <c:v>17.388888888888886</c:v>
                </c:pt>
                <c:pt idx="4695">
                  <c:v>18.111111111111107</c:v>
                </c:pt>
                <c:pt idx="4696">
                  <c:v>19</c:v>
                </c:pt>
                <c:pt idx="4697">
                  <c:v>19.722222222222221</c:v>
                </c:pt>
                <c:pt idx="4698">
                  <c:v>20.222222222222225</c:v>
                </c:pt>
                <c:pt idx="4699">
                  <c:v>20.611111111111107</c:v>
                </c:pt>
                <c:pt idx="4700">
                  <c:v>20.111111111111111</c:v>
                </c:pt>
                <c:pt idx="4701">
                  <c:v>18.722222222222225</c:v>
                </c:pt>
                <c:pt idx="4702">
                  <c:v>18.499999999999996</c:v>
                </c:pt>
                <c:pt idx="4703">
                  <c:v>19.111111111111114</c:v>
                </c:pt>
                <c:pt idx="4704">
                  <c:v>19.277777777777779</c:v>
                </c:pt>
                <c:pt idx="4705">
                  <c:v>18.611111111111111</c:v>
                </c:pt>
                <c:pt idx="4706">
                  <c:v>19.111111111111114</c:v>
                </c:pt>
                <c:pt idx="4707">
                  <c:v>19.277777777777779</c:v>
                </c:pt>
                <c:pt idx="4708">
                  <c:v>19.611111111111111</c:v>
                </c:pt>
                <c:pt idx="4709">
                  <c:v>19.888888888888886</c:v>
                </c:pt>
                <c:pt idx="4710">
                  <c:v>20.277777777777779</c:v>
                </c:pt>
                <c:pt idx="4711">
                  <c:v>20.611111111111107</c:v>
                </c:pt>
                <c:pt idx="4712">
                  <c:v>20.777777777777782</c:v>
                </c:pt>
                <c:pt idx="4713">
                  <c:v>20.500000000000004</c:v>
                </c:pt>
                <c:pt idx="4714">
                  <c:v>17.388888888888886</c:v>
                </c:pt>
                <c:pt idx="4715">
                  <c:v>15.999999999999998</c:v>
                </c:pt>
                <c:pt idx="4716">
                  <c:v>15.611111111111111</c:v>
                </c:pt>
                <c:pt idx="4717">
                  <c:v>15.611111111111111</c:v>
                </c:pt>
                <c:pt idx="4718">
                  <c:v>16.611111111111111</c:v>
                </c:pt>
                <c:pt idx="4719">
                  <c:v>16.388888888888889</c:v>
                </c:pt>
                <c:pt idx="4720">
                  <c:v>17.111111111111111</c:v>
                </c:pt>
                <c:pt idx="4721">
                  <c:v>18.611111111111111</c:v>
                </c:pt>
                <c:pt idx="4722">
                  <c:v>20.111111111111111</c:v>
                </c:pt>
                <c:pt idx="4723">
                  <c:v>20.777777777777782</c:v>
                </c:pt>
                <c:pt idx="4724">
                  <c:v>21.111111111111111</c:v>
                </c:pt>
                <c:pt idx="4725">
                  <c:v>20.500000000000004</c:v>
                </c:pt>
                <c:pt idx="4726">
                  <c:v>18.499999999999996</c:v>
                </c:pt>
                <c:pt idx="4727">
                  <c:v>17.611111111111111</c:v>
                </c:pt>
                <c:pt idx="4728">
                  <c:v>16.722222222222221</c:v>
                </c:pt>
                <c:pt idx="4729">
                  <c:v>16.388888888888889</c:v>
                </c:pt>
                <c:pt idx="4730">
                  <c:v>16.388888888888889</c:v>
                </c:pt>
                <c:pt idx="4731">
                  <c:v>16.611111111111111</c:v>
                </c:pt>
                <c:pt idx="4732">
                  <c:v>16.888888888888889</c:v>
                </c:pt>
                <c:pt idx="4733">
                  <c:v>17.888888888888889</c:v>
                </c:pt>
                <c:pt idx="4734">
                  <c:v>19.277777777777779</c:v>
                </c:pt>
                <c:pt idx="4735">
                  <c:v>20.222222222222225</c:v>
                </c:pt>
                <c:pt idx="4736">
                  <c:v>20.722222222222221</c:v>
                </c:pt>
                <c:pt idx="4737">
                  <c:v>20.888888888888886</c:v>
                </c:pt>
                <c:pt idx="4738">
                  <c:v>20.500000000000004</c:v>
                </c:pt>
                <c:pt idx="4739">
                  <c:v>18.722222222222225</c:v>
                </c:pt>
                <c:pt idx="4740">
                  <c:v>16.722222222222221</c:v>
                </c:pt>
                <c:pt idx="4741">
                  <c:v>16.611111111111111</c:v>
                </c:pt>
                <c:pt idx="4742">
                  <c:v>15.277777777777777</c:v>
                </c:pt>
                <c:pt idx="4743">
                  <c:v>16.111111111111111</c:v>
                </c:pt>
                <c:pt idx="4744">
                  <c:v>16.222222222222225</c:v>
                </c:pt>
                <c:pt idx="4745">
                  <c:v>17.111111111111111</c:v>
                </c:pt>
                <c:pt idx="4746">
                  <c:v>18.611111111111111</c:v>
                </c:pt>
                <c:pt idx="4747">
                  <c:v>20</c:v>
                </c:pt>
                <c:pt idx="4748">
                  <c:v>20.722222222222221</c:v>
                </c:pt>
                <c:pt idx="4749">
                  <c:v>20.999999999999996</c:v>
                </c:pt>
                <c:pt idx="4751">
                  <c:v>18.277777777777782</c:v>
                </c:pt>
                <c:pt idx="4752">
                  <c:v>17.888888888888889</c:v>
                </c:pt>
                <c:pt idx="4753">
                  <c:v>16.888888888888889</c:v>
                </c:pt>
                <c:pt idx="4754">
                  <c:v>17</c:v>
                </c:pt>
                <c:pt idx="4755">
                  <c:v>17.611111111111111</c:v>
                </c:pt>
                <c:pt idx="4756">
                  <c:v>17.722222222222221</c:v>
                </c:pt>
                <c:pt idx="4757">
                  <c:v>17.777777777777779</c:v>
                </c:pt>
                <c:pt idx="4758">
                  <c:v>18.499999999999996</c:v>
                </c:pt>
                <c:pt idx="4759">
                  <c:v>19.611111111111111</c:v>
                </c:pt>
                <c:pt idx="4760">
                  <c:v>20.388888888888889</c:v>
                </c:pt>
                <c:pt idx="4761">
                  <c:v>20.888888888888886</c:v>
                </c:pt>
                <c:pt idx="4762">
                  <c:v>21.111111111111111</c:v>
                </c:pt>
                <c:pt idx="4763">
                  <c:v>20.611111111111107</c:v>
                </c:pt>
                <c:pt idx="4764">
                  <c:v>18.000000000000004</c:v>
                </c:pt>
                <c:pt idx="4765">
                  <c:v>17.5</c:v>
                </c:pt>
                <c:pt idx="4766">
                  <c:v>15.222222222222221</c:v>
                </c:pt>
                <c:pt idx="4767">
                  <c:v>14.888888888888888</c:v>
                </c:pt>
                <c:pt idx="4768">
                  <c:v>15.277777777777777</c:v>
                </c:pt>
                <c:pt idx="4769">
                  <c:v>15.611111111111111</c:v>
                </c:pt>
                <c:pt idx="4770">
                  <c:v>16.611111111111111</c:v>
                </c:pt>
                <c:pt idx="4771">
                  <c:v>18.499999999999996</c:v>
                </c:pt>
                <c:pt idx="4772">
                  <c:v>20</c:v>
                </c:pt>
                <c:pt idx="4773">
                  <c:v>20.777777777777782</c:v>
                </c:pt>
                <c:pt idx="4774">
                  <c:v>20.888888888888886</c:v>
                </c:pt>
                <c:pt idx="4775">
                  <c:v>19.111111111111114</c:v>
                </c:pt>
                <c:pt idx="4776">
                  <c:v>17.611111111111111</c:v>
                </c:pt>
                <c:pt idx="4777">
                  <c:v>16.888888888888889</c:v>
                </c:pt>
                <c:pt idx="4778">
                  <c:v>16.611111111111111</c:v>
                </c:pt>
                <c:pt idx="4779">
                  <c:v>15.999999999999998</c:v>
                </c:pt>
                <c:pt idx="4780">
                  <c:v>15.72222222222222</c:v>
                </c:pt>
                <c:pt idx="4781">
                  <c:v>15.888888888888889</c:v>
                </c:pt>
                <c:pt idx="4782">
                  <c:v>16.722222222222221</c:v>
                </c:pt>
                <c:pt idx="4783">
                  <c:v>18.000000000000004</c:v>
                </c:pt>
                <c:pt idx="4784">
                  <c:v>19.222222222222218</c:v>
                </c:pt>
                <c:pt idx="4785">
                  <c:v>20.222222222222225</c:v>
                </c:pt>
                <c:pt idx="4786">
                  <c:v>20.777777777777782</c:v>
                </c:pt>
                <c:pt idx="4787">
                  <c:v>20.888888888888886</c:v>
                </c:pt>
                <c:pt idx="4788">
                  <c:v>19.888888888888886</c:v>
                </c:pt>
                <c:pt idx="4789">
                  <c:v>17.777777777777779</c:v>
                </c:pt>
                <c:pt idx="4790">
                  <c:v>16.277777777777775</c:v>
                </c:pt>
                <c:pt idx="4791">
                  <c:v>15.999999999999998</c:v>
                </c:pt>
                <c:pt idx="4792">
                  <c:v>14.777777777777779</c:v>
                </c:pt>
                <c:pt idx="4793">
                  <c:v>16.277777777777775</c:v>
                </c:pt>
                <c:pt idx="4794">
                  <c:v>16.111111111111111</c:v>
                </c:pt>
                <c:pt idx="4795">
                  <c:v>17.222222222222221</c:v>
                </c:pt>
                <c:pt idx="4796">
                  <c:v>18.722222222222225</c:v>
                </c:pt>
                <c:pt idx="4797">
                  <c:v>20.111111111111111</c:v>
                </c:pt>
                <c:pt idx="4798">
                  <c:v>20.722222222222221</c:v>
                </c:pt>
                <c:pt idx="4799">
                  <c:v>20.611111111111107</c:v>
                </c:pt>
                <c:pt idx="4800">
                  <c:v>19</c:v>
                </c:pt>
                <c:pt idx="4801">
                  <c:v>17.388888888888886</c:v>
                </c:pt>
                <c:pt idx="4802">
                  <c:v>15.777777777777777</c:v>
                </c:pt>
                <c:pt idx="4803">
                  <c:v>15</c:v>
                </c:pt>
                <c:pt idx="4804">
                  <c:v>14.277777777777779</c:v>
                </c:pt>
                <c:pt idx="4805">
                  <c:v>15.388888888888889</c:v>
                </c:pt>
                <c:pt idx="4806">
                  <c:v>14.777777777777779</c:v>
                </c:pt>
                <c:pt idx="4807">
                  <c:v>15.888888888888889</c:v>
                </c:pt>
                <c:pt idx="4808">
                  <c:v>17.777777777777779</c:v>
                </c:pt>
                <c:pt idx="4809">
                  <c:v>19.222222222222218</c:v>
                </c:pt>
                <c:pt idx="4810">
                  <c:v>20.277777777777779</c:v>
                </c:pt>
                <c:pt idx="4811">
                  <c:v>20.777777777777782</c:v>
                </c:pt>
                <c:pt idx="4812">
                  <c:v>20.777777777777782</c:v>
                </c:pt>
                <c:pt idx="4813">
                  <c:v>19.111111111111114</c:v>
                </c:pt>
                <c:pt idx="4814">
                  <c:v>17.5</c:v>
                </c:pt>
                <c:pt idx="4815">
                  <c:v>15.999999999999998</c:v>
                </c:pt>
                <c:pt idx="4816">
                  <c:v>15.999999999999998</c:v>
                </c:pt>
                <c:pt idx="4817">
                  <c:v>14.611111111111109</c:v>
                </c:pt>
                <c:pt idx="4818">
                  <c:v>14.888888888888888</c:v>
                </c:pt>
                <c:pt idx="4819">
                  <c:v>15.222222222222221</c:v>
                </c:pt>
                <c:pt idx="4820">
                  <c:v>16.5</c:v>
                </c:pt>
                <c:pt idx="4821">
                  <c:v>18.277777777777782</c:v>
                </c:pt>
                <c:pt idx="4822">
                  <c:v>19.722222222222221</c:v>
                </c:pt>
                <c:pt idx="4823">
                  <c:v>20.222222222222225</c:v>
                </c:pt>
                <c:pt idx="4824">
                  <c:v>19.611111111111111</c:v>
                </c:pt>
                <c:pt idx="4825">
                  <c:v>18.000000000000004</c:v>
                </c:pt>
                <c:pt idx="4826">
                  <c:v>16.277777777777775</c:v>
                </c:pt>
                <c:pt idx="4827">
                  <c:v>15.277777777777777</c:v>
                </c:pt>
                <c:pt idx="4828">
                  <c:v>14.388888888888888</c:v>
                </c:pt>
                <c:pt idx="4829">
                  <c:v>13.722222222222223</c:v>
                </c:pt>
                <c:pt idx="4830">
                  <c:v>14.222222222222223</c:v>
                </c:pt>
                <c:pt idx="4831">
                  <c:v>14.388888888888888</c:v>
                </c:pt>
                <c:pt idx="4832">
                  <c:v>15.611111111111111</c:v>
                </c:pt>
                <c:pt idx="4833">
                  <c:v>17.611111111111111</c:v>
                </c:pt>
                <c:pt idx="4834">
                  <c:v>19</c:v>
                </c:pt>
                <c:pt idx="4835">
                  <c:v>20</c:v>
                </c:pt>
                <c:pt idx="4836">
                  <c:v>20.500000000000004</c:v>
                </c:pt>
                <c:pt idx="4837">
                  <c:v>20.111111111111111</c:v>
                </c:pt>
                <c:pt idx="4838">
                  <c:v>18.222222222222221</c:v>
                </c:pt>
                <c:pt idx="4839">
                  <c:v>15.277777777777777</c:v>
                </c:pt>
                <c:pt idx="4840">
                  <c:v>14.722222222222221</c:v>
                </c:pt>
                <c:pt idx="4841">
                  <c:v>14.388888888888888</c:v>
                </c:pt>
                <c:pt idx="4842">
                  <c:v>13.611111111111111</c:v>
                </c:pt>
                <c:pt idx="4843">
                  <c:v>15.111111111111112</c:v>
                </c:pt>
                <c:pt idx="4844">
                  <c:v>15.111111111111112</c:v>
                </c:pt>
                <c:pt idx="4845">
                  <c:v>16.777777777777779</c:v>
                </c:pt>
                <c:pt idx="4846">
                  <c:v>18.888888888888889</c:v>
                </c:pt>
                <c:pt idx="4847">
                  <c:v>20.222222222222225</c:v>
                </c:pt>
                <c:pt idx="4848">
                  <c:v>20.722222222222221</c:v>
                </c:pt>
                <c:pt idx="4849">
                  <c:v>19.611111111111111</c:v>
                </c:pt>
                <c:pt idx="4850">
                  <c:v>16.722222222222221</c:v>
                </c:pt>
                <c:pt idx="4851">
                  <c:v>15.611111111111111</c:v>
                </c:pt>
                <c:pt idx="4852">
                  <c:v>14.5</c:v>
                </c:pt>
                <c:pt idx="4853">
                  <c:v>13.777777777777775</c:v>
                </c:pt>
                <c:pt idx="4854">
                  <c:v>13.499999999999998</c:v>
                </c:pt>
                <c:pt idx="4855">
                  <c:v>13.499999999999998</c:v>
                </c:pt>
                <c:pt idx="4856">
                  <c:v>14.277777777777779</c:v>
                </c:pt>
                <c:pt idx="4857">
                  <c:v>16.111111111111111</c:v>
                </c:pt>
                <c:pt idx="4858">
                  <c:v>18.222222222222221</c:v>
                </c:pt>
                <c:pt idx="4859">
                  <c:v>19.611111111111111</c:v>
                </c:pt>
                <c:pt idx="4860">
                  <c:v>20.388888888888889</c:v>
                </c:pt>
                <c:pt idx="4861">
                  <c:v>20.888888888888886</c:v>
                </c:pt>
                <c:pt idx="4862">
                  <c:v>20</c:v>
                </c:pt>
                <c:pt idx="4863">
                  <c:v>16.222222222222225</c:v>
                </c:pt>
                <c:pt idx="4864">
                  <c:v>15.888888888888889</c:v>
                </c:pt>
                <c:pt idx="4865">
                  <c:v>15.222222222222221</c:v>
                </c:pt>
                <c:pt idx="4866">
                  <c:v>14.000000000000002</c:v>
                </c:pt>
                <c:pt idx="4867">
                  <c:v>13.722222222222223</c:v>
                </c:pt>
                <c:pt idx="4868">
                  <c:v>14.5</c:v>
                </c:pt>
                <c:pt idx="4869">
                  <c:v>15.222222222222221</c:v>
                </c:pt>
                <c:pt idx="4870">
                  <c:v>17.222222222222221</c:v>
                </c:pt>
                <c:pt idx="4871">
                  <c:v>19.111111111111114</c:v>
                </c:pt>
                <c:pt idx="4872">
                  <c:v>20.222222222222225</c:v>
                </c:pt>
                <c:pt idx="4873">
                  <c:v>20.500000000000004</c:v>
                </c:pt>
                <c:pt idx="4874">
                  <c:v>19.277777777777779</c:v>
                </c:pt>
                <c:pt idx="4875">
                  <c:v>16.611111111111111</c:v>
                </c:pt>
                <c:pt idx="4876">
                  <c:v>15</c:v>
                </c:pt>
                <c:pt idx="4877">
                  <c:v>14.277777777777779</c:v>
                </c:pt>
                <c:pt idx="4878">
                  <c:v>13.777777777777775</c:v>
                </c:pt>
                <c:pt idx="4879">
                  <c:v>13.111111111111111</c:v>
                </c:pt>
                <c:pt idx="4880">
                  <c:v>13.611111111111111</c:v>
                </c:pt>
                <c:pt idx="4881">
                  <c:v>14.5</c:v>
                </c:pt>
                <c:pt idx="4882">
                  <c:v>16.5</c:v>
                </c:pt>
                <c:pt idx="4883">
                  <c:v>18.499999999999996</c:v>
                </c:pt>
                <c:pt idx="4884">
                  <c:v>19.777777777777775</c:v>
                </c:pt>
                <c:pt idx="4885">
                  <c:v>20.388888888888889</c:v>
                </c:pt>
                <c:pt idx="4886">
                  <c:v>20.777777777777782</c:v>
                </c:pt>
                <c:pt idx="4887">
                  <c:v>19</c:v>
                </c:pt>
                <c:pt idx="4888">
                  <c:v>15.111111111111112</c:v>
                </c:pt>
                <c:pt idx="4889">
                  <c:v>14.222222222222223</c:v>
                </c:pt>
                <c:pt idx="4890">
                  <c:v>13.499999999999998</c:v>
                </c:pt>
                <c:pt idx="4891">
                  <c:v>12.611111111111112</c:v>
                </c:pt>
                <c:pt idx="4892">
                  <c:v>14.722222222222221</c:v>
                </c:pt>
                <c:pt idx="4893">
                  <c:v>14.111111111111111</c:v>
                </c:pt>
                <c:pt idx="4894">
                  <c:v>15.611111111111111</c:v>
                </c:pt>
                <c:pt idx="4895">
                  <c:v>17.722222222222221</c:v>
                </c:pt>
                <c:pt idx="4896">
                  <c:v>19.499999999999996</c:v>
                </c:pt>
                <c:pt idx="4897">
                  <c:v>20.277777777777779</c:v>
                </c:pt>
                <c:pt idx="4898">
                  <c:v>19.777777777777775</c:v>
                </c:pt>
                <c:pt idx="4899">
                  <c:v>17.5</c:v>
                </c:pt>
                <c:pt idx="4900">
                  <c:v>15.611111111111111</c:v>
                </c:pt>
                <c:pt idx="4901">
                  <c:v>14.777777777777779</c:v>
                </c:pt>
                <c:pt idx="4902">
                  <c:v>13.722222222222223</c:v>
                </c:pt>
                <c:pt idx="4903">
                  <c:v>13.22222222222222</c:v>
                </c:pt>
                <c:pt idx="4904">
                  <c:v>13.611111111111111</c:v>
                </c:pt>
                <c:pt idx="4905">
                  <c:v>13.722222222222223</c:v>
                </c:pt>
                <c:pt idx="4906">
                  <c:v>14.888888888888888</c:v>
                </c:pt>
                <c:pt idx="4907">
                  <c:v>17</c:v>
                </c:pt>
                <c:pt idx="4908">
                  <c:v>18.777777777777775</c:v>
                </c:pt>
                <c:pt idx="4909">
                  <c:v>19.888888888888886</c:v>
                </c:pt>
                <c:pt idx="4910">
                  <c:v>20.388888888888889</c:v>
                </c:pt>
                <c:pt idx="4911">
                  <c:v>19.777777777777775</c:v>
                </c:pt>
                <c:pt idx="4912">
                  <c:v>17.111111111111111</c:v>
                </c:pt>
                <c:pt idx="4913">
                  <c:v>15.777777777777777</c:v>
                </c:pt>
                <c:pt idx="4914">
                  <c:v>15.388888888888889</c:v>
                </c:pt>
                <c:pt idx="4915">
                  <c:v>15.388888888888889</c:v>
                </c:pt>
                <c:pt idx="4916">
                  <c:v>14.722222222222221</c:v>
                </c:pt>
                <c:pt idx="4917">
                  <c:v>15.777777777777777</c:v>
                </c:pt>
                <c:pt idx="4918">
                  <c:v>15.888888888888889</c:v>
                </c:pt>
                <c:pt idx="4919">
                  <c:v>16.777777777777779</c:v>
                </c:pt>
                <c:pt idx="4920">
                  <c:v>18.499999999999996</c:v>
                </c:pt>
                <c:pt idx="4921">
                  <c:v>19.722222222222221</c:v>
                </c:pt>
                <c:pt idx="4922">
                  <c:v>20.222222222222225</c:v>
                </c:pt>
                <c:pt idx="4923">
                  <c:v>19</c:v>
                </c:pt>
                <c:pt idx="4924">
                  <c:v>17</c:v>
                </c:pt>
                <c:pt idx="4925">
                  <c:v>16.888888888888889</c:v>
                </c:pt>
                <c:pt idx="4926">
                  <c:v>16.777777777777779</c:v>
                </c:pt>
                <c:pt idx="4927">
                  <c:v>16.5</c:v>
                </c:pt>
                <c:pt idx="4928">
                  <c:v>15.999999999999998</c:v>
                </c:pt>
                <c:pt idx="4929">
                  <c:v>16.277777777777775</c:v>
                </c:pt>
                <c:pt idx="4930">
                  <c:v>16.722222222222221</c:v>
                </c:pt>
                <c:pt idx="4931">
                  <c:v>17.5</c:v>
                </c:pt>
                <c:pt idx="4932">
                  <c:v>18.722222222222225</c:v>
                </c:pt>
                <c:pt idx="4933">
                  <c:v>19.722222222222221</c:v>
                </c:pt>
                <c:pt idx="4934">
                  <c:v>20.277777777777779</c:v>
                </c:pt>
                <c:pt idx="4935">
                  <c:v>20.611111111111107</c:v>
                </c:pt>
                <c:pt idx="4936">
                  <c:v>19.722222222222221</c:v>
                </c:pt>
                <c:pt idx="4937">
                  <c:v>18.111111111111107</c:v>
                </c:pt>
                <c:pt idx="4938">
                  <c:v>17.722222222222221</c:v>
                </c:pt>
                <c:pt idx="4939">
                  <c:v>16.888888888888889</c:v>
                </c:pt>
                <c:pt idx="4940">
                  <c:v>16.111111111111111</c:v>
                </c:pt>
                <c:pt idx="4941">
                  <c:v>17.111111111111111</c:v>
                </c:pt>
                <c:pt idx="4942">
                  <c:v>17</c:v>
                </c:pt>
                <c:pt idx="4943">
                  <c:v>17.722222222222221</c:v>
                </c:pt>
                <c:pt idx="4944">
                  <c:v>18.611111111111111</c:v>
                </c:pt>
                <c:pt idx="4945">
                  <c:v>19.611111111111111</c:v>
                </c:pt>
                <c:pt idx="4946">
                  <c:v>20.111111111111111</c:v>
                </c:pt>
                <c:pt idx="4947">
                  <c:v>20.277777777777779</c:v>
                </c:pt>
                <c:pt idx="4948">
                  <c:v>19.499999999999996</c:v>
                </c:pt>
                <c:pt idx="4949">
                  <c:v>17.888888888888889</c:v>
                </c:pt>
                <c:pt idx="4950">
                  <c:v>18.111111111111107</c:v>
                </c:pt>
                <c:pt idx="4951">
                  <c:v>18.000000000000004</c:v>
                </c:pt>
                <c:pt idx="4952">
                  <c:v>17.611111111111111</c:v>
                </c:pt>
                <c:pt idx="4953">
                  <c:v>18.000000000000004</c:v>
                </c:pt>
                <c:pt idx="4954">
                  <c:v>18.000000000000004</c:v>
                </c:pt>
                <c:pt idx="4955">
                  <c:v>18.277777777777782</c:v>
                </c:pt>
                <c:pt idx="4956">
                  <c:v>18.777777777777775</c:v>
                </c:pt>
                <c:pt idx="4957">
                  <c:v>19.611111111111111</c:v>
                </c:pt>
                <c:pt idx="4958">
                  <c:v>20.222222222222225</c:v>
                </c:pt>
                <c:pt idx="4959">
                  <c:v>20.611111111111107</c:v>
                </c:pt>
                <c:pt idx="4960">
                  <c:v>20.277777777777779</c:v>
                </c:pt>
                <c:pt idx="4961">
                  <c:v>19.277777777777779</c:v>
                </c:pt>
                <c:pt idx="4962">
                  <c:v>17.5</c:v>
                </c:pt>
                <c:pt idx="4963">
                  <c:v>17.222222222222221</c:v>
                </c:pt>
                <c:pt idx="4964">
                  <c:v>16.222222222222225</c:v>
                </c:pt>
                <c:pt idx="4965">
                  <c:v>16.888888888888889</c:v>
                </c:pt>
                <c:pt idx="4966">
                  <c:v>17.611111111111111</c:v>
                </c:pt>
                <c:pt idx="4967">
                  <c:v>16.888888888888889</c:v>
                </c:pt>
                <c:pt idx="4968">
                  <c:v>17.722222222222221</c:v>
                </c:pt>
                <c:pt idx="4969">
                  <c:v>19.111111111111114</c:v>
                </c:pt>
                <c:pt idx="4970">
                  <c:v>20.111111111111111</c:v>
                </c:pt>
                <c:pt idx="4971">
                  <c:v>20.611111111111107</c:v>
                </c:pt>
                <c:pt idx="4972">
                  <c:v>20.277777777777779</c:v>
                </c:pt>
                <c:pt idx="4973">
                  <c:v>19.277777777777779</c:v>
                </c:pt>
                <c:pt idx="4974">
                  <c:v>18.388888888888886</c:v>
                </c:pt>
                <c:pt idx="4975">
                  <c:v>17.888888888888889</c:v>
                </c:pt>
                <c:pt idx="4976">
                  <c:v>17.722222222222221</c:v>
                </c:pt>
                <c:pt idx="4977">
                  <c:v>17.277777777777779</c:v>
                </c:pt>
                <c:pt idx="4978">
                  <c:v>17.777777777777779</c:v>
                </c:pt>
                <c:pt idx="4979">
                  <c:v>18.000000000000004</c:v>
                </c:pt>
                <c:pt idx="4980">
                  <c:v>18.388888888888886</c:v>
                </c:pt>
                <c:pt idx="4981">
                  <c:v>19.388888888888893</c:v>
                </c:pt>
                <c:pt idx="4982">
                  <c:v>20.222222222222225</c:v>
                </c:pt>
                <c:pt idx="4983">
                  <c:v>20.777777777777782</c:v>
                </c:pt>
                <c:pt idx="4984">
                  <c:v>20.999999999999996</c:v>
                </c:pt>
                <c:pt idx="4985">
                  <c:v>20.611111111111107</c:v>
                </c:pt>
                <c:pt idx="4986">
                  <c:v>18.888888888888889</c:v>
                </c:pt>
                <c:pt idx="4987">
                  <c:v>18.111111111111107</c:v>
                </c:pt>
                <c:pt idx="4988">
                  <c:v>17.111111111111111</c:v>
                </c:pt>
                <c:pt idx="4989">
                  <c:v>17.222222222222221</c:v>
                </c:pt>
                <c:pt idx="4990">
                  <c:v>17.777777777777779</c:v>
                </c:pt>
                <c:pt idx="4991">
                  <c:v>18.222222222222221</c:v>
                </c:pt>
                <c:pt idx="4992">
                  <c:v>18.111111111111107</c:v>
                </c:pt>
                <c:pt idx="4993">
                  <c:v>18.888888888888889</c:v>
                </c:pt>
                <c:pt idx="4994">
                  <c:v>20.111111111111111</c:v>
                </c:pt>
                <c:pt idx="4995">
                  <c:v>20.777777777777782</c:v>
                </c:pt>
                <c:pt idx="4996">
                  <c:v>21.111111111111111</c:v>
                </c:pt>
                <c:pt idx="4997">
                  <c:v>20.611111111111107</c:v>
                </c:pt>
                <c:pt idx="4998">
                  <c:v>20</c:v>
                </c:pt>
                <c:pt idx="4999">
                  <c:v>18.000000000000004</c:v>
                </c:pt>
                <c:pt idx="5000">
                  <c:v>16.388888888888889</c:v>
                </c:pt>
                <c:pt idx="5001">
                  <c:v>15.888888888888889</c:v>
                </c:pt>
                <c:pt idx="5002">
                  <c:v>15.888888888888889</c:v>
                </c:pt>
                <c:pt idx="5003">
                  <c:v>16.722222222222221</c:v>
                </c:pt>
                <c:pt idx="5004">
                  <c:v>17</c:v>
                </c:pt>
                <c:pt idx="5005">
                  <c:v>18.222222222222221</c:v>
                </c:pt>
                <c:pt idx="5006">
                  <c:v>19.777777777777775</c:v>
                </c:pt>
                <c:pt idx="5007">
                  <c:v>20.777777777777782</c:v>
                </c:pt>
                <c:pt idx="5008">
                  <c:v>21.222222222222225</c:v>
                </c:pt>
                <c:pt idx="5009">
                  <c:v>21.277777777777775</c:v>
                </c:pt>
                <c:pt idx="5010">
                  <c:v>19.888888888888886</c:v>
                </c:pt>
                <c:pt idx="5011">
                  <c:v>17.722222222222221</c:v>
                </c:pt>
                <c:pt idx="5012">
                  <c:v>16.888888888888889</c:v>
                </c:pt>
                <c:pt idx="5013">
                  <c:v>16.5</c:v>
                </c:pt>
                <c:pt idx="5014">
                  <c:v>16.222222222222225</c:v>
                </c:pt>
                <c:pt idx="5015">
                  <c:v>16.777777777777779</c:v>
                </c:pt>
                <c:pt idx="5016">
                  <c:v>16.277777777777775</c:v>
                </c:pt>
                <c:pt idx="5017">
                  <c:v>17.222222222222221</c:v>
                </c:pt>
                <c:pt idx="5018">
                  <c:v>18.722222222222225</c:v>
                </c:pt>
                <c:pt idx="5019">
                  <c:v>20</c:v>
                </c:pt>
                <c:pt idx="5020">
                  <c:v>20.777777777777782</c:v>
                </c:pt>
                <c:pt idx="5021">
                  <c:v>21.111111111111111</c:v>
                </c:pt>
                <c:pt idx="5022">
                  <c:v>20.111111111111111</c:v>
                </c:pt>
                <c:pt idx="5023">
                  <c:v>18.111111111111107</c:v>
                </c:pt>
                <c:pt idx="5024">
                  <c:v>17.888888888888889</c:v>
                </c:pt>
                <c:pt idx="5025">
                  <c:v>16.277777777777775</c:v>
                </c:pt>
                <c:pt idx="5026">
                  <c:v>15.499999999999998</c:v>
                </c:pt>
                <c:pt idx="5027">
                  <c:v>15.277777777777777</c:v>
                </c:pt>
                <c:pt idx="5028">
                  <c:v>15.999999999999998</c:v>
                </c:pt>
                <c:pt idx="5029">
                  <c:v>16.888888888888889</c:v>
                </c:pt>
                <c:pt idx="5030">
                  <c:v>18.111111111111107</c:v>
                </c:pt>
                <c:pt idx="5031">
                  <c:v>19.777777777777775</c:v>
                </c:pt>
                <c:pt idx="5032">
                  <c:v>20.722222222222221</c:v>
                </c:pt>
                <c:pt idx="5033">
                  <c:v>21.111111111111111</c:v>
                </c:pt>
                <c:pt idx="5034">
                  <c:v>20.500000000000004</c:v>
                </c:pt>
                <c:pt idx="5035">
                  <c:v>18.888888888888889</c:v>
                </c:pt>
                <c:pt idx="5036">
                  <c:v>17.777777777777779</c:v>
                </c:pt>
                <c:pt idx="5037">
                  <c:v>16.888888888888889</c:v>
                </c:pt>
                <c:pt idx="5038">
                  <c:v>15.888888888888889</c:v>
                </c:pt>
                <c:pt idx="5039">
                  <c:v>15.388888888888889</c:v>
                </c:pt>
                <c:pt idx="5040">
                  <c:v>15.999999999999998</c:v>
                </c:pt>
                <c:pt idx="5041">
                  <c:v>16.222222222222225</c:v>
                </c:pt>
                <c:pt idx="5042">
                  <c:v>17.111111111111111</c:v>
                </c:pt>
                <c:pt idx="5043">
                  <c:v>18.722222222222225</c:v>
                </c:pt>
                <c:pt idx="5044">
                  <c:v>20.111111111111111</c:v>
                </c:pt>
                <c:pt idx="5045">
                  <c:v>20.722222222222221</c:v>
                </c:pt>
                <c:pt idx="5046">
                  <c:v>20.888888888888886</c:v>
                </c:pt>
                <c:pt idx="5047">
                  <c:v>20.277777777777779</c:v>
                </c:pt>
                <c:pt idx="5048">
                  <c:v>17.111111111111111</c:v>
                </c:pt>
                <c:pt idx="5049">
                  <c:v>16.5</c:v>
                </c:pt>
                <c:pt idx="5050">
                  <c:v>14.777777777777779</c:v>
                </c:pt>
                <c:pt idx="5051">
                  <c:v>14.111111111111111</c:v>
                </c:pt>
                <c:pt idx="5052">
                  <c:v>15.888888888888889</c:v>
                </c:pt>
                <c:pt idx="5053">
                  <c:v>14.888888888888888</c:v>
                </c:pt>
                <c:pt idx="5054">
                  <c:v>15.888888888888889</c:v>
                </c:pt>
                <c:pt idx="5055">
                  <c:v>17.722222222222221</c:v>
                </c:pt>
                <c:pt idx="5056">
                  <c:v>19.499999999999996</c:v>
                </c:pt>
                <c:pt idx="5057">
                  <c:v>20.722222222222221</c:v>
                </c:pt>
                <c:pt idx="5058">
                  <c:v>21.111111111111111</c:v>
                </c:pt>
                <c:pt idx="5059">
                  <c:v>19.499999999999996</c:v>
                </c:pt>
                <c:pt idx="5060">
                  <c:v>16.777777777777779</c:v>
                </c:pt>
                <c:pt idx="5061">
                  <c:v>16.5</c:v>
                </c:pt>
                <c:pt idx="5062">
                  <c:v>15.999999999999998</c:v>
                </c:pt>
                <c:pt idx="5063">
                  <c:v>15.111111111111112</c:v>
                </c:pt>
                <c:pt idx="5064">
                  <c:v>15</c:v>
                </c:pt>
                <c:pt idx="5065">
                  <c:v>15</c:v>
                </c:pt>
                <c:pt idx="5066">
                  <c:v>15.499999999999998</c:v>
                </c:pt>
                <c:pt idx="5067">
                  <c:v>16.5</c:v>
                </c:pt>
                <c:pt idx="5068">
                  <c:v>18.499999999999996</c:v>
                </c:pt>
                <c:pt idx="5069">
                  <c:v>19.777777777777775</c:v>
                </c:pt>
                <c:pt idx="5070">
                  <c:v>20.500000000000004</c:v>
                </c:pt>
                <c:pt idx="5071">
                  <c:v>20.722222222222221</c:v>
                </c:pt>
                <c:pt idx="5072">
                  <c:v>20.111111111111111</c:v>
                </c:pt>
                <c:pt idx="5073">
                  <c:v>17.5</c:v>
                </c:pt>
                <c:pt idx="5074">
                  <c:v>15.777777777777777</c:v>
                </c:pt>
                <c:pt idx="5075">
                  <c:v>15.222222222222221</c:v>
                </c:pt>
                <c:pt idx="5076">
                  <c:v>14.5</c:v>
                </c:pt>
                <c:pt idx="5077">
                  <c:v>15</c:v>
                </c:pt>
                <c:pt idx="5078">
                  <c:v>15</c:v>
                </c:pt>
                <c:pt idx="5079">
                  <c:v>15.888888888888889</c:v>
                </c:pt>
                <c:pt idx="5080">
                  <c:v>17.5</c:v>
                </c:pt>
                <c:pt idx="5081">
                  <c:v>19.222222222222218</c:v>
                </c:pt>
                <c:pt idx="5082">
                  <c:v>20.111111111111111</c:v>
                </c:pt>
                <c:pt idx="5083">
                  <c:v>20.500000000000004</c:v>
                </c:pt>
                <c:pt idx="5084">
                  <c:v>19.111111111111114</c:v>
                </c:pt>
                <c:pt idx="5085">
                  <c:v>16.611111111111111</c:v>
                </c:pt>
                <c:pt idx="5086">
                  <c:v>15.72222222222222</c:v>
                </c:pt>
                <c:pt idx="5087">
                  <c:v>14.722222222222221</c:v>
                </c:pt>
                <c:pt idx="5088">
                  <c:v>14.000000000000002</c:v>
                </c:pt>
                <c:pt idx="5089">
                  <c:v>14.000000000000002</c:v>
                </c:pt>
                <c:pt idx="5090">
                  <c:v>14.111111111111111</c:v>
                </c:pt>
                <c:pt idx="5091">
                  <c:v>14.722222222222221</c:v>
                </c:pt>
                <c:pt idx="5092">
                  <c:v>15.888888888888889</c:v>
                </c:pt>
                <c:pt idx="5093">
                  <c:v>18.000000000000004</c:v>
                </c:pt>
                <c:pt idx="5094">
                  <c:v>19.277777777777779</c:v>
                </c:pt>
                <c:pt idx="5095">
                  <c:v>20.111111111111111</c:v>
                </c:pt>
                <c:pt idx="5096">
                  <c:v>20.277777777777779</c:v>
                </c:pt>
                <c:pt idx="5097">
                  <c:v>19.722222222222221</c:v>
                </c:pt>
                <c:pt idx="5098">
                  <c:v>16.222222222222225</c:v>
                </c:pt>
                <c:pt idx="5099">
                  <c:v>14.777777777777779</c:v>
                </c:pt>
                <c:pt idx="5100">
                  <c:v>14.000000000000002</c:v>
                </c:pt>
                <c:pt idx="5101">
                  <c:v>13.388888888888889</c:v>
                </c:pt>
                <c:pt idx="5102">
                  <c:v>15</c:v>
                </c:pt>
                <c:pt idx="5103">
                  <c:v>14.222222222222223</c:v>
                </c:pt>
                <c:pt idx="5104">
                  <c:v>15.277777777777777</c:v>
                </c:pt>
                <c:pt idx="5105">
                  <c:v>17.111111111111111</c:v>
                </c:pt>
                <c:pt idx="5106">
                  <c:v>19</c:v>
                </c:pt>
                <c:pt idx="5107">
                  <c:v>20.111111111111111</c:v>
                </c:pt>
                <c:pt idx="5108">
                  <c:v>20.277777777777779</c:v>
                </c:pt>
                <c:pt idx="5109">
                  <c:v>18.277777777777782</c:v>
                </c:pt>
                <c:pt idx="5110">
                  <c:v>16.611111111111111</c:v>
                </c:pt>
                <c:pt idx="5111">
                  <c:v>14.777777777777779</c:v>
                </c:pt>
                <c:pt idx="5112">
                  <c:v>14.222222222222223</c:v>
                </c:pt>
                <c:pt idx="5113">
                  <c:v>13.722222222222223</c:v>
                </c:pt>
                <c:pt idx="5114">
                  <c:v>13.611111111111111</c:v>
                </c:pt>
                <c:pt idx="5115">
                  <c:v>13.722222222222223</c:v>
                </c:pt>
                <c:pt idx="5116">
                  <c:v>14.388888888888888</c:v>
                </c:pt>
                <c:pt idx="5117">
                  <c:v>15.611111111111111</c:v>
                </c:pt>
                <c:pt idx="5118">
                  <c:v>17.722222222222221</c:v>
                </c:pt>
                <c:pt idx="5119">
                  <c:v>19</c:v>
                </c:pt>
                <c:pt idx="5120">
                  <c:v>19.888888888888886</c:v>
                </c:pt>
                <c:pt idx="5121">
                  <c:v>20.222222222222225</c:v>
                </c:pt>
                <c:pt idx="5122">
                  <c:v>19.111111111111114</c:v>
                </c:pt>
                <c:pt idx="5123">
                  <c:v>17.222222222222221</c:v>
                </c:pt>
                <c:pt idx="5124">
                  <c:v>15.611111111111111</c:v>
                </c:pt>
                <c:pt idx="5125">
                  <c:v>14.5</c:v>
                </c:pt>
                <c:pt idx="5126">
                  <c:v>13.499999999999998</c:v>
                </c:pt>
                <c:pt idx="5127">
                  <c:v>13.111111111111111</c:v>
                </c:pt>
                <c:pt idx="5128">
                  <c:v>13.777777777777775</c:v>
                </c:pt>
                <c:pt idx="5129">
                  <c:v>15</c:v>
                </c:pt>
                <c:pt idx="5130">
                  <c:v>16.777777777777779</c:v>
                </c:pt>
                <c:pt idx="5131">
                  <c:v>18.722222222222225</c:v>
                </c:pt>
                <c:pt idx="5132">
                  <c:v>19.499999999999996</c:v>
                </c:pt>
                <c:pt idx="5133">
                  <c:v>19.777777777777775</c:v>
                </c:pt>
                <c:pt idx="5134">
                  <c:v>17.888888888888889</c:v>
                </c:pt>
                <c:pt idx="5135">
                  <c:v>16.277777777777775</c:v>
                </c:pt>
                <c:pt idx="5136">
                  <c:v>15</c:v>
                </c:pt>
                <c:pt idx="5137">
                  <c:v>14.277777777777779</c:v>
                </c:pt>
                <c:pt idx="5138">
                  <c:v>14.000000000000002</c:v>
                </c:pt>
                <c:pt idx="5139">
                  <c:v>14.000000000000002</c:v>
                </c:pt>
                <c:pt idx="5140">
                  <c:v>14.111111111111111</c:v>
                </c:pt>
                <c:pt idx="5141">
                  <c:v>14.722222222222221</c:v>
                </c:pt>
                <c:pt idx="5142">
                  <c:v>15.888888888888889</c:v>
                </c:pt>
                <c:pt idx="5143">
                  <c:v>17.5</c:v>
                </c:pt>
                <c:pt idx="5144">
                  <c:v>18.499999999999996</c:v>
                </c:pt>
                <c:pt idx="5145">
                  <c:v>19.277777777777779</c:v>
                </c:pt>
                <c:pt idx="5146">
                  <c:v>19.722222222222221</c:v>
                </c:pt>
                <c:pt idx="5147">
                  <c:v>19</c:v>
                </c:pt>
                <c:pt idx="5148">
                  <c:v>17.111111111111111</c:v>
                </c:pt>
                <c:pt idx="5149">
                  <c:v>16.722222222222221</c:v>
                </c:pt>
                <c:pt idx="5150">
                  <c:v>16.388888888888889</c:v>
                </c:pt>
                <c:pt idx="5151">
                  <c:v>16.388888888888889</c:v>
                </c:pt>
                <c:pt idx="5152">
                  <c:v>16.5</c:v>
                </c:pt>
                <c:pt idx="5153">
                  <c:v>16.611111111111111</c:v>
                </c:pt>
                <c:pt idx="5154">
                  <c:v>16.888888888888889</c:v>
                </c:pt>
                <c:pt idx="5155">
                  <c:v>17.777777777777779</c:v>
                </c:pt>
                <c:pt idx="5156">
                  <c:v>18.888888888888889</c:v>
                </c:pt>
                <c:pt idx="5157">
                  <c:v>19.499999999999996</c:v>
                </c:pt>
                <c:pt idx="5158">
                  <c:v>19.722222222222221</c:v>
                </c:pt>
                <c:pt idx="5159">
                  <c:v>18.499999999999996</c:v>
                </c:pt>
                <c:pt idx="5160">
                  <c:v>17.611111111111111</c:v>
                </c:pt>
                <c:pt idx="5161">
                  <c:v>16.222222222222225</c:v>
                </c:pt>
                <c:pt idx="5162">
                  <c:v>15</c:v>
                </c:pt>
                <c:pt idx="5163">
                  <c:v>14.722222222222221</c:v>
                </c:pt>
                <c:pt idx="5164">
                  <c:v>14.5</c:v>
                </c:pt>
                <c:pt idx="5165">
                  <c:v>14.611111111111109</c:v>
                </c:pt>
                <c:pt idx="5166">
                  <c:v>15.388888888888889</c:v>
                </c:pt>
                <c:pt idx="5167">
                  <c:v>16.777777777777779</c:v>
                </c:pt>
                <c:pt idx="5168">
                  <c:v>18.000000000000004</c:v>
                </c:pt>
                <c:pt idx="5169">
                  <c:v>18.888888888888889</c:v>
                </c:pt>
                <c:pt idx="5170">
                  <c:v>19.722222222222221</c:v>
                </c:pt>
                <c:pt idx="5171">
                  <c:v>19.888888888888886</c:v>
                </c:pt>
                <c:pt idx="5172">
                  <c:v>19.222222222222218</c:v>
                </c:pt>
                <c:pt idx="5173">
                  <c:v>17.777777777777779</c:v>
                </c:pt>
                <c:pt idx="5174">
                  <c:v>16.777777777777779</c:v>
                </c:pt>
                <c:pt idx="5175">
                  <c:v>16.111111111111111</c:v>
                </c:pt>
                <c:pt idx="5176">
                  <c:v>15.999999999999998</c:v>
                </c:pt>
                <c:pt idx="5177">
                  <c:v>16.111111111111111</c:v>
                </c:pt>
                <c:pt idx="5178">
                  <c:v>16.277777777777775</c:v>
                </c:pt>
                <c:pt idx="5179">
                  <c:v>17</c:v>
                </c:pt>
                <c:pt idx="5180">
                  <c:v>18.222222222222221</c:v>
                </c:pt>
                <c:pt idx="5181">
                  <c:v>19.222222222222218</c:v>
                </c:pt>
                <c:pt idx="5182">
                  <c:v>19.777777777777775</c:v>
                </c:pt>
                <c:pt idx="5183">
                  <c:v>20</c:v>
                </c:pt>
                <c:pt idx="5184">
                  <c:v>18.499999999999996</c:v>
                </c:pt>
                <c:pt idx="5185">
                  <c:v>17.722222222222221</c:v>
                </c:pt>
                <c:pt idx="5186">
                  <c:v>16.722222222222221</c:v>
                </c:pt>
                <c:pt idx="5187">
                  <c:v>16.277777777777775</c:v>
                </c:pt>
                <c:pt idx="5188">
                  <c:v>15.888888888888889</c:v>
                </c:pt>
                <c:pt idx="5189">
                  <c:v>15.888888888888889</c:v>
                </c:pt>
                <c:pt idx="5190">
                  <c:v>16.111111111111111</c:v>
                </c:pt>
                <c:pt idx="5191">
                  <c:v>16.611111111111111</c:v>
                </c:pt>
                <c:pt idx="5192">
                  <c:v>17.722222222222221</c:v>
                </c:pt>
                <c:pt idx="5193">
                  <c:v>18.499999999999996</c:v>
                </c:pt>
                <c:pt idx="5194">
                  <c:v>19.222222222222218</c:v>
                </c:pt>
                <c:pt idx="5195">
                  <c:v>19.777777777777775</c:v>
                </c:pt>
                <c:pt idx="5196">
                  <c:v>20</c:v>
                </c:pt>
                <c:pt idx="5197">
                  <c:v>19.111111111111114</c:v>
                </c:pt>
                <c:pt idx="5198">
                  <c:v>18.277777777777782</c:v>
                </c:pt>
                <c:pt idx="5199">
                  <c:v>17.222222222222221</c:v>
                </c:pt>
                <c:pt idx="5200">
                  <c:v>16.5</c:v>
                </c:pt>
                <c:pt idx="5201">
                  <c:v>16.111111111111111</c:v>
                </c:pt>
                <c:pt idx="5202">
                  <c:v>15.888888888888889</c:v>
                </c:pt>
                <c:pt idx="5203">
                  <c:v>16.388888888888889</c:v>
                </c:pt>
                <c:pt idx="5204">
                  <c:v>17.388888888888886</c:v>
                </c:pt>
                <c:pt idx="5205">
                  <c:v>18.722222222222225</c:v>
                </c:pt>
                <c:pt idx="5206">
                  <c:v>19.388888888888893</c:v>
                </c:pt>
                <c:pt idx="5207">
                  <c:v>19.888888888888886</c:v>
                </c:pt>
                <c:pt idx="5208">
                  <c:v>20</c:v>
                </c:pt>
                <c:pt idx="5209">
                  <c:v>18.888888888888889</c:v>
                </c:pt>
                <c:pt idx="5210">
                  <c:v>17.777777777777779</c:v>
                </c:pt>
                <c:pt idx="5211">
                  <c:v>17.222222222222221</c:v>
                </c:pt>
                <c:pt idx="5212">
                  <c:v>16.611111111111111</c:v>
                </c:pt>
                <c:pt idx="5213">
                  <c:v>15.888888888888889</c:v>
                </c:pt>
                <c:pt idx="5214">
                  <c:v>15.888888888888889</c:v>
                </c:pt>
                <c:pt idx="5215">
                  <c:v>15.999999999999998</c:v>
                </c:pt>
                <c:pt idx="5216">
                  <c:v>16.777777777777779</c:v>
                </c:pt>
                <c:pt idx="5217">
                  <c:v>17.777777777777779</c:v>
                </c:pt>
                <c:pt idx="5218">
                  <c:v>18.499999999999996</c:v>
                </c:pt>
                <c:pt idx="5219">
                  <c:v>19.222222222222218</c:v>
                </c:pt>
                <c:pt idx="5220">
                  <c:v>19.722222222222221</c:v>
                </c:pt>
                <c:pt idx="5221">
                  <c:v>19.888888888888886</c:v>
                </c:pt>
                <c:pt idx="5222">
                  <c:v>19</c:v>
                </c:pt>
                <c:pt idx="5223">
                  <c:v>18.111111111111107</c:v>
                </c:pt>
                <c:pt idx="5224">
                  <c:v>17.5</c:v>
                </c:pt>
                <c:pt idx="5225">
                  <c:v>17</c:v>
                </c:pt>
                <c:pt idx="5226">
                  <c:v>16.722222222222221</c:v>
                </c:pt>
                <c:pt idx="5227">
                  <c:v>17.277777777777779</c:v>
                </c:pt>
                <c:pt idx="5228">
                  <c:v>17.111111111111111</c:v>
                </c:pt>
                <c:pt idx="5229">
                  <c:v>17.777777777777779</c:v>
                </c:pt>
                <c:pt idx="5230">
                  <c:v>18.777777777777775</c:v>
                </c:pt>
                <c:pt idx="5231">
                  <c:v>19.499999999999996</c:v>
                </c:pt>
                <c:pt idx="5232">
                  <c:v>19.888888888888886</c:v>
                </c:pt>
                <c:pt idx="5233">
                  <c:v>20</c:v>
                </c:pt>
                <c:pt idx="5234">
                  <c:v>19.222222222222218</c:v>
                </c:pt>
                <c:pt idx="5235">
                  <c:v>18.388888888888886</c:v>
                </c:pt>
                <c:pt idx="5236">
                  <c:v>17.777777777777779</c:v>
                </c:pt>
                <c:pt idx="5237">
                  <c:v>16.888888888888889</c:v>
                </c:pt>
                <c:pt idx="5238">
                  <c:v>16.277777777777775</c:v>
                </c:pt>
                <c:pt idx="5239">
                  <c:v>16.5</c:v>
                </c:pt>
                <c:pt idx="5240">
                  <c:v>16.611111111111111</c:v>
                </c:pt>
                <c:pt idx="5241">
                  <c:v>17.277777777777779</c:v>
                </c:pt>
                <c:pt idx="5242">
                  <c:v>18.222222222222221</c:v>
                </c:pt>
                <c:pt idx="5243">
                  <c:v>18.777777777777775</c:v>
                </c:pt>
                <c:pt idx="5244">
                  <c:v>19.388888888888893</c:v>
                </c:pt>
                <c:pt idx="5245">
                  <c:v>19.777777777777775</c:v>
                </c:pt>
                <c:pt idx="5246">
                  <c:v>19.888888888888886</c:v>
                </c:pt>
                <c:pt idx="5247">
                  <c:v>18.888888888888889</c:v>
                </c:pt>
                <c:pt idx="5248">
                  <c:v>18.000000000000004</c:v>
                </c:pt>
                <c:pt idx="5249">
                  <c:v>16.111111111111111</c:v>
                </c:pt>
                <c:pt idx="5250">
                  <c:v>15.388888888888889</c:v>
                </c:pt>
                <c:pt idx="5251">
                  <c:v>15.499999999999998</c:v>
                </c:pt>
                <c:pt idx="5252">
                  <c:v>16.222222222222225</c:v>
                </c:pt>
                <c:pt idx="5253">
                  <c:v>15.999999999999998</c:v>
                </c:pt>
                <c:pt idx="5254">
                  <c:v>17</c:v>
                </c:pt>
                <c:pt idx="5255">
                  <c:v>18.388888888888886</c:v>
                </c:pt>
                <c:pt idx="5256">
                  <c:v>19.222222222222218</c:v>
                </c:pt>
                <c:pt idx="5257">
                  <c:v>19.722222222222221</c:v>
                </c:pt>
                <c:pt idx="5258">
                  <c:v>19.777777777777775</c:v>
                </c:pt>
                <c:pt idx="5259">
                  <c:v>18.777777777777775</c:v>
                </c:pt>
                <c:pt idx="5260">
                  <c:v>17.277777777777779</c:v>
                </c:pt>
                <c:pt idx="5261">
                  <c:v>15.611111111111111</c:v>
                </c:pt>
                <c:pt idx="5262">
                  <c:v>15</c:v>
                </c:pt>
                <c:pt idx="5263">
                  <c:v>14.611111111111109</c:v>
                </c:pt>
                <c:pt idx="5264">
                  <c:v>14.722222222222221</c:v>
                </c:pt>
                <c:pt idx="5265">
                  <c:v>15</c:v>
                </c:pt>
                <c:pt idx="5266">
                  <c:v>15.888888888888889</c:v>
                </c:pt>
                <c:pt idx="5267">
                  <c:v>17.222222222222221</c:v>
                </c:pt>
                <c:pt idx="5268">
                  <c:v>18.222222222222221</c:v>
                </c:pt>
                <c:pt idx="5269">
                  <c:v>18.888888888888889</c:v>
                </c:pt>
                <c:pt idx="5270">
                  <c:v>19.388888888888893</c:v>
                </c:pt>
                <c:pt idx="5271">
                  <c:v>19.277777777777779</c:v>
                </c:pt>
                <c:pt idx="5272">
                  <c:v>18.000000000000004</c:v>
                </c:pt>
                <c:pt idx="5273">
                  <c:v>16.111111111111111</c:v>
                </c:pt>
                <c:pt idx="5274">
                  <c:v>13.777777777777775</c:v>
                </c:pt>
                <c:pt idx="5275">
                  <c:v>13.111111111111111</c:v>
                </c:pt>
                <c:pt idx="5276">
                  <c:v>13.277777777777777</c:v>
                </c:pt>
                <c:pt idx="5277">
                  <c:v>13.499999999999998</c:v>
                </c:pt>
                <c:pt idx="5278">
                  <c:v>14.111111111111111</c:v>
                </c:pt>
                <c:pt idx="5279">
                  <c:v>15.388888888888889</c:v>
                </c:pt>
                <c:pt idx="5280">
                  <c:v>16.888888888888889</c:v>
                </c:pt>
                <c:pt idx="5281">
                  <c:v>18.000000000000004</c:v>
                </c:pt>
                <c:pt idx="5282">
                  <c:v>18.611111111111111</c:v>
                </c:pt>
                <c:pt idx="5283">
                  <c:v>18.777777777777775</c:v>
                </c:pt>
                <c:pt idx="5284">
                  <c:v>17</c:v>
                </c:pt>
                <c:pt idx="5285">
                  <c:v>15</c:v>
                </c:pt>
                <c:pt idx="5286">
                  <c:v>13.111111111111111</c:v>
                </c:pt>
                <c:pt idx="5287">
                  <c:v>12.5</c:v>
                </c:pt>
                <c:pt idx="5288">
                  <c:v>12.277777777777779</c:v>
                </c:pt>
                <c:pt idx="5289">
                  <c:v>13.111111111111111</c:v>
                </c:pt>
                <c:pt idx="5290">
                  <c:v>12.999999999999998</c:v>
                </c:pt>
                <c:pt idx="5291">
                  <c:v>14.000000000000002</c:v>
                </c:pt>
                <c:pt idx="5292">
                  <c:v>15.777777777777777</c:v>
                </c:pt>
                <c:pt idx="5293">
                  <c:v>16.777777777777779</c:v>
                </c:pt>
                <c:pt idx="5294">
                  <c:v>17.777777777777779</c:v>
                </c:pt>
                <c:pt idx="5295">
                  <c:v>18.499999999999996</c:v>
                </c:pt>
                <c:pt idx="5296">
                  <c:v>18.111111111111107</c:v>
                </c:pt>
                <c:pt idx="5297">
                  <c:v>15.999999999999998</c:v>
                </c:pt>
                <c:pt idx="5298">
                  <c:v>14.277777777777779</c:v>
                </c:pt>
                <c:pt idx="5299">
                  <c:v>13.499999999999998</c:v>
                </c:pt>
                <c:pt idx="5300">
                  <c:v>12.999999999999998</c:v>
                </c:pt>
                <c:pt idx="5301">
                  <c:v>13.277777777777777</c:v>
                </c:pt>
                <c:pt idx="5302">
                  <c:v>13.499999999999998</c:v>
                </c:pt>
                <c:pt idx="5303">
                  <c:v>14.000000000000002</c:v>
                </c:pt>
                <c:pt idx="5304">
                  <c:v>15.388888888888889</c:v>
                </c:pt>
                <c:pt idx="5305">
                  <c:v>16.722222222222221</c:v>
                </c:pt>
                <c:pt idx="5306">
                  <c:v>17.611111111111111</c:v>
                </c:pt>
                <c:pt idx="5307">
                  <c:v>18.222222222222221</c:v>
                </c:pt>
                <c:pt idx="5308">
                  <c:v>18.277777777777782</c:v>
                </c:pt>
                <c:pt idx="5309">
                  <c:v>16.722222222222221</c:v>
                </c:pt>
                <c:pt idx="5310">
                  <c:v>14.888888888888888</c:v>
                </c:pt>
                <c:pt idx="5311">
                  <c:v>13.499999999999998</c:v>
                </c:pt>
                <c:pt idx="5312">
                  <c:v>12.777777777777777</c:v>
                </c:pt>
                <c:pt idx="5313">
                  <c:v>12.5</c:v>
                </c:pt>
                <c:pt idx="5314">
                  <c:v>12.777777777777777</c:v>
                </c:pt>
                <c:pt idx="5315">
                  <c:v>13.22222222222222</c:v>
                </c:pt>
                <c:pt idx="5316">
                  <c:v>14.222222222222223</c:v>
                </c:pt>
                <c:pt idx="5317">
                  <c:v>15.888888888888889</c:v>
                </c:pt>
                <c:pt idx="5318">
                  <c:v>16.888888888888889</c:v>
                </c:pt>
                <c:pt idx="5319">
                  <c:v>17.777777777777779</c:v>
                </c:pt>
                <c:pt idx="5320">
                  <c:v>18.388888888888886</c:v>
                </c:pt>
                <c:pt idx="5321">
                  <c:v>17.611111111111111</c:v>
                </c:pt>
                <c:pt idx="5322">
                  <c:v>15.888888888888889</c:v>
                </c:pt>
                <c:pt idx="5323">
                  <c:v>14.111111111111111</c:v>
                </c:pt>
                <c:pt idx="5324">
                  <c:v>13.22222222222222</c:v>
                </c:pt>
                <c:pt idx="5325">
                  <c:v>12.888888888888889</c:v>
                </c:pt>
                <c:pt idx="5326">
                  <c:v>12.999999999999998</c:v>
                </c:pt>
                <c:pt idx="5327">
                  <c:v>13.388888888888889</c:v>
                </c:pt>
                <c:pt idx="5328">
                  <c:v>13.777777777777775</c:v>
                </c:pt>
                <c:pt idx="5329">
                  <c:v>15</c:v>
                </c:pt>
                <c:pt idx="5330">
                  <c:v>16.388888888888889</c:v>
                </c:pt>
                <c:pt idx="5331">
                  <c:v>17.277777777777779</c:v>
                </c:pt>
                <c:pt idx="5332">
                  <c:v>18.000000000000004</c:v>
                </c:pt>
                <c:pt idx="5333">
                  <c:v>18.000000000000004</c:v>
                </c:pt>
                <c:pt idx="5334">
                  <c:v>16.388888888888889</c:v>
                </c:pt>
                <c:pt idx="5335">
                  <c:v>15.111111111111112</c:v>
                </c:pt>
                <c:pt idx="5336">
                  <c:v>13.388888888888889</c:v>
                </c:pt>
                <c:pt idx="5337">
                  <c:v>12.888888888888889</c:v>
                </c:pt>
                <c:pt idx="5338">
                  <c:v>12.611111111111112</c:v>
                </c:pt>
                <c:pt idx="5339">
                  <c:v>12.888888888888889</c:v>
                </c:pt>
                <c:pt idx="5340">
                  <c:v>13.277777777777777</c:v>
                </c:pt>
                <c:pt idx="5341">
                  <c:v>14.277777777777779</c:v>
                </c:pt>
                <c:pt idx="5342">
                  <c:v>15.888888888888889</c:v>
                </c:pt>
                <c:pt idx="5343">
                  <c:v>16.888888888888889</c:v>
                </c:pt>
                <c:pt idx="5344">
                  <c:v>17.611111111111111</c:v>
                </c:pt>
                <c:pt idx="5345">
                  <c:v>17.777777777777779</c:v>
                </c:pt>
                <c:pt idx="5346">
                  <c:v>16.722222222222221</c:v>
                </c:pt>
                <c:pt idx="5347">
                  <c:v>15.111111111111112</c:v>
                </c:pt>
                <c:pt idx="5348">
                  <c:v>14.388888888888888</c:v>
                </c:pt>
                <c:pt idx="5349">
                  <c:v>14.000000000000002</c:v>
                </c:pt>
                <c:pt idx="5350">
                  <c:v>13.722222222222223</c:v>
                </c:pt>
                <c:pt idx="5351">
                  <c:v>13.611111111111111</c:v>
                </c:pt>
                <c:pt idx="5352">
                  <c:v>13.777777777777775</c:v>
                </c:pt>
                <c:pt idx="5353">
                  <c:v>14.277777777777779</c:v>
                </c:pt>
                <c:pt idx="5354">
                  <c:v>15.222222222222221</c:v>
                </c:pt>
                <c:pt idx="5355">
                  <c:v>16.111111111111111</c:v>
                </c:pt>
                <c:pt idx="5356">
                  <c:v>16.888888888888889</c:v>
                </c:pt>
                <c:pt idx="5357">
                  <c:v>17.388888888888886</c:v>
                </c:pt>
                <c:pt idx="5358">
                  <c:v>17.388888888888886</c:v>
                </c:pt>
                <c:pt idx="5359">
                  <c:v>16.222222222222225</c:v>
                </c:pt>
                <c:pt idx="5360">
                  <c:v>15.277777777777777</c:v>
                </c:pt>
                <c:pt idx="5361">
                  <c:v>15.388888888888889</c:v>
                </c:pt>
                <c:pt idx="5362">
                  <c:v>15.388888888888889</c:v>
                </c:pt>
                <c:pt idx="5363">
                  <c:v>15.388888888888889</c:v>
                </c:pt>
                <c:pt idx="5364">
                  <c:v>15.277777777777777</c:v>
                </c:pt>
                <c:pt idx="5365">
                  <c:v>15.388888888888889</c:v>
                </c:pt>
                <c:pt idx="5366">
                  <c:v>15.72222222222222</c:v>
                </c:pt>
                <c:pt idx="5367">
                  <c:v>16.277777777777775</c:v>
                </c:pt>
                <c:pt idx="5368">
                  <c:v>16.777777777777779</c:v>
                </c:pt>
                <c:pt idx="5369">
                  <c:v>17.277777777777779</c:v>
                </c:pt>
                <c:pt idx="5370">
                  <c:v>17.388888888888886</c:v>
                </c:pt>
                <c:pt idx="5371">
                  <c:v>16.722222222222221</c:v>
                </c:pt>
                <c:pt idx="5372">
                  <c:v>16.222222222222225</c:v>
                </c:pt>
                <c:pt idx="5373">
                  <c:v>15.499999999999998</c:v>
                </c:pt>
                <c:pt idx="5374">
                  <c:v>15.222222222222221</c:v>
                </c:pt>
                <c:pt idx="5375">
                  <c:v>14.888888888888888</c:v>
                </c:pt>
                <c:pt idx="5376">
                  <c:v>14.777777777777779</c:v>
                </c:pt>
                <c:pt idx="5377">
                  <c:v>15</c:v>
                </c:pt>
                <c:pt idx="5378">
                  <c:v>15.611111111111111</c:v>
                </c:pt>
                <c:pt idx="5379">
                  <c:v>16.5</c:v>
                </c:pt>
                <c:pt idx="5380">
                  <c:v>17.111111111111111</c:v>
                </c:pt>
                <c:pt idx="5381">
                  <c:v>17.722222222222221</c:v>
                </c:pt>
                <c:pt idx="5382">
                  <c:v>18.000000000000004</c:v>
                </c:pt>
                <c:pt idx="5383">
                  <c:v>18.111111111111107</c:v>
                </c:pt>
                <c:pt idx="5384">
                  <c:v>16.888888888888889</c:v>
                </c:pt>
                <c:pt idx="5385">
                  <c:v>16.277777777777775</c:v>
                </c:pt>
                <c:pt idx="5386">
                  <c:v>14.777777777777779</c:v>
                </c:pt>
                <c:pt idx="5387">
                  <c:v>14.111111111111111</c:v>
                </c:pt>
                <c:pt idx="5388">
                  <c:v>13.611111111111111</c:v>
                </c:pt>
                <c:pt idx="5389">
                  <c:v>13.888888888888889</c:v>
                </c:pt>
                <c:pt idx="5390">
                  <c:v>14.722222222222221</c:v>
                </c:pt>
                <c:pt idx="5391">
                  <c:v>15.999999999999998</c:v>
                </c:pt>
                <c:pt idx="5392">
                  <c:v>17.277777777777779</c:v>
                </c:pt>
                <c:pt idx="5393">
                  <c:v>18.111111111111107</c:v>
                </c:pt>
                <c:pt idx="5394">
                  <c:v>18.499999999999996</c:v>
                </c:pt>
                <c:pt idx="5395">
                  <c:v>18.499999999999996</c:v>
                </c:pt>
                <c:pt idx="5396">
                  <c:v>17.5</c:v>
                </c:pt>
                <c:pt idx="5397">
                  <c:v>15.999999999999998</c:v>
                </c:pt>
                <c:pt idx="5398">
                  <c:v>15</c:v>
                </c:pt>
                <c:pt idx="5399">
                  <c:v>14.5</c:v>
                </c:pt>
                <c:pt idx="5400">
                  <c:v>14.222222222222223</c:v>
                </c:pt>
                <c:pt idx="5401">
                  <c:v>14.111111111111111</c:v>
                </c:pt>
                <c:pt idx="5402">
                  <c:v>14.388888888888888</c:v>
                </c:pt>
                <c:pt idx="5403">
                  <c:v>15.222222222222221</c:v>
                </c:pt>
                <c:pt idx="5404">
                  <c:v>16.388888888888889</c:v>
                </c:pt>
                <c:pt idx="5405">
                  <c:v>17.611111111111111</c:v>
                </c:pt>
                <c:pt idx="5406">
                  <c:v>18.277777777777782</c:v>
                </c:pt>
                <c:pt idx="5407">
                  <c:v>18.611111111111111</c:v>
                </c:pt>
                <c:pt idx="5408">
                  <c:v>18.611111111111111</c:v>
                </c:pt>
                <c:pt idx="5409">
                  <c:v>17.611111111111111</c:v>
                </c:pt>
                <c:pt idx="5410">
                  <c:v>16.611111111111111</c:v>
                </c:pt>
                <c:pt idx="5411">
                  <c:v>16.277777777777775</c:v>
                </c:pt>
                <c:pt idx="5412">
                  <c:v>16.222222222222225</c:v>
                </c:pt>
                <c:pt idx="5413">
                  <c:v>16.111111111111111</c:v>
                </c:pt>
                <c:pt idx="5414">
                  <c:v>16.388888888888889</c:v>
                </c:pt>
                <c:pt idx="5415">
                  <c:v>16.388888888888889</c:v>
                </c:pt>
                <c:pt idx="5416">
                  <c:v>16.777777777777779</c:v>
                </c:pt>
                <c:pt idx="5417">
                  <c:v>17.611111111111111</c:v>
                </c:pt>
                <c:pt idx="5418">
                  <c:v>18.388888888888886</c:v>
                </c:pt>
                <c:pt idx="5419">
                  <c:v>18.777777777777775</c:v>
                </c:pt>
                <c:pt idx="5420">
                  <c:v>18.499999999999996</c:v>
                </c:pt>
                <c:pt idx="5421">
                  <c:v>17.5</c:v>
                </c:pt>
                <c:pt idx="5422">
                  <c:v>16.888888888888889</c:v>
                </c:pt>
                <c:pt idx="5423">
                  <c:v>16.388888888888889</c:v>
                </c:pt>
                <c:pt idx="5424">
                  <c:v>15.999999999999998</c:v>
                </c:pt>
                <c:pt idx="5425">
                  <c:v>15.611111111111111</c:v>
                </c:pt>
                <c:pt idx="5426">
                  <c:v>15.999999999999998</c:v>
                </c:pt>
                <c:pt idx="5427">
                  <c:v>15.72222222222222</c:v>
                </c:pt>
                <c:pt idx="5428">
                  <c:v>16.388888888888889</c:v>
                </c:pt>
                <c:pt idx="5429">
                  <c:v>17.277777777777779</c:v>
                </c:pt>
                <c:pt idx="5430">
                  <c:v>18.111111111111107</c:v>
                </c:pt>
                <c:pt idx="5431">
                  <c:v>18.722222222222225</c:v>
                </c:pt>
                <c:pt idx="5432">
                  <c:v>19</c:v>
                </c:pt>
                <c:pt idx="5433">
                  <c:v>19</c:v>
                </c:pt>
                <c:pt idx="5434">
                  <c:v>18.000000000000004</c:v>
                </c:pt>
                <c:pt idx="5435">
                  <c:v>17.388888888888886</c:v>
                </c:pt>
                <c:pt idx="5436">
                  <c:v>17</c:v>
                </c:pt>
                <c:pt idx="5437">
                  <c:v>15.72222222222222</c:v>
                </c:pt>
                <c:pt idx="5438">
                  <c:v>14.777777777777779</c:v>
                </c:pt>
                <c:pt idx="5439">
                  <c:v>15.888888888888889</c:v>
                </c:pt>
                <c:pt idx="5440">
                  <c:v>16.222222222222225</c:v>
                </c:pt>
                <c:pt idx="5441">
                  <c:v>17.277777777777779</c:v>
                </c:pt>
                <c:pt idx="5442">
                  <c:v>18.277777777777782</c:v>
                </c:pt>
                <c:pt idx="5443">
                  <c:v>19</c:v>
                </c:pt>
                <c:pt idx="5444">
                  <c:v>19.388888888888893</c:v>
                </c:pt>
                <c:pt idx="5445">
                  <c:v>19.111111111111114</c:v>
                </c:pt>
                <c:pt idx="5446">
                  <c:v>18.111111111111107</c:v>
                </c:pt>
                <c:pt idx="5447">
                  <c:v>16.722222222222221</c:v>
                </c:pt>
                <c:pt idx="5448">
                  <c:v>15.388888888888889</c:v>
                </c:pt>
                <c:pt idx="5449">
                  <c:v>14.5</c:v>
                </c:pt>
                <c:pt idx="5450">
                  <c:v>14.388888888888888</c:v>
                </c:pt>
                <c:pt idx="5451">
                  <c:v>14.888888888888888</c:v>
                </c:pt>
                <c:pt idx="5452">
                  <c:v>14.5</c:v>
                </c:pt>
                <c:pt idx="5453">
                  <c:v>15.499999999999998</c:v>
                </c:pt>
                <c:pt idx="5454">
                  <c:v>17</c:v>
                </c:pt>
                <c:pt idx="5455">
                  <c:v>18.222222222222221</c:v>
                </c:pt>
                <c:pt idx="5456">
                  <c:v>18.888888888888889</c:v>
                </c:pt>
                <c:pt idx="5457">
                  <c:v>19.277777777777779</c:v>
                </c:pt>
                <c:pt idx="5458">
                  <c:v>19.222222222222218</c:v>
                </c:pt>
                <c:pt idx="5459">
                  <c:v>18.111111111111107</c:v>
                </c:pt>
                <c:pt idx="5460">
                  <c:v>17</c:v>
                </c:pt>
                <c:pt idx="5461">
                  <c:v>16.277777777777775</c:v>
                </c:pt>
                <c:pt idx="5462">
                  <c:v>15.777777777777777</c:v>
                </c:pt>
                <c:pt idx="5463">
                  <c:v>15.111111111111112</c:v>
                </c:pt>
                <c:pt idx="5464">
                  <c:v>15.777777777777777</c:v>
                </c:pt>
                <c:pt idx="5465">
                  <c:v>15.999999999999998</c:v>
                </c:pt>
                <c:pt idx="5466">
                  <c:v>16.888888888888889</c:v>
                </c:pt>
                <c:pt idx="5467">
                  <c:v>18.000000000000004</c:v>
                </c:pt>
                <c:pt idx="5468">
                  <c:v>18.888888888888889</c:v>
                </c:pt>
                <c:pt idx="5469">
                  <c:v>19.277777777777779</c:v>
                </c:pt>
                <c:pt idx="5470">
                  <c:v>18.777777777777775</c:v>
                </c:pt>
                <c:pt idx="5471">
                  <c:v>17.777777777777779</c:v>
                </c:pt>
                <c:pt idx="5472">
                  <c:v>16.722222222222221</c:v>
                </c:pt>
                <c:pt idx="5473">
                  <c:v>16.388888888888889</c:v>
                </c:pt>
                <c:pt idx="5474">
                  <c:v>15.999999999999998</c:v>
                </c:pt>
                <c:pt idx="5475">
                  <c:v>15.611111111111111</c:v>
                </c:pt>
                <c:pt idx="5476">
                  <c:v>16.277777777777775</c:v>
                </c:pt>
                <c:pt idx="5477">
                  <c:v>15.72222222222222</c:v>
                </c:pt>
                <c:pt idx="5478">
                  <c:v>16.5</c:v>
                </c:pt>
                <c:pt idx="5479">
                  <c:v>17.5</c:v>
                </c:pt>
                <c:pt idx="5480">
                  <c:v>18.277777777777782</c:v>
                </c:pt>
                <c:pt idx="5481">
                  <c:v>19</c:v>
                </c:pt>
                <c:pt idx="5482">
                  <c:v>19.388888888888893</c:v>
                </c:pt>
                <c:pt idx="5483">
                  <c:v>19.222222222222218</c:v>
                </c:pt>
                <c:pt idx="5484">
                  <c:v>18.277777777777782</c:v>
                </c:pt>
                <c:pt idx="5485">
                  <c:v>17.5</c:v>
                </c:pt>
                <c:pt idx="5486">
                  <c:v>16.722222222222221</c:v>
                </c:pt>
                <c:pt idx="5487">
                  <c:v>15.999999999999998</c:v>
                </c:pt>
                <c:pt idx="5488">
                  <c:v>15.111111111111112</c:v>
                </c:pt>
                <c:pt idx="5489">
                  <c:v>15.888888888888889</c:v>
                </c:pt>
                <c:pt idx="5490">
                  <c:v>16.388888888888889</c:v>
                </c:pt>
                <c:pt idx="5491">
                  <c:v>17.222222222222221</c:v>
                </c:pt>
                <c:pt idx="5492">
                  <c:v>18.388888888888886</c:v>
                </c:pt>
                <c:pt idx="5493">
                  <c:v>19.277777777777779</c:v>
                </c:pt>
                <c:pt idx="5494">
                  <c:v>19.722222222222221</c:v>
                </c:pt>
                <c:pt idx="5495">
                  <c:v>19.111111111111114</c:v>
                </c:pt>
                <c:pt idx="5496">
                  <c:v>17.888888888888889</c:v>
                </c:pt>
                <c:pt idx="5497">
                  <c:v>17.111111111111111</c:v>
                </c:pt>
                <c:pt idx="5498">
                  <c:v>16.277777777777775</c:v>
                </c:pt>
                <c:pt idx="5499">
                  <c:v>15.72222222222222</c:v>
                </c:pt>
                <c:pt idx="5500">
                  <c:v>15</c:v>
                </c:pt>
                <c:pt idx="5501">
                  <c:v>15.499999999999998</c:v>
                </c:pt>
                <c:pt idx="5502">
                  <c:v>15.777777777777777</c:v>
                </c:pt>
                <c:pt idx="5503">
                  <c:v>16.5</c:v>
                </c:pt>
                <c:pt idx="5504">
                  <c:v>17.888888888888889</c:v>
                </c:pt>
                <c:pt idx="5505">
                  <c:v>18.777777777777775</c:v>
                </c:pt>
                <c:pt idx="5506">
                  <c:v>19.388888888888893</c:v>
                </c:pt>
                <c:pt idx="5507">
                  <c:v>19.722222222222221</c:v>
                </c:pt>
                <c:pt idx="5508">
                  <c:v>19.388888888888893</c:v>
                </c:pt>
                <c:pt idx="5509">
                  <c:v>18.277777777777782</c:v>
                </c:pt>
                <c:pt idx="5510">
                  <c:v>17.222222222222221</c:v>
                </c:pt>
                <c:pt idx="5511">
                  <c:v>16.222222222222225</c:v>
                </c:pt>
                <c:pt idx="5512">
                  <c:v>15.777777777777777</c:v>
                </c:pt>
                <c:pt idx="5513">
                  <c:v>15</c:v>
                </c:pt>
                <c:pt idx="5514">
                  <c:v>15.72222222222222</c:v>
                </c:pt>
                <c:pt idx="5515">
                  <c:v>16.277777777777775</c:v>
                </c:pt>
                <c:pt idx="5516">
                  <c:v>17.5</c:v>
                </c:pt>
                <c:pt idx="5517">
                  <c:v>18.888888888888889</c:v>
                </c:pt>
                <c:pt idx="5518">
                  <c:v>19.722222222222221</c:v>
                </c:pt>
                <c:pt idx="5519">
                  <c:v>20</c:v>
                </c:pt>
                <c:pt idx="5520">
                  <c:v>19.277777777777779</c:v>
                </c:pt>
                <c:pt idx="5521">
                  <c:v>17.222222222222221</c:v>
                </c:pt>
                <c:pt idx="5522">
                  <c:v>16.888888888888889</c:v>
                </c:pt>
                <c:pt idx="5523">
                  <c:v>16.277777777777775</c:v>
                </c:pt>
                <c:pt idx="5524">
                  <c:v>15.888888888888889</c:v>
                </c:pt>
                <c:pt idx="5525">
                  <c:v>15.388888888888889</c:v>
                </c:pt>
                <c:pt idx="5526">
                  <c:v>15.611111111111111</c:v>
                </c:pt>
                <c:pt idx="5527">
                  <c:v>15.999999999999998</c:v>
                </c:pt>
                <c:pt idx="5528">
                  <c:v>16.888888888888889</c:v>
                </c:pt>
                <c:pt idx="5529">
                  <c:v>18.222222222222221</c:v>
                </c:pt>
                <c:pt idx="5530">
                  <c:v>19.111111111111114</c:v>
                </c:pt>
                <c:pt idx="5531">
                  <c:v>19.611111111111111</c:v>
                </c:pt>
                <c:pt idx="5532">
                  <c:v>19.888888888888886</c:v>
                </c:pt>
                <c:pt idx="5533">
                  <c:v>19.499999999999996</c:v>
                </c:pt>
                <c:pt idx="5534">
                  <c:v>17.722222222222221</c:v>
                </c:pt>
                <c:pt idx="5535">
                  <c:v>17</c:v>
                </c:pt>
                <c:pt idx="5536">
                  <c:v>16.277777777777775</c:v>
                </c:pt>
                <c:pt idx="5537">
                  <c:v>15.72222222222222</c:v>
                </c:pt>
                <c:pt idx="5538">
                  <c:v>16.111111111111111</c:v>
                </c:pt>
                <c:pt idx="5539">
                  <c:v>16.222222222222225</c:v>
                </c:pt>
                <c:pt idx="5540">
                  <c:v>16.722222222222221</c:v>
                </c:pt>
                <c:pt idx="5541">
                  <c:v>17.611111111111111</c:v>
                </c:pt>
                <c:pt idx="5542">
                  <c:v>18.722222222222225</c:v>
                </c:pt>
                <c:pt idx="5543">
                  <c:v>19.388888888888893</c:v>
                </c:pt>
                <c:pt idx="5544">
                  <c:v>19.499999999999996</c:v>
                </c:pt>
                <c:pt idx="5545">
                  <c:v>18.722222222222225</c:v>
                </c:pt>
                <c:pt idx="5546">
                  <c:v>17.611111111111111</c:v>
                </c:pt>
                <c:pt idx="5547">
                  <c:v>17.111111111111111</c:v>
                </c:pt>
                <c:pt idx="5548">
                  <c:v>16.611111111111111</c:v>
                </c:pt>
                <c:pt idx="5549">
                  <c:v>16.388888888888889</c:v>
                </c:pt>
                <c:pt idx="5550">
                  <c:v>16.277777777777775</c:v>
                </c:pt>
                <c:pt idx="5551">
                  <c:v>16.388888888888889</c:v>
                </c:pt>
                <c:pt idx="5552">
                  <c:v>16.722222222222221</c:v>
                </c:pt>
                <c:pt idx="5553">
                  <c:v>17.5</c:v>
                </c:pt>
                <c:pt idx="5554">
                  <c:v>18.499999999999996</c:v>
                </c:pt>
                <c:pt idx="5555">
                  <c:v>19</c:v>
                </c:pt>
                <c:pt idx="5556">
                  <c:v>19.499999999999996</c:v>
                </c:pt>
                <c:pt idx="5557">
                  <c:v>19.611111111111111</c:v>
                </c:pt>
                <c:pt idx="5558">
                  <c:v>18.722222222222225</c:v>
                </c:pt>
                <c:pt idx="5559">
                  <c:v>18.000000000000004</c:v>
                </c:pt>
                <c:pt idx="5560">
                  <c:v>17.388888888888886</c:v>
                </c:pt>
                <c:pt idx="5561">
                  <c:v>16.777777777777779</c:v>
                </c:pt>
                <c:pt idx="5562">
                  <c:v>16.277777777777775</c:v>
                </c:pt>
                <c:pt idx="5563">
                  <c:v>16.722222222222221</c:v>
                </c:pt>
                <c:pt idx="5564">
                  <c:v>16.777777777777779</c:v>
                </c:pt>
                <c:pt idx="5565">
                  <c:v>17.5</c:v>
                </c:pt>
                <c:pt idx="5566">
                  <c:v>18.388888888888886</c:v>
                </c:pt>
                <c:pt idx="5567">
                  <c:v>19.222222222222218</c:v>
                </c:pt>
                <c:pt idx="5568">
                  <c:v>19.499999999999996</c:v>
                </c:pt>
                <c:pt idx="5569">
                  <c:v>19.388888888888893</c:v>
                </c:pt>
                <c:pt idx="5570">
                  <c:v>18.388888888888886</c:v>
                </c:pt>
                <c:pt idx="5571">
                  <c:v>17.777777777777779</c:v>
                </c:pt>
                <c:pt idx="5572">
                  <c:v>17.611111111111111</c:v>
                </c:pt>
                <c:pt idx="5573">
                  <c:v>17.5</c:v>
                </c:pt>
                <c:pt idx="5574">
                  <c:v>17.277777777777779</c:v>
                </c:pt>
                <c:pt idx="5575">
                  <c:v>17.388888888888886</c:v>
                </c:pt>
                <c:pt idx="5576">
                  <c:v>17.277777777777779</c:v>
                </c:pt>
                <c:pt idx="5577">
                  <c:v>17.722222222222221</c:v>
                </c:pt>
                <c:pt idx="5578">
                  <c:v>18.388888888888886</c:v>
                </c:pt>
                <c:pt idx="5579">
                  <c:v>18.888888888888889</c:v>
                </c:pt>
                <c:pt idx="5580">
                  <c:v>19.277777777777779</c:v>
                </c:pt>
                <c:pt idx="5581">
                  <c:v>19.611111111111111</c:v>
                </c:pt>
                <c:pt idx="5582">
                  <c:v>19.277777777777779</c:v>
                </c:pt>
                <c:pt idx="5583">
                  <c:v>18.499999999999996</c:v>
                </c:pt>
                <c:pt idx="5584">
                  <c:v>18.277777777777782</c:v>
                </c:pt>
                <c:pt idx="5585">
                  <c:v>17.888888888888889</c:v>
                </c:pt>
                <c:pt idx="5586">
                  <c:v>17.277777777777779</c:v>
                </c:pt>
                <c:pt idx="5587">
                  <c:v>16.888888888888889</c:v>
                </c:pt>
                <c:pt idx="5588">
                  <c:v>17.111111111111111</c:v>
                </c:pt>
                <c:pt idx="5589">
                  <c:v>17.777777777777779</c:v>
                </c:pt>
                <c:pt idx="5590">
                  <c:v>18.388888888888886</c:v>
                </c:pt>
                <c:pt idx="5591">
                  <c:v>19.111111111111114</c:v>
                </c:pt>
                <c:pt idx="5592">
                  <c:v>19.499999999999996</c:v>
                </c:pt>
                <c:pt idx="5593">
                  <c:v>19.722222222222221</c:v>
                </c:pt>
                <c:pt idx="5594">
                  <c:v>19.222222222222218</c:v>
                </c:pt>
                <c:pt idx="5595">
                  <c:v>18.499999999999996</c:v>
                </c:pt>
                <c:pt idx="5596">
                  <c:v>18.222222222222221</c:v>
                </c:pt>
                <c:pt idx="5597">
                  <c:v>18.277777777777782</c:v>
                </c:pt>
                <c:pt idx="5598">
                  <c:v>17.888888888888889</c:v>
                </c:pt>
                <c:pt idx="5599">
                  <c:v>17.611111111111111</c:v>
                </c:pt>
                <c:pt idx="5600">
                  <c:v>17.611111111111111</c:v>
                </c:pt>
                <c:pt idx="5601">
                  <c:v>17.888888888888889</c:v>
                </c:pt>
                <c:pt idx="5602">
                  <c:v>18.388888888888886</c:v>
                </c:pt>
                <c:pt idx="5603">
                  <c:v>18.888888888888889</c:v>
                </c:pt>
                <c:pt idx="5604">
                  <c:v>19.277777777777779</c:v>
                </c:pt>
                <c:pt idx="5605">
                  <c:v>19.611111111111111</c:v>
                </c:pt>
                <c:pt idx="5606">
                  <c:v>19.722222222222221</c:v>
                </c:pt>
                <c:pt idx="5607">
                  <c:v>19</c:v>
                </c:pt>
                <c:pt idx="5608">
                  <c:v>18.722222222222225</c:v>
                </c:pt>
                <c:pt idx="5609">
                  <c:v>18.611111111111111</c:v>
                </c:pt>
                <c:pt idx="5610">
                  <c:v>18.611111111111111</c:v>
                </c:pt>
                <c:pt idx="5611">
                  <c:v>18.000000000000004</c:v>
                </c:pt>
                <c:pt idx="5612">
                  <c:v>18.499999999999996</c:v>
                </c:pt>
                <c:pt idx="5613">
                  <c:v>18.222222222222221</c:v>
                </c:pt>
                <c:pt idx="5614">
                  <c:v>18.722222222222225</c:v>
                </c:pt>
                <c:pt idx="5615">
                  <c:v>19.222222222222218</c:v>
                </c:pt>
                <c:pt idx="5616">
                  <c:v>19.499999999999996</c:v>
                </c:pt>
                <c:pt idx="5617">
                  <c:v>19.777777777777775</c:v>
                </c:pt>
                <c:pt idx="5618">
                  <c:v>19.888888888888886</c:v>
                </c:pt>
                <c:pt idx="5619">
                  <c:v>19.499999999999996</c:v>
                </c:pt>
                <c:pt idx="5620">
                  <c:v>19</c:v>
                </c:pt>
                <c:pt idx="5621">
                  <c:v>18.777777777777775</c:v>
                </c:pt>
                <c:pt idx="5622">
                  <c:v>18.277777777777782</c:v>
                </c:pt>
                <c:pt idx="5623">
                  <c:v>18.111111111111107</c:v>
                </c:pt>
                <c:pt idx="5624">
                  <c:v>18.388888888888886</c:v>
                </c:pt>
                <c:pt idx="5625">
                  <c:v>18.111111111111107</c:v>
                </c:pt>
                <c:pt idx="5626">
                  <c:v>18.499999999999996</c:v>
                </c:pt>
                <c:pt idx="5627">
                  <c:v>19</c:v>
                </c:pt>
                <c:pt idx="5628">
                  <c:v>19.388888888888893</c:v>
                </c:pt>
                <c:pt idx="5629">
                  <c:v>19.722222222222221</c:v>
                </c:pt>
                <c:pt idx="5630">
                  <c:v>19.888888888888886</c:v>
                </c:pt>
                <c:pt idx="5631">
                  <c:v>19.777777777777775</c:v>
                </c:pt>
                <c:pt idx="5632">
                  <c:v>19.277777777777779</c:v>
                </c:pt>
                <c:pt idx="5633">
                  <c:v>18.277777777777782</c:v>
                </c:pt>
                <c:pt idx="5634">
                  <c:v>17.388888888888886</c:v>
                </c:pt>
                <c:pt idx="5635">
                  <c:v>16.722222222222221</c:v>
                </c:pt>
                <c:pt idx="5636">
                  <c:v>16.5</c:v>
                </c:pt>
                <c:pt idx="5637">
                  <c:v>16.722222222222221</c:v>
                </c:pt>
                <c:pt idx="5638">
                  <c:v>17.388888888888886</c:v>
                </c:pt>
                <c:pt idx="5639">
                  <c:v>18.277777777777782</c:v>
                </c:pt>
                <c:pt idx="5640">
                  <c:v>19.222222222222218</c:v>
                </c:pt>
                <c:pt idx="5641">
                  <c:v>19.722222222222221</c:v>
                </c:pt>
                <c:pt idx="5642">
                  <c:v>19.888888888888886</c:v>
                </c:pt>
                <c:pt idx="5643">
                  <c:v>19.722222222222221</c:v>
                </c:pt>
                <c:pt idx="5644">
                  <c:v>19</c:v>
                </c:pt>
                <c:pt idx="5645">
                  <c:v>17</c:v>
                </c:pt>
                <c:pt idx="5646">
                  <c:v>16.388888888888889</c:v>
                </c:pt>
                <c:pt idx="5647">
                  <c:v>15.277777777777777</c:v>
                </c:pt>
                <c:pt idx="5648">
                  <c:v>14.888888888888888</c:v>
                </c:pt>
                <c:pt idx="5649">
                  <c:v>15.222222222222221</c:v>
                </c:pt>
                <c:pt idx="5650">
                  <c:v>15.499999999999998</c:v>
                </c:pt>
                <c:pt idx="5651">
                  <c:v>16.388888888888889</c:v>
                </c:pt>
                <c:pt idx="5652">
                  <c:v>18.000000000000004</c:v>
                </c:pt>
                <c:pt idx="5653">
                  <c:v>18.888888888888889</c:v>
                </c:pt>
                <c:pt idx="5654">
                  <c:v>19.277777777777779</c:v>
                </c:pt>
                <c:pt idx="5655">
                  <c:v>19.499999999999996</c:v>
                </c:pt>
                <c:pt idx="5656">
                  <c:v>19</c:v>
                </c:pt>
                <c:pt idx="5657">
                  <c:v>17.277777777777779</c:v>
                </c:pt>
                <c:pt idx="5658">
                  <c:v>16.388888888888889</c:v>
                </c:pt>
                <c:pt idx="5659">
                  <c:v>15.111111111111112</c:v>
                </c:pt>
                <c:pt idx="5660">
                  <c:v>14.388888888888888</c:v>
                </c:pt>
                <c:pt idx="5661">
                  <c:v>15.999999999999998</c:v>
                </c:pt>
                <c:pt idx="5662">
                  <c:v>14.888888888888888</c:v>
                </c:pt>
                <c:pt idx="5663">
                  <c:v>15.777777777777777</c:v>
                </c:pt>
                <c:pt idx="5664">
                  <c:v>17.277777777777779</c:v>
                </c:pt>
                <c:pt idx="5665">
                  <c:v>18.499999999999996</c:v>
                </c:pt>
                <c:pt idx="5666">
                  <c:v>19.111111111111114</c:v>
                </c:pt>
                <c:pt idx="5667">
                  <c:v>19.388888888888893</c:v>
                </c:pt>
                <c:pt idx="5668">
                  <c:v>18.888888888888889</c:v>
                </c:pt>
                <c:pt idx="5669">
                  <c:v>17.111111111111111</c:v>
                </c:pt>
                <c:pt idx="5670">
                  <c:v>16.111111111111111</c:v>
                </c:pt>
                <c:pt idx="5671">
                  <c:v>14.722222222222221</c:v>
                </c:pt>
                <c:pt idx="5672">
                  <c:v>14.222222222222223</c:v>
                </c:pt>
                <c:pt idx="5673">
                  <c:v>13.722222222222223</c:v>
                </c:pt>
                <c:pt idx="5674">
                  <c:v>14.277777777777779</c:v>
                </c:pt>
                <c:pt idx="5675">
                  <c:v>14.888888888888888</c:v>
                </c:pt>
                <c:pt idx="5676">
                  <c:v>16.222222222222225</c:v>
                </c:pt>
                <c:pt idx="5677">
                  <c:v>17.777777777777779</c:v>
                </c:pt>
                <c:pt idx="5678">
                  <c:v>18.611111111111111</c:v>
                </c:pt>
                <c:pt idx="5679">
                  <c:v>19</c:v>
                </c:pt>
                <c:pt idx="5680">
                  <c:v>18.388888888888886</c:v>
                </c:pt>
                <c:pt idx="5681">
                  <c:v>17</c:v>
                </c:pt>
                <c:pt idx="5682">
                  <c:v>15.499999999999998</c:v>
                </c:pt>
                <c:pt idx="5683">
                  <c:v>14.888888888888888</c:v>
                </c:pt>
                <c:pt idx="5684">
                  <c:v>14.000000000000002</c:v>
                </c:pt>
                <c:pt idx="5685">
                  <c:v>13.722222222222223</c:v>
                </c:pt>
                <c:pt idx="5686">
                  <c:v>14.222222222222223</c:v>
                </c:pt>
                <c:pt idx="5687">
                  <c:v>14.5</c:v>
                </c:pt>
                <c:pt idx="5688">
                  <c:v>15.388888888888889</c:v>
                </c:pt>
                <c:pt idx="5689">
                  <c:v>17.111111111111111</c:v>
                </c:pt>
                <c:pt idx="5690">
                  <c:v>18.222222222222221</c:v>
                </c:pt>
                <c:pt idx="5691">
                  <c:v>18.722222222222225</c:v>
                </c:pt>
                <c:pt idx="5692">
                  <c:v>18.777777777777775</c:v>
                </c:pt>
                <c:pt idx="5693">
                  <c:v>18.222222222222221</c:v>
                </c:pt>
                <c:pt idx="5694">
                  <c:v>16.111111111111111</c:v>
                </c:pt>
                <c:pt idx="5695">
                  <c:v>15.388888888888889</c:v>
                </c:pt>
                <c:pt idx="5696">
                  <c:v>14.611111111111109</c:v>
                </c:pt>
                <c:pt idx="5697">
                  <c:v>14.000000000000002</c:v>
                </c:pt>
                <c:pt idx="5698">
                  <c:v>14.277777777777779</c:v>
                </c:pt>
                <c:pt idx="5699">
                  <c:v>14.277777777777779</c:v>
                </c:pt>
                <c:pt idx="5700">
                  <c:v>15.277777777777777</c:v>
                </c:pt>
                <c:pt idx="5701">
                  <c:v>16.5</c:v>
                </c:pt>
                <c:pt idx="5702">
                  <c:v>17.722222222222221</c:v>
                </c:pt>
                <c:pt idx="5703">
                  <c:v>18.277777777777782</c:v>
                </c:pt>
                <c:pt idx="5704">
                  <c:v>18.611111111111111</c:v>
                </c:pt>
                <c:pt idx="5705">
                  <c:v>18.000000000000004</c:v>
                </c:pt>
                <c:pt idx="5706">
                  <c:v>16.111111111111111</c:v>
                </c:pt>
                <c:pt idx="5707">
                  <c:v>15.499999999999998</c:v>
                </c:pt>
                <c:pt idx="5708">
                  <c:v>14.888888888888888</c:v>
                </c:pt>
                <c:pt idx="5709">
                  <c:v>14.888888888888888</c:v>
                </c:pt>
                <c:pt idx="5710">
                  <c:v>15</c:v>
                </c:pt>
                <c:pt idx="5711">
                  <c:v>15.111111111111112</c:v>
                </c:pt>
                <c:pt idx="5712">
                  <c:v>15.388888888888889</c:v>
                </c:pt>
                <c:pt idx="5713">
                  <c:v>16.222222222222225</c:v>
                </c:pt>
                <c:pt idx="5714">
                  <c:v>17.388888888888886</c:v>
                </c:pt>
                <c:pt idx="5715">
                  <c:v>18.111111111111107</c:v>
                </c:pt>
                <c:pt idx="5716">
                  <c:v>18.499999999999996</c:v>
                </c:pt>
                <c:pt idx="5717">
                  <c:v>18.499999999999996</c:v>
                </c:pt>
                <c:pt idx="5718">
                  <c:v>17.388888888888886</c:v>
                </c:pt>
                <c:pt idx="5719">
                  <c:v>16.611111111111111</c:v>
                </c:pt>
                <c:pt idx="5720">
                  <c:v>15.777777777777777</c:v>
                </c:pt>
                <c:pt idx="5721">
                  <c:v>15</c:v>
                </c:pt>
                <c:pt idx="5722">
                  <c:v>14.388888888888888</c:v>
                </c:pt>
                <c:pt idx="5723">
                  <c:v>14.611111111111109</c:v>
                </c:pt>
                <c:pt idx="5724">
                  <c:v>14.888888888888888</c:v>
                </c:pt>
                <c:pt idx="5725">
                  <c:v>15.777777777777777</c:v>
                </c:pt>
                <c:pt idx="5726">
                  <c:v>16.888888888888889</c:v>
                </c:pt>
                <c:pt idx="5727">
                  <c:v>17.888888888888889</c:v>
                </c:pt>
                <c:pt idx="5728">
                  <c:v>18.388888888888886</c:v>
                </c:pt>
                <c:pt idx="5729">
                  <c:v>18.277777777777782</c:v>
                </c:pt>
                <c:pt idx="5730">
                  <c:v>17.388888888888886</c:v>
                </c:pt>
                <c:pt idx="5731">
                  <c:v>16.277777777777775</c:v>
                </c:pt>
                <c:pt idx="5732">
                  <c:v>15.888888888888889</c:v>
                </c:pt>
                <c:pt idx="5733">
                  <c:v>15.999999999999998</c:v>
                </c:pt>
                <c:pt idx="5734">
                  <c:v>16.111111111111111</c:v>
                </c:pt>
                <c:pt idx="5735">
                  <c:v>16.222222222222225</c:v>
                </c:pt>
                <c:pt idx="5736">
                  <c:v>16.277777777777775</c:v>
                </c:pt>
                <c:pt idx="5737">
                  <c:v>16.388888888888889</c:v>
                </c:pt>
                <c:pt idx="5738">
                  <c:v>16.888888888888889</c:v>
                </c:pt>
                <c:pt idx="5739">
                  <c:v>17.722222222222221</c:v>
                </c:pt>
                <c:pt idx="5740">
                  <c:v>18.277777777777782</c:v>
                </c:pt>
                <c:pt idx="5741">
                  <c:v>18.611111111111111</c:v>
                </c:pt>
                <c:pt idx="5742">
                  <c:v>18.388888888888886</c:v>
                </c:pt>
                <c:pt idx="5743">
                  <c:v>17.722222222222221</c:v>
                </c:pt>
                <c:pt idx="5744">
                  <c:v>17.111111111111111</c:v>
                </c:pt>
                <c:pt idx="5745">
                  <c:v>16.777777777777779</c:v>
                </c:pt>
                <c:pt idx="5746">
                  <c:v>16.222222222222225</c:v>
                </c:pt>
                <c:pt idx="5747">
                  <c:v>15.888888888888889</c:v>
                </c:pt>
                <c:pt idx="5748">
                  <c:v>15.999999999999998</c:v>
                </c:pt>
                <c:pt idx="5749">
                  <c:v>16.388888888888889</c:v>
                </c:pt>
                <c:pt idx="5750">
                  <c:v>16.888888888888889</c:v>
                </c:pt>
                <c:pt idx="5751">
                  <c:v>17.722222222222221</c:v>
                </c:pt>
                <c:pt idx="5752">
                  <c:v>18.277777777777782</c:v>
                </c:pt>
                <c:pt idx="5753">
                  <c:v>18.777777777777775</c:v>
                </c:pt>
                <c:pt idx="5754">
                  <c:v>18.388888888888886</c:v>
                </c:pt>
                <c:pt idx="5755">
                  <c:v>17.5</c:v>
                </c:pt>
                <c:pt idx="5756">
                  <c:v>17</c:v>
                </c:pt>
                <c:pt idx="5757">
                  <c:v>16.5</c:v>
                </c:pt>
                <c:pt idx="5758">
                  <c:v>16.5</c:v>
                </c:pt>
                <c:pt idx="5759">
                  <c:v>16.277777777777775</c:v>
                </c:pt>
                <c:pt idx="5760">
                  <c:v>16.5</c:v>
                </c:pt>
                <c:pt idx="5761">
                  <c:v>16.388888888888889</c:v>
                </c:pt>
                <c:pt idx="5762">
                  <c:v>16.777777777777779</c:v>
                </c:pt>
                <c:pt idx="5763">
                  <c:v>17.388888888888886</c:v>
                </c:pt>
                <c:pt idx="5764">
                  <c:v>18.222222222222221</c:v>
                </c:pt>
                <c:pt idx="5765">
                  <c:v>18.722222222222225</c:v>
                </c:pt>
                <c:pt idx="5766">
                  <c:v>18.888888888888889</c:v>
                </c:pt>
                <c:pt idx="5767">
                  <c:v>18.777777777777775</c:v>
                </c:pt>
                <c:pt idx="5768">
                  <c:v>18.111111111111107</c:v>
                </c:pt>
                <c:pt idx="5769">
                  <c:v>17.611111111111111</c:v>
                </c:pt>
                <c:pt idx="5770">
                  <c:v>17.111111111111111</c:v>
                </c:pt>
                <c:pt idx="5771">
                  <c:v>16.388888888888889</c:v>
                </c:pt>
                <c:pt idx="5772">
                  <c:v>16.111111111111111</c:v>
                </c:pt>
                <c:pt idx="5773">
                  <c:v>16.388888888888889</c:v>
                </c:pt>
                <c:pt idx="5774">
                  <c:v>16.611111111111111</c:v>
                </c:pt>
                <c:pt idx="5775">
                  <c:v>17.222222222222221</c:v>
                </c:pt>
                <c:pt idx="5776">
                  <c:v>17.888888888888889</c:v>
                </c:pt>
                <c:pt idx="5777">
                  <c:v>18.388888888888886</c:v>
                </c:pt>
                <c:pt idx="5778">
                  <c:v>18.722222222222225</c:v>
                </c:pt>
                <c:pt idx="5779">
                  <c:v>18.499999999999996</c:v>
                </c:pt>
                <c:pt idx="5780">
                  <c:v>17.5</c:v>
                </c:pt>
                <c:pt idx="5781">
                  <c:v>17.111111111111111</c:v>
                </c:pt>
                <c:pt idx="5782">
                  <c:v>15.999999999999998</c:v>
                </c:pt>
                <c:pt idx="5783">
                  <c:v>15.499999999999998</c:v>
                </c:pt>
                <c:pt idx="5784">
                  <c:v>15</c:v>
                </c:pt>
                <c:pt idx="5785">
                  <c:v>15.277777777777777</c:v>
                </c:pt>
                <c:pt idx="5786">
                  <c:v>15.277777777777777</c:v>
                </c:pt>
                <c:pt idx="5787">
                  <c:v>16.111111111111111</c:v>
                </c:pt>
                <c:pt idx="5788">
                  <c:v>17.222222222222221</c:v>
                </c:pt>
                <c:pt idx="5789">
                  <c:v>18.000000000000004</c:v>
                </c:pt>
                <c:pt idx="5790">
                  <c:v>18.611111111111111</c:v>
                </c:pt>
                <c:pt idx="5791">
                  <c:v>18.777777777777775</c:v>
                </c:pt>
                <c:pt idx="5792">
                  <c:v>18.722222222222225</c:v>
                </c:pt>
                <c:pt idx="5793">
                  <c:v>17.722222222222221</c:v>
                </c:pt>
                <c:pt idx="5794">
                  <c:v>15.777777777777777</c:v>
                </c:pt>
                <c:pt idx="5795">
                  <c:v>14.722222222222221</c:v>
                </c:pt>
                <c:pt idx="5796">
                  <c:v>13.611111111111111</c:v>
                </c:pt>
                <c:pt idx="5797">
                  <c:v>12.777777777777777</c:v>
                </c:pt>
                <c:pt idx="5798">
                  <c:v>13.888888888888889</c:v>
                </c:pt>
                <c:pt idx="5799">
                  <c:v>14.5</c:v>
                </c:pt>
                <c:pt idx="5800">
                  <c:v>15.777777777777777</c:v>
                </c:pt>
                <c:pt idx="5801">
                  <c:v>17.388888888888886</c:v>
                </c:pt>
                <c:pt idx="5802">
                  <c:v>18.388888888888886</c:v>
                </c:pt>
                <c:pt idx="5803">
                  <c:v>18.777777777777775</c:v>
                </c:pt>
                <c:pt idx="5804">
                  <c:v>18.222222222222221</c:v>
                </c:pt>
                <c:pt idx="5805">
                  <c:v>16.722222222222221</c:v>
                </c:pt>
                <c:pt idx="5806">
                  <c:v>15.222222222222221</c:v>
                </c:pt>
                <c:pt idx="5807">
                  <c:v>14.5</c:v>
                </c:pt>
                <c:pt idx="5808">
                  <c:v>13.499999999999998</c:v>
                </c:pt>
                <c:pt idx="5809">
                  <c:v>13.388888888888889</c:v>
                </c:pt>
                <c:pt idx="5810">
                  <c:v>13.388888888888889</c:v>
                </c:pt>
                <c:pt idx="5811">
                  <c:v>13.611111111111111</c:v>
                </c:pt>
                <c:pt idx="5812">
                  <c:v>14.722222222222221</c:v>
                </c:pt>
                <c:pt idx="5813">
                  <c:v>16.277777777777775</c:v>
                </c:pt>
                <c:pt idx="5814">
                  <c:v>17.5</c:v>
                </c:pt>
                <c:pt idx="5815">
                  <c:v>18.277777777777782</c:v>
                </c:pt>
                <c:pt idx="5816">
                  <c:v>18.722222222222225</c:v>
                </c:pt>
                <c:pt idx="5817">
                  <c:v>18.499999999999996</c:v>
                </c:pt>
                <c:pt idx="5818">
                  <c:v>17.277777777777779</c:v>
                </c:pt>
                <c:pt idx="5819">
                  <c:v>15.72222222222222</c:v>
                </c:pt>
                <c:pt idx="5820">
                  <c:v>14.777777777777779</c:v>
                </c:pt>
                <c:pt idx="5821">
                  <c:v>14.222222222222223</c:v>
                </c:pt>
                <c:pt idx="5822">
                  <c:v>13.499999999999998</c:v>
                </c:pt>
                <c:pt idx="5823">
                  <c:v>13.888888888888889</c:v>
                </c:pt>
                <c:pt idx="5824">
                  <c:v>14.388888888888888</c:v>
                </c:pt>
                <c:pt idx="5825">
                  <c:v>15.499999999999998</c:v>
                </c:pt>
                <c:pt idx="5826">
                  <c:v>17</c:v>
                </c:pt>
                <c:pt idx="5827">
                  <c:v>18.222222222222221</c:v>
                </c:pt>
                <c:pt idx="5828">
                  <c:v>18.611111111111111</c:v>
                </c:pt>
                <c:pt idx="5829">
                  <c:v>18.222222222222221</c:v>
                </c:pt>
                <c:pt idx="5830">
                  <c:v>16.777777777777779</c:v>
                </c:pt>
                <c:pt idx="5831">
                  <c:v>15.72222222222222</c:v>
                </c:pt>
                <c:pt idx="5832">
                  <c:v>15.222222222222221</c:v>
                </c:pt>
                <c:pt idx="5833">
                  <c:v>15</c:v>
                </c:pt>
                <c:pt idx="5834">
                  <c:v>14.888888888888888</c:v>
                </c:pt>
                <c:pt idx="5835">
                  <c:v>14.888888888888888</c:v>
                </c:pt>
                <c:pt idx="5836">
                  <c:v>14.888888888888888</c:v>
                </c:pt>
                <c:pt idx="5837">
                  <c:v>15.499999999999998</c:v>
                </c:pt>
                <c:pt idx="5838">
                  <c:v>16.5</c:v>
                </c:pt>
                <c:pt idx="5839">
                  <c:v>17.277777777777779</c:v>
                </c:pt>
                <c:pt idx="5840">
                  <c:v>18.111111111111107</c:v>
                </c:pt>
                <c:pt idx="5841">
                  <c:v>18.499999999999996</c:v>
                </c:pt>
                <c:pt idx="5842">
                  <c:v>18.499999999999996</c:v>
                </c:pt>
                <c:pt idx="5843">
                  <c:v>17.222222222222221</c:v>
                </c:pt>
                <c:pt idx="5844">
                  <c:v>16.277777777777775</c:v>
                </c:pt>
                <c:pt idx="5845">
                  <c:v>15.277777777777777</c:v>
                </c:pt>
                <c:pt idx="5846">
                  <c:v>14.5</c:v>
                </c:pt>
                <c:pt idx="5847">
                  <c:v>14.277777777777779</c:v>
                </c:pt>
                <c:pt idx="5848">
                  <c:v>14.222222222222223</c:v>
                </c:pt>
                <c:pt idx="5849">
                  <c:v>14.777777777777779</c:v>
                </c:pt>
                <c:pt idx="5850">
                  <c:v>15.777777777777777</c:v>
                </c:pt>
                <c:pt idx="5851">
                  <c:v>17.222222222222221</c:v>
                </c:pt>
                <c:pt idx="5852">
                  <c:v>18.222222222222221</c:v>
                </c:pt>
                <c:pt idx="5853">
                  <c:v>18.611111111111111</c:v>
                </c:pt>
                <c:pt idx="5854">
                  <c:v>18.499999999999996</c:v>
                </c:pt>
                <c:pt idx="5855">
                  <c:v>16.888888888888889</c:v>
                </c:pt>
                <c:pt idx="5856">
                  <c:v>16.222222222222225</c:v>
                </c:pt>
                <c:pt idx="5857">
                  <c:v>15.277777777777777</c:v>
                </c:pt>
                <c:pt idx="5858">
                  <c:v>14.888888888888888</c:v>
                </c:pt>
                <c:pt idx="5859">
                  <c:v>14.777777777777779</c:v>
                </c:pt>
                <c:pt idx="5860">
                  <c:v>14.777777777777779</c:v>
                </c:pt>
                <c:pt idx="5861">
                  <c:v>15</c:v>
                </c:pt>
                <c:pt idx="5862">
                  <c:v>15.72222222222222</c:v>
                </c:pt>
                <c:pt idx="5863">
                  <c:v>16.611111111111111</c:v>
                </c:pt>
                <c:pt idx="5864">
                  <c:v>17.611111111111111</c:v>
                </c:pt>
                <c:pt idx="5865">
                  <c:v>18.277777777777782</c:v>
                </c:pt>
                <c:pt idx="5866">
                  <c:v>18.722222222222225</c:v>
                </c:pt>
                <c:pt idx="5867">
                  <c:v>18.777777777777775</c:v>
                </c:pt>
                <c:pt idx="5868">
                  <c:v>17.388888888888886</c:v>
                </c:pt>
                <c:pt idx="5869">
                  <c:v>16.777777777777779</c:v>
                </c:pt>
                <c:pt idx="5870">
                  <c:v>15.999999999999998</c:v>
                </c:pt>
                <c:pt idx="5871">
                  <c:v>15.611111111111111</c:v>
                </c:pt>
                <c:pt idx="5872">
                  <c:v>15.499999999999998</c:v>
                </c:pt>
                <c:pt idx="5873">
                  <c:v>15.72222222222222</c:v>
                </c:pt>
                <c:pt idx="5874">
                  <c:v>15.999999999999998</c:v>
                </c:pt>
                <c:pt idx="5875">
                  <c:v>16.611111111111111</c:v>
                </c:pt>
                <c:pt idx="5876">
                  <c:v>17.777777777777779</c:v>
                </c:pt>
                <c:pt idx="5877">
                  <c:v>18.499999999999996</c:v>
                </c:pt>
                <c:pt idx="5878">
                  <c:v>18.888888888888889</c:v>
                </c:pt>
                <c:pt idx="5879">
                  <c:v>18.777777777777775</c:v>
                </c:pt>
                <c:pt idx="5880">
                  <c:v>17.5</c:v>
                </c:pt>
                <c:pt idx="5881">
                  <c:v>16.611111111111111</c:v>
                </c:pt>
                <c:pt idx="5882">
                  <c:v>16.277777777777775</c:v>
                </c:pt>
                <c:pt idx="5883">
                  <c:v>15.888888888888889</c:v>
                </c:pt>
                <c:pt idx="5884">
                  <c:v>15.388888888888889</c:v>
                </c:pt>
                <c:pt idx="5885">
                  <c:v>15.999999999999998</c:v>
                </c:pt>
                <c:pt idx="5886">
                  <c:v>15.777777777777777</c:v>
                </c:pt>
                <c:pt idx="5887">
                  <c:v>16.5</c:v>
                </c:pt>
                <c:pt idx="5888">
                  <c:v>17.277777777777779</c:v>
                </c:pt>
                <c:pt idx="5889">
                  <c:v>17.888888888888889</c:v>
                </c:pt>
                <c:pt idx="5890">
                  <c:v>18.611111111111111</c:v>
                </c:pt>
                <c:pt idx="5891">
                  <c:v>19</c:v>
                </c:pt>
                <c:pt idx="5892">
                  <c:v>19</c:v>
                </c:pt>
                <c:pt idx="5893">
                  <c:v>17.777777777777779</c:v>
                </c:pt>
                <c:pt idx="5894">
                  <c:v>17.222222222222221</c:v>
                </c:pt>
                <c:pt idx="5895">
                  <c:v>16.777777777777779</c:v>
                </c:pt>
                <c:pt idx="5896">
                  <c:v>16.277777777777775</c:v>
                </c:pt>
                <c:pt idx="5897">
                  <c:v>16.222222222222225</c:v>
                </c:pt>
                <c:pt idx="5898">
                  <c:v>16.388888888888889</c:v>
                </c:pt>
                <c:pt idx="5899">
                  <c:v>16.611111111111111</c:v>
                </c:pt>
                <c:pt idx="5900">
                  <c:v>17.277777777777779</c:v>
                </c:pt>
                <c:pt idx="5901">
                  <c:v>18.222222222222221</c:v>
                </c:pt>
                <c:pt idx="5902">
                  <c:v>18.777777777777775</c:v>
                </c:pt>
                <c:pt idx="5903">
                  <c:v>19.111111111111114</c:v>
                </c:pt>
                <c:pt idx="5904">
                  <c:v>19.222222222222218</c:v>
                </c:pt>
                <c:pt idx="5905">
                  <c:v>18.277777777777782</c:v>
                </c:pt>
                <c:pt idx="5906">
                  <c:v>17.611111111111111</c:v>
                </c:pt>
                <c:pt idx="5907">
                  <c:v>16.777777777777779</c:v>
                </c:pt>
                <c:pt idx="5908">
                  <c:v>16.277777777777775</c:v>
                </c:pt>
                <c:pt idx="5909">
                  <c:v>15.888888888888889</c:v>
                </c:pt>
                <c:pt idx="5910">
                  <c:v>16.388888888888889</c:v>
                </c:pt>
                <c:pt idx="5911">
                  <c:v>16.388888888888889</c:v>
                </c:pt>
                <c:pt idx="5912">
                  <c:v>17.111111111111111</c:v>
                </c:pt>
                <c:pt idx="5913">
                  <c:v>17.888888888888889</c:v>
                </c:pt>
                <c:pt idx="5914">
                  <c:v>18.499999999999996</c:v>
                </c:pt>
                <c:pt idx="5915">
                  <c:v>18.888888888888889</c:v>
                </c:pt>
                <c:pt idx="5916">
                  <c:v>19.222222222222218</c:v>
                </c:pt>
                <c:pt idx="5917">
                  <c:v>19.111111111111114</c:v>
                </c:pt>
                <c:pt idx="5918">
                  <c:v>18.111111111111107</c:v>
                </c:pt>
                <c:pt idx="5919">
                  <c:v>17.111111111111111</c:v>
                </c:pt>
                <c:pt idx="5920">
                  <c:v>15.499999999999998</c:v>
                </c:pt>
                <c:pt idx="5921">
                  <c:v>14.888888888888888</c:v>
                </c:pt>
                <c:pt idx="5922">
                  <c:v>15</c:v>
                </c:pt>
                <c:pt idx="5923">
                  <c:v>15.277777777777777</c:v>
                </c:pt>
                <c:pt idx="5924">
                  <c:v>15.777777777777777</c:v>
                </c:pt>
                <c:pt idx="5925">
                  <c:v>17.111111111111111</c:v>
                </c:pt>
                <c:pt idx="5926">
                  <c:v>18.222222222222221</c:v>
                </c:pt>
                <c:pt idx="5927">
                  <c:v>18.888888888888889</c:v>
                </c:pt>
                <c:pt idx="5928">
                  <c:v>19.277777777777779</c:v>
                </c:pt>
                <c:pt idx="5929">
                  <c:v>19.222222222222218</c:v>
                </c:pt>
                <c:pt idx="5930">
                  <c:v>17.888888888888889</c:v>
                </c:pt>
                <c:pt idx="5931">
                  <c:v>17.388888888888886</c:v>
                </c:pt>
                <c:pt idx="5932">
                  <c:v>17</c:v>
                </c:pt>
                <c:pt idx="5933">
                  <c:v>16.611111111111111</c:v>
                </c:pt>
                <c:pt idx="5934">
                  <c:v>16.611111111111111</c:v>
                </c:pt>
                <c:pt idx="5935">
                  <c:v>16.888888888888889</c:v>
                </c:pt>
                <c:pt idx="5936">
                  <c:v>16.888888888888889</c:v>
                </c:pt>
                <c:pt idx="5937">
                  <c:v>17.222222222222221</c:v>
                </c:pt>
                <c:pt idx="5938">
                  <c:v>17.722222222222221</c:v>
                </c:pt>
                <c:pt idx="5939">
                  <c:v>18.222222222222221</c:v>
                </c:pt>
                <c:pt idx="5940">
                  <c:v>18.611111111111111</c:v>
                </c:pt>
                <c:pt idx="5941">
                  <c:v>18.888888888888889</c:v>
                </c:pt>
                <c:pt idx="5942">
                  <c:v>18.722222222222225</c:v>
                </c:pt>
                <c:pt idx="5943">
                  <c:v>17.888888888888889</c:v>
                </c:pt>
                <c:pt idx="5944">
                  <c:v>17.388888888888886</c:v>
                </c:pt>
                <c:pt idx="5945">
                  <c:v>17.388888888888886</c:v>
                </c:pt>
                <c:pt idx="5946">
                  <c:v>17.388888888888886</c:v>
                </c:pt>
                <c:pt idx="5947">
                  <c:v>17.611111111111111</c:v>
                </c:pt>
                <c:pt idx="5948">
                  <c:v>17.777777777777779</c:v>
                </c:pt>
                <c:pt idx="5949">
                  <c:v>17.777777777777779</c:v>
                </c:pt>
                <c:pt idx="5950">
                  <c:v>18.277777777777782</c:v>
                </c:pt>
                <c:pt idx="5951">
                  <c:v>18.611111111111111</c:v>
                </c:pt>
                <c:pt idx="5952">
                  <c:v>19</c:v>
                </c:pt>
                <c:pt idx="5953">
                  <c:v>19.277777777777779</c:v>
                </c:pt>
                <c:pt idx="5954">
                  <c:v>19.222222222222218</c:v>
                </c:pt>
                <c:pt idx="5955">
                  <c:v>18.722222222222225</c:v>
                </c:pt>
                <c:pt idx="5956">
                  <c:v>18.111111111111107</c:v>
                </c:pt>
                <c:pt idx="5957">
                  <c:v>17.5</c:v>
                </c:pt>
                <c:pt idx="5958">
                  <c:v>17.111111111111111</c:v>
                </c:pt>
                <c:pt idx="5959">
                  <c:v>17.111111111111111</c:v>
                </c:pt>
                <c:pt idx="5960">
                  <c:v>17.277777777777779</c:v>
                </c:pt>
                <c:pt idx="5961">
                  <c:v>17.388888888888886</c:v>
                </c:pt>
                <c:pt idx="5962">
                  <c:v>17.722222222222221</c:v>
                </c:pt>
                <c:pt idx="5963">
                  <c:v>18.222222222222221</c:v>
                </c:pt>
                <c:pt idx="5964">
                  <c:v>18.611111111111111</c:v>
                </c:pt>
                <c:pt idx="5965">
                  <c:v>18.888888888888889</c:v>
                </c:pt>
                <c:pt idx="5966">
                  <c:v>19.222222222222218</c:v>
                </c:pt>
                <c:pt idx="5967">
                  <c:v>18.777777777777775</c:v>
                </c:pt>
                <c:pt idx="5968">
                  <c:v>18.111111111111107</c:v>
                </c:pt>
                <c:pt idx="5969">
                  <c:v>17</c:v>
                </c:pt>
                <c:pt idx="5970">
                  <c:v>16.277777777777775</c:v>
                </c:pt>
                <c:pt idx="5971">
                  <c:v>16.222222222222225</c:v>
                </c:pt>
                <c:pt idx="5972">
                  <c:v>16.388888888888889</c:v>
                </c:pt>
                <c:pt idx="5973">
                  <c:v>16.611111111111111</c:v>
                </c:pt>
                <c:pt idx="5974">
                  <c:v>17</c:v>
                </c:pt>
                <c:pt idx="5975">
                  <c:v>17.888888888888889</c:v>
                </c:pt>
                <c:pt idx="5976">
                  <c:v>18.499999999999996</c:v>
                </c:pt>
                <c:pt idx="5977">
                  <c:v>19</c:v>
                </c:pt>
                <c:pt idx="5978">
                  <c:v>19.277777777777779</c:v>
                </c:pt>
                <c:pt idx="5979">
                  <c:v>19.222222222222218</c:v>
                </c:pt>
                <c:pt idx="5980">
                  <c:v>18.277777777777782</c:v>
                </c:pt>
                <c:pt idx="5981">
                  <c:v>17.722222222222221</c:v>
                </c:pt>
                <c:pt idx="5982">
                  <c:v>16.5</c:v>
                </c:pt>
                <c:pt idx="5983">
                  <c:v>15.999999999999998</c:v>
                </c:pt>
                <c:pt idx="5984">
                  <c:v>15.888888888888889</c:v>
                </c:pt>
                <c:pt idx="5985">
                  <c:v>16.111111111111111</c:v>
                </c:pt>
                <c:pt idx="5986">
                  <c:v>16.388888888888889</c:v>
                </c:pt>
                <c:pt idx="5987">
                  <c:v>17.111111111111111</c:v>
                </c:pt>
                <c:pt idx="5988">
                  <c:v>18.000000000000004</c:v>
                </c:pt>
                <c:pt idx="5989">
                  <c:v>18.499999999999996</c:v>
                </c:pt>
                <c:pt idx="5990">
                  <c:v>18.888888888888889</c:v>
                </c:pt>
                <c:pt idx="5991">
                  <c:v>19.111111111111114</c:v>
                </c:pt>
                <c:pt idx="5992">
                  <c:v>18.222222222222221</c:v>
                </c:pt>
                <c:pt idx="5993">
                  <c:v>17.111111111111111</c:v>
                </c:pt>
                <c:pt idx="5994">
                  <c:v>15.611111111111111</c:v>
                </c:pt>
                <c:pt idx="5995">
                  <c:v>15</c:v>
                </c:pt>
                <c:pt idx="5996">
                  <c:v>14.888888888888888</c:v>
                </c:pt>
                <c:pt idx="5997">
                  <c:v>15.72222222222222</c:v>
                </c:pt>
                <c:pt idx="5998">
                  <c:v>15.388888888888889</c:v>
                </c:pt>
                <c:pt idx="5999">
                  <c:v>16.222222222222225</c:v>
                </c:pt>
                <c:pt idx="6000">
                  <c:v>17.388888888888886</c:v>
                </c:pt>
                <c:pt idx="6001">
                  <c:v>18.222222222222221</c:v>
                </c:pt>
                <c:pt idx="6002">
                  <c:v>18.888888888888889</c:v>
                </c:pt>
                <c:pt idx="6003">
                  <c:v>19.222222222222218</c:v>
                </c:pt>
                <c:pt idx="6004">
                  <c:v>19</c:v>
                </c:pt>
                <c:pt idx="6005">
                  <c:v>17.777777777777779</c:v>
                </c:pt>
                <c:pt idx="6006">
                  <c:v>16.888888888888889</c:v>
                </c:pt>
                <c:pt idx="6007">
                  <c:v>15.777777777777777</c:v>
                </c:pt>
                <c:pt idx="6008">
                  <c:v>15.277777777777777</c:v>
                </c:pt>
                <c:pt idx="6009">
                  <c:v>15.222222222222221</c:v>
                </c:pt>
                <c:pt idx="6010">
                  <c:v>15.222222222222221</c:v>
                </c:pt>
                <c:pt idx="6011">
                  <c:v>15.888888888888889</c:v>
                </c:pt>
                <c:pt idx="6012">
                  <c:v>16.777777777777779</c:v>
                </c:pt>
                <c:pt idx="6013">
                  <c:v>17.722222222222221</c:v>
                </c:pt>
                <c:pt idx="6014">
                  <c:v>18.388888888888886</c:v>
                </c:pt>
                <c:pt idx="6015">
                  <c:v>18.777777777777775</c:v>
                </c:pt>
                <c:pt idx="6016">
                  <c:v>18.777777777777775</c:v>
                </c:pt>
                <c:pt idx="6017">
                  <c:v>17.5</c:v>
                </c:pt>
                <c:pt idx="6018">
                  <c:v>16.5</c:v>
                </c:pt>
                <c:pt idx="6019">
                  <c:v>15.72222222222222</c:v>
                </c:pt>
                <c:pt idx="6020">
                  <c:v>15.222222222222221</c:v>
                </c:pt>
                <c:pt idx="6021">
                  <c:v>15.222222222222221</c:v>
                </c:pt>
                <c:pt idx="6022">
                  <c:v>15.777777777777777</c:v>
                </c:pt>
                <c:pt idx="6023">
                  <c:v>15.72222222222222</c:v>
                </c:pt>
                <c:pt idx="6024">
                  <c:v>19.277777777777779</c:v>
                </c:pt>
                <c:pt idx="6025">
                  <c:v>19.222222222222218</c:v>
                </c:pt>
                <c:pt idx="6026">
                  <c:v>17.888888888888889</c:v>
                </c:pt>
                <c:pt idx="6027">
                  <c:v>17.388888888888886</c:v>
                </c:pt>
                <c:pt idx="6028">
                  <c:v>17</c:v>
                </c:pt>
                <c:pt idx="6029">
                  <c:v>16.611111111111111</c:v>
                </c:pt>
                <c:pt idx="6030">
                  <c:v>16.611111111111111</c:v>
                </c:pt>
                <c:pt idx="6031">
                  <c:v>16.888888888888889</c:v>
                </c:pt>
                <c:pt idx="6032">
                  <c:v>16.888888888888889</c:v>
                </c:pt>
                <c:pt idx="6033">
                  <c:v>17.222222222222221</c:v>
                </c:pt>
                <c:pt idx="6034">
                  <c:v>17.722222222222221</c:v>
                </c:pt>
                <c:pt idx="6035">
                  <c:v>18.222222222222221</c:v>
                </c:pt>
                <c:pt idx="6036">
                  <c:v>18.611111111111111</c:v>
                </c:pt>
                <c:pt idx="6037">
                  <c:v>18.888888888888889</c:v>
                </c:pt>
                <c:pt idx="6038">
                  <c:v>18.722222222222225</c:v>
                </c:pt>
                <c:pt idx="6039">
                  <c:v>17.888888888888889</c:v>
                </c:pt>
                <c:pt idx="6040">
                  <c:v>17.388888888888886</c:v>
                </c:pt>
                <c:pt idx="6041">
                  <c:v>17.388888888888886</c:v>
                </c:pt>
                <c:pt idx="6042">
                  <c:v>17.388888888888886</c:v>
                </c:pt>
                <c:pt idx="6043">
                  <c:v>17.611111111111111</c:v>
                </c:pt>
                <c:pt idx="6044">
                  <c:v>17.777777777777779</c:v>
                </c:pt>
                <c:pt idx="6045">
                  <c:v>17.777777777777779</c:v>
                </c:pt>
                <c:pt idx="6046">
                  <c:v>18.277777777777782</c:v>
                </c:pt>
                <c:pt idx="6047">
                  <c:v>18.611111111111111</c:v>
                </c:pt>
                <c:pt idx="6048">
                  <c:v>19</c:v>
                </c:pt>
                <c:pt idx="6049">
                  <c:v>19.277777777777779</c:v>
                </c:pt>
                <c:pt idx="6050">
                  <c:v>19.222222222222218</c:v>
                </c:pt>
                <c:pt idx="6051">
                  <c:v>18.722222222222225</c:v>
                </c:pt>
                <c:pt idx="6052">
                  <c:v>18.111111111111107</c:v>
                </c:pt>
                <c:pt idx="6053">
                  <c:v>17.5</c:v>
                </c:pt>
                <c:pt idx="6054">
                  <c:v>17.111111111111111</c:v>
                </c:pt>
                <c:pt idx="6055">
                  <c:v>17.111111111111111</c:v>
                </c:pt>
                <c:pt idx="6056">
                  <c:v>17.277777777777779</c:v>
                </c:pt>
                <c:pt idx="6057">
                  <c:v>17.388888888888886</c:v>
                </c:pt>
                <c:pt idx="6058">
                  <c:v>17.722222222222221</c:v>
                </c:pt>
                <c:pt idx="6059">
                  <c:v>18.222222222222221</c:v>
                </c:pt>
                <c:pt idx="6060">
                  <c:v>18.611111111111111</c:v>
                </c:pt>
                <c:pt idx="6061">
                  <c:v>18.888888888888889</c:v>
                </c:pt>
                <c:pt idx="6062">
                  <c:v>19.222222222222218</c:v>
                </c:pt>
                <c:pt idx="6063">
                  <c:v>18.777777777777775</c:v>
                </c:pt>
                <c:pt idx="6064">
                  <c:v>18.111111111111107</c:v>
                </c:pt>
                <c:pt idx="6065">
                  <c:v>17</c:v>
                </c:pt>
                <c:pt idx="6066">
                  <c:v>16.277777777777775</c:v>
                </c:pt>
                <c:pt idx="6067">
                  <c:v>16.222222222222225</c:v>
                </c:pt>
                <c:pt idx="6068">
                  <c:v>16.388888888888889</c:v>
                </c:pt>
                <c:pt idx="6069">
                  <c:v>16.611111111111111</c:v>
                </c:pt>
                <c:pt idx="6070">
                  <c:v>17</c:v>
                </c:pt>
                <c:pt idx="6071">
                  <c:v>17.888888888888889</c:v>
                </c:pt>
                <c:pt idx="6072">
                  <c:v>18.499999999999996</c:v>
                </c:pt>
                <c:pt idx="6073">
                  <c:v>19</c:v>
                </c:pt>
                <c:pt idx="6074">
                  <c:v>19.277777777777779</c:v>
                </c:pt>
                <c:pt idx="6075">
                  <c:v>19.222222222222218</c:v>
                </c:pt>
                <c:pt idx="6076">
                  <c:v>18.277777777777782</c:v>
                </c:pt>
                <c:pt idx="6077">
                  <c:v>17.722222222222221</c:v>
                </c:pt>
                <c:pt idx="6078">
                  <c:v>16.5</c:v>
                </c:pt>
                <c:pt idx="6079">
                  <c:v>15.999999999999998</c:v>
                </c:pt>
                <c:pt idx="6080">
                  <c:v>15.888888888888889</c:v>
                </c:pt>
                <c:pt idx="6081">
                  <c:v>16.111111111111111</c:v>
                </c:pt>
                <c:pt idx="6082">
                  <c:v>16.388888888888889</c:v>
                </c:pt>
                <c:pt idx="6083">
                  <c:v>17.111111111111111</c:v>
                </c:pt>
                <c:pt idx="6084">
                  <c:v>18.000000000000004</c:v>
                </c:pt>
                <c:pt idx="6085">
                  <c:v>18.499999999999996</c:v>
                </c:pt>
                <c:pt idx="6086">
                  <c:v>18.888888888888889</c:v>
                </c:pt>
                <c:pt idx="6087">
                  <c:v>19.111111111111114</c:v>
                </c:pt>
                <c:pt idx="6088">
                  <c:v>18.222222222222221</c:v>
                </c:pt>
                <c:pt idx="6089">
                  <c:v>17.111111111111111</c:v>
                </c:pt>
                <c:pt idx="6090">
                  <c:v>15.611111111111111</c:v>
                </c:pt>
                <c:pt idx="6091">
                  <c:v>15</c:v>
                </c:pt>
                <c:pt idx="6092">
                  <c:v>14.888888888888888</c:v>
                </c:pt>
                <c:pt idx="6093">
                  <c:v>15.72222222222222</c:v>
                </c:pt>
                <c:pt idx="6094">
                  <c:v>15.388888888888889</c:v>
                </c:pt>
                <c:pt idx="6095">
                  <c:v>16.222222222222225</c:v>
                </c:pt>
                <c:pt idx="6096">
                  <c:v>17.388888888888886</c:v>
                </c:pt>
                <c:pt idx="6097">
                  <c:v>18.222222222222221</c:v>
                </c:pt>
                <c:pt idx="6098">
                  <c:v>18.888888888888889</c:v>
                </c:pt>
                <c:pt idx="6099">
                  <c:v>19.222222222222218</c:v>
                </c:pt>
                <c:pt idx="6100">
                  <c:v>19</c:v>
                </c:pt>
                <c:pt idx="6101">
                  <c:v>17.777777777777779</c:v>
                </c:pt>
                <c:pt idx="6102">
                  <c:v>16.888888888888889</c:v>
                </c:pt>
                <c:pt idx="6103">
                  <c:v>15.777777777777777</c:v>
                </c:pt>
                <c:pt idx="6104">
                  <c:v>15.277777777777777</c:v>
                </c:pt>
                <c:pt idx="6105">
                  <c:v>15.222222222222221</c:v>
                </c:pt>
                <c:pt idx="6106">
                  <c:v>15.222222222222221</c:v>
                </c:pt>
                <c:pt idx="6107">
                  <c:v>15.888888888888889</c:v>
                </c:pt>
                <c:pt idx="6108">
                  <c:v>16.777777777777779</c:v>
                </c:pt>
                <c:pt idx="6109">
                  <c:v>17.722222222222221</c:v>
                </c:pt>
                <c:pt idx="6110">
                  <c:v>18.388888888888886</c:v>
                </c:pt>
                <c:pt idx="6111">
                  <c:v>18.777777777777775</c:v>
                </c:pt>
                <c:pt idx="6112">
                  <c:v>18.777777777777775</c:v>
                </c:pt>
                <c:pt idx="6113">
                  <c:v>17.5</c:v>
                </c:pt>
                <c:pt idx="6114">
                  <c:v>16.5</c:v>
                </c:pt>
                <c:pt idx="6115">
                  <c:v>15.72222222222222</c:v>
                </c:pt>
                <c:pt idx="6116">
                  <c:v>15.222222222222221</c:v>
                </c:pt>
                <c:pt idx="6117">
                  <c:v>15.222222222222221</c:v>
                </c:pt>
                <c:pt idx="6118">
                  <c:v>15.777777777777777</c:v>
                </c:pt>
                <c:pt idx="6119">
                  <c:v>15.72222222222222</c:v>
                </c:pt>
                <c:pt idx="6120">
                  <c:v>16.388888888888889</c:v>
                </c:pt>
                <c:pt idx="6121">
                  <c:v>17.5</c:v>
                </c:pt>
                <c:pt idx="6122">
                  <c:v>18.277777777777782</c:v>
                </c:pt>
                <c:pt idx="6123">
                  <c:v>18.888888888888889</c:v>
                </c:pt>
                <c:pt idx="6124">
                  <c:v>19.222222222222218</c:v>
                </c:pt>
                <c:pt idx="6125">
                  <c:v>18.888888888888889</c:v>
                </c:pt>
                <c:pt idx="6126">
                  <c:v>17.611111111111111</c:v>
                </c:pt>
                <c:pt idx="6127">
                  <c:v>16.611111111111111</c:v>
                </c:pt>
                <c:pt idx="6128">
                  <c:v>15.499999999999998</c:v>
                </c:pt>
                <c:pt idx="6129">
                  <c:v>15.277777777777777</c:v>
                </c:pt>
                <c:pt idx="6130">
                  <c:v>15.222222222222221</c:v>
                </c:pt>
                <c:pt idx="6131">
                  <c:v>15.388888888888889</c:v>
                </c:pt>
                <c:pt idx="6132">
                  <c:v>15.888888888888889</c:v>
                </c:pt>
                <c:pt idx="6133">
                  <c:v>16.888888888888889</c:v>
                </c:pt>
                <c:pt idx="6134">
                  <c:v>17.888888888888889</c:v>
                </c:pt>
                <c:pt idx="6135">
                  <c:v>18.499999999999996</c:v>
                </c:pt>
                <c:pt idx="6136">
                  <c:v>19</c:v>
                </c:pt>
                <c:pt idx="6137">
                  <c:v>18.611111111111111</c:v>
                </c:pt>
                <c:pt idx="6138">
                  <c:v>17.222222222222221</c:v>
                </c:pt>
                <c:pt idx="6139">
                  <c:v>16.722222222222221</c:v>
                </c:pt>
                <c:pt idx="6140">
                  <c:v>16.388888888888889</c:v>
                </c:pt>
                <c:pt idx="6141">
                  <c:v>15.888888888888889</c:v>
                </c:pt>
                <c:pt idx="6142">
                  <c:v>15.999999999999998</c:v>
                </c:pt>
                <c:pt idx="6143">
                  <c:v>16.111111111111111</c:v>
                </c:pt>
                <c:pt idx="6144">
                  <c:v>16.5</c:v>
                </c:pt>
                <c:pt idx="6145">
                  <c:v>17.111111111111111</c:v>
                </c:pt>
                <c:pt idx="6146">
                  <c:v>17.888888888888889</c:v>
                </c:pt>
                <c:pt idx="6147">
                  <c:v>18.499999999999996</c:v>
                </c:pt>
                <c:pt idx="6148">
                  <c:v>19.111111111111114</c:v>
                </c:pt>
                <c:pt idx="6149">
                  <c:v>19.388888888888893</c:v>
                </c:pt>
                <c:pt idx="6150">
                  <c:v>19.111111111111114</c:v>
                </c:pt>
                <c:pt idx="6151">
                  <c:v>18.000000000000004</c:v>
                </c:pt>
                <c:pt idx="6152">
                  <c:v>17.5</c:v>
                </c:pt>
                <c:pt idx="6153">
                  <c:v>16.888888888888889</c:v>
                </c:pt>
                <c:pt idx="6154">
                  <c:v>16.722222222222221</c:v>
                </c:pt>
                <c:pt idx="6155">
                  <c:v>16.611111111111111</c:v>
                </c:pt>
                <c:pt idx="6156">
                  <c:v>16.611111111111111</c:v>
                </c:pt>
                <c:pt idx="6157">
                  <c:v>17.222222222222221</c:v>
                </c:pt>
                <c:pt idx="6158">
                  <c:v>17.888888888888889</c:v>
                </c:pt>
                <c:pt idx="6159">
                  <c:v>18.722222222222225</c:v>
                </c:pt>
                <c:pt idx="6160">
                  <c:v>19.111111111111114</c:v>
                </c:pt>
                <c:pt idx="6161">
                  <c:v>19.499999999999996</c:v>
                </c:pt>
                <c:pt idx="6162">
                  <c:v>19.111111111111114</c:v>
                </c:pt>
                <c:pt idx="6163">
                  <c:v>17.888888888888889</c:v>
                </c:pt>
                <c:pt idx="6164">
                  <c:v>17.777777777777779</c:v>
                </c:pt>
                <c:pt idx="6165">
                  <c:v>17.388888888888886</c:v>
                </c:pt>
                <c:pt idx="6166">
                  <c:v>17</c:v>
                </c:pt>
                <c:pt idx="6167">
                  <c:v>17.222222222222221</c:v>
                </c:pt>
                <c:pt idx="6168">
                  <c:v>17.388888888888886</c:v>
                </c:pt>
                <c:pt idx="6169">
                  <c:v>17.611111111111111</c:v>
                </c:pt>
                <c:pt idx="6170">
                  <c:v>18.111111111111107</c:v>
                </c:pt>
                <c:pt idx="6171">
                  <c:v>18.777777777777775</c:v>
                </c:pt>
                <c:pt idx="6172">
                  <c:v>19.277777777777779</c:v>
                </c:pt>
                <c:pt idx="6173">
                  <c:v>19.722222222222221</c:v>
                </c:pt>
                <c:pt idx="6174">
                  <c:v>19.777777777777775</c:v>
                </c:pt>
                <c:pt idx="6175">
                  <c:v>19.611111111111111</c:v>
                </c:pt>
                <c:pt idx="6176">
                  <c:v>18.777777777777775</c:v>
                </c:pt>
                <c:pt idx="6177">
                  <c:v>18.222222222222221</c:v>
                </c:pt>
                <c:pt idx="6178">
                  <c:v>17.611111111111111</c:v>
                </c:pt>
                <c:pt idx="6179">
                  <c:v>17</c:v>
                </c:pt>
                <c:pt idx="6180">
                  <c:v>16.611111111111111</c:v>
                </c:pt>
                <c:pt idx="6181">
                  <c:v>16.888888888888889</c:v>
                </c:pt>
                <c:pt idx="6182">
                  <c:v>17.722222222222221</c:v>
                </c:pt>
                <c:pt idx="6183">
                  <c:v>18.499999999999996</c:v>
                </c:pt>
                <c:pt idx="6184">
                  <c:v>19.277777777777779</c:v>
                </c:pt>
                <c:pt idx="6185">
                  <c:v>19.777777777777775</c:v>
                </c:pt>
                <c:pt idx="6186">
                  <c:v>20.111111111111111</c:v>
                </c:pt>
                <c:pt idx="6187">
                  <c:v>19.722222222222221</c:v>
                </c:pt>
                <c:pt idx="6188">
                  <c:v>18.499999999999996</c:v>
                </c:pt>
                <c:pt idx="6189">
                  <c:v>18.000000000000004</c:v>
                </c:pt>
                <c:pt idx="6190">
                  <c:v>17.722222222222221</c:v>
                </c:pt>
                <c:pt idx="6191">
                  <c:v>17.5</c:v>
                </c:pt>
                <c:pt idx="6192">
                  <c:v>17.277777777777779</c:v>
                </c:pt>
                <c:pt idx="6193">
                  <c:v>17.5</c:v>
                </c:pt>
                <c:pt idx="6194">
                  <c:v>18.000000000000004</c:v>
                </c:pt>
                <c:pt idx="6195">
                  <c:v>18.499999999999996</c:v>
                </c:pt>
                <c:pt idx="6196">
                  <c:v>19.277777777777779</c:v>
                </c:pt>
                <c:pt idx="6197">
                  <c:v>19.777777777777775</c:v>
                </c:pt>
                <c:pt idx="6198">
                  <c:v>20.277777777777779</c:v>
                </c:pt>
                <c:pt idx="6199">
                  <c:v>20.388888888888889</c:v>
                </c:pt>
                <c:pt idx="6200">
                  <c:v>20.222222222222225</c:v>
                </c:pt>
                <c:pt idx="6201">
                  <c:v>19.388888888888893</c:v>
                </c:pt>
                <c:pt idx="6202">
                  <c:v>18.611111111111111</c:v>
                </c:pt>
                <c:pt idx="6203">
                  <c:v>18.000000000000004</c:v>
                </c:pt>
                <c:pt idx="6204">
                  <c:v>17.5</c:v>
                </c:pt>
                <c:pt idx="6205">
                  <c:v>17.111111111111111</c:v>
                </c:pt>
                <c:pt idx="6206">
                  <c:v>17.277777777777779</c:v>
                </c:pt>
                <c:pt idx="6207">
                  <c:v>18.111111111111107</c:v>
                </c:pt>
                <c:pt idx="6208">
                  <c:v>18.888888888888889</c:v>
                </c:pt>
                <c:pt idx="6209">
                  <c:v>19.777777777777775</c:v>
                </c:pt>
                <c:pt idx="6210">
                  <c:v>20.277777777777779</c:v>
                </c:pt>
                <c:pt idx="6211">
                  <c:v>20.500000000000004</c:v>
                </c:pt>
                <c:pt idx="6212">
                  <c:v>20</c:v>
                </c:pt>
                <c:pt idx="6213">
                  <c:v>19</c:v>
                </c:pt>
                <c:pt idx="6214">
                  <c:v>18.611111111111111</c:v>
                </c:pt>
                <c:pt idx="6215">
                  <c:v>17.888888888888889</c:v>
                </c:pt>
                <c:pt idx="6216">
                  <c:v>17.5</c:v>
                </c:pt>
                <c:pt idx="6217">
                  <c:v>16.777777777777779</c:v>
                </c:pt>
                <c:pt idx="6218">
                  <c:v>17.222222222222221</c:v>
                </c:pt>
                <c:pt idx="6219">
                  <c:v>17.888888888888889</c:v>
                </c:pt>
                <c:pt idx="6220">
                  <c:v>18.611111111111111</c:v>
                </c:pt>
                <c:pt idx="6221">
                  <c:v>19.499999999999996</c:v>
                </c:pt>
                <c:pt idx="6222">
                  <c:v>20.111111111111111</c:v>
                </c:pt>
                <c:pt idx="6223">
                  <c:v>20.500000000000004</c:v>
                </c:pt>
                <c:pt idx="6224">
                  <c:v>20.722222222222221</c:v>
                </c:pt>
                <c:pt idx="6225">
                  <c:v>20.388888888888889</c:v>
                </c:pt>
                <c:pt idx="6226">
                  <c:v>19.499999999999996</c:v>
                </c:pt>
                <c:pt idx="6227">
                  <c:v>18.777777777777775</c:v>
                </c:pt>
                <c:pt idx="6228">
                  <c:v>17.5</c:v>
                </c:pt>
                <c:pt idx="6229">
                  <c:v>16.722222222222221</c:v>
                </c:pt>
                <c:pt idx="6230">
                  <c:v>16.5</c:v>
                </c:pt>
                <c:pt idx="6231">
                  <c:v>16.777777777777779</c:v>
                </c:pt>
                <c:pt idx="6232">
                  <c:v>17.722222222222221</c:v>
                </c:pt>
                <c:pt idx="6233">
                  <c:v>18.722222222222225</c:v>
                </c:pt>
                <c:pt idx="6234">
                  <c:v>19.777777777777775</c:v>
                </c:pt>
                <c:pt idx="6235">
                  <c:v>20.611111111111107</c:v>
                </c:pt>
                <c:pt idx="6236">
                  <c:v>20.777777777777782</c:v>
                </c:pt>
                <c:pt idx="6237">
                  <c:v>20.111111111111111</c:v>
                </c:pt>
                <c:pt idx="6238">
                  <c:v>18.722222222222225</c:v>
                </c:pt>
                <c:pt idx="6239">
                  <c:v>18.111111111111107</c:v>
                </c:pt>
                <c:pt idx="6240">
                  <c:v>16.888888888888889</c:v>
                </c:pt>
                <c:pt idx="6241">
                  <c:v>16.5</c:v>
                </c:pt>
                <c:pt idx="6242">
                  <c:v>15.888888888888889</c:v>
                </c:pt>
                <c:pt idx="6243">
                  <c:v>16.277777777777775</c:v>
                </c:pt>
                <c:pt idx="6244">
                  <c:v>16.777777777777779</c:v>
                </c:pt>
                <c:pt idx="6245">
                  <c:v>17.777777777777779</c:v>
                </c:pt>
                <c:pt idx="6246">
                  <c:v>19</c:v>
                </c:pt>
                <c:pt idx="6247">
                  <c:v>19.888888888888886</c:v>
                </c:pt>
                <c:pt idx="6248">
                  <c:v>20.500000000000004</c:v>
                </c:pt>
                <c:pt idx="6249">
                  <c:v>20.777777777777782</c:v>
                </c:pt>
                <c:pt idx="6250">
                  <c:v>20.277777777777779</c:v>
                </c:pt>
                <c:pt idx="6251">
                  <c:v>18.888888888888889</c:v>
                </c:pt>
                <c:pt idx="6252">
                  <c:v>18.277777777777782</c:v>
                </c:pt>
                <c:pt idx="6253">
                  <c:v>17.222222222222221</c:v>
                </c:pt>
                <c:pt idx="6254">
                  <c:v>16.111111111111111</c:v>
                </c:pt>
                <c:pt idx="6255">
                  <c:v>15.611111111111111</c:v>
                </c:pt>
                <c:pt idx="6256">
                  <c:v>16.222222222222225</c:v>
                </c:pt>
                <c:pt idx="6257">
                  <c:v>17.111111111111111</c:v>
                </c:pt>
                <c:pt idx="6258">
                  <c:v>18.000000000000004</c:v>
                </c:pt>
                <c:pt idx="6259">
                  <c:v>19.277777777777779</c:v>
                </c:pt>
                <c:pt idx="6260">
                  <c:v>20.111111111111111</c:v>
                </c:pt>
                <c:pt idx="6261">
                  <c:v>20.388888888888889</c:v>
                </c:pt>
                <c:pt idx="6262">
                  <c:v>19.499999999999996</c:v>
                </c:pt>
                <c:pt idx="6263">
                  <c:v>18.277777777777782</c:v>
                </c:pt>
                <c:pt idx="6264">
                  <c:v>17.388888888888886</c:v>
                </c:pt>
                <c:pt idx="6265">
                  <c:v>17.277777777777779</c:v>
                </c:pt>
                <c:pt idx="6266">
                  <c:v>17.722222222222221</c:v>
                </c:pt>
                <c:pt idx="6267">
                  <c:v>17.777777777777779</c:v>
                </c:pt>
                <c:pt idx="6268">
                  <c:v>17.777777777777779</c:v>
                </c:pt>
                <c:pt idx="6269">
                  <c:v>17.777777777777779</c:v>
                </c:pt>
                <c:pt idx="6270">
                  <c:v>18.000000000000004</c:v>
                </c:pt>
                <c:pt idx="6271">
                  <c:v>18.777777777777775</c:v>
                </c:pt>
                <c:pt idx="6272">
                  <c:v>19.499999999999996</c:v>
                </c:pt>
                <c:pt idx="6273">
                  <c:v>20.111111111111111</c:v>
                </c:pt>
                <c:pt idx="6274">
                  <c:v>20.277777777777779</c:v>
                </c:pt>
                <c:pt idx="6275">
                  <c:v>19.888888888888886</c:v>
                </c:pt>
                <c:pt idx="6276">
                  <c:v>18.888888888888889</c:v>
                </c:pt>
                <c:pt idx="6277">
                  <c:v>18.499999999999996</c:v>
                </c:pt>
                <c:pt idx="6278">
                  <c:v>18.111111111111107</c:v>
                </c:pt>
                <c:pt idx="6279">
                  <c:v>17.777777777777779</c:v>
                </c:pt>
                <c:pt idx="6280">
                  <c:v>17.722222222222221</c:v>
                </c:pt>
                <c:pt idx="6281">
                  <c:v>17.777777777777779</c:v>
                </c:pt>
                <c:pt idx="6282">
                  <c:v>18.277777777777782</c:v>
                </c:pt>
                <c:pt idx="6283">
                  <c:v>18.777777777777775</c:v>
                </c:pt>
                <c:pt idx="6284">
                  <c:v>19.611111111111111</c:v>
                </c:pt>
                <c:pt idx="6285">
                  <c:v>20.111111111111111</c:v>
                </c:pt>
                <c:pt idx="6286">
                  <c:v>20.277777777777779</c:v>
                </c:pt>
                <c:pt idx="6287">
                  <c:v>19.888888888888886</c:v>
                </c:pt>
                <c:pt idx="6288">
                  <c:v>18.888888888888889</c:v>
                </c:pt>
                <c:pt idx="6289">
                  <c:v>18.499999999999996</c:v>
                </c:pt>
                <c:pt idx="6290">
                  <c:v>18.111111111111107</c:v>
                </c:pt>
                <c:pt idx="6291">
                  <c:v>17.777777777777779</c:v>
                </c:pt>
                <c:pt idx="6292">
                  <c:v>17.777777777777779</c:v>
                </c:pt>
                <c:pt idx="6293">
                  <c:v>17.777777777777779</c:v>
                </c:pt>
                <c:pt idx="6294">
                  <c:v>18.222222222222221</c:v>
                </c:pt>
                <c:pt idx="6295">
                  <c:v>18.777777777777775</c:v>
                </c:pt>
                <c:pt idx="6296">
                  <c:v>19.499999999999996</c:v>
                </c:pt>
                <c:pt idx="6297">
                  <c:v>20</c:v>
                </c:pt>
                <c:pt idx="6298">
                  <c:v>20.277777777777779</c:v>
                </c:pt>
                <c:pt idx="6299">
                  <c:v>20.500000000000004</c:v>
                </c:pt>
                <c:pt idx="6300">
                  <c:v>20.222222222222225</c:v>
                </c:pt>
                <c:pt idx="6301">
                  <c:v>19.222222222222218</c:v>
                </c:pt>
                <c:pt idx="6302">
                  <c:v>18.888888888888889</c:v>
                </c:pt>
                <c:pt idx="6303">
                  <c:v>18.777777777777775</c:v>
                </c:pt>
                <c:pt idx="6304">
                  <c:v>18.611111111111111</c:v>
                </c:pt>
                <c:pt idx="6305">
                  <c:v>18.499999999999996</c:v>
                </c:pt>
                <c:pt idx="6306">
                  <c:v>18.722222222222225</c:v>
                </c:pt>
                <c:pt idx="6307">
                  <c:v>19.111111111111114</c:v>
                </c:pt>
                <c:pt idx="6308">
                  <c:v>19.611111111111111</c:v>
                </c:pt>
                <c:pt idx="6309">
                  <c:v>20.277777777777779</c:v>
                </c:pt>
                <c:pt idx="6310">
                  <c:v>20.611111111111107</c:v>
                </c:pt>
                <c:pt idx="6311">
                  <c:v>20.722222222222221</c:v>
                </c:pt>
                <c:pt idx="6312">
                  <c:v>20.388888888888889</c:v>
                </c:pt>
                <c:pt idx="6313">
                  <c:v>19.611111111111111</c:v>
                </c:pt>
                <c:pt idx="6314">
                  <c:v>19.499999999999996</c:v>
                </c:pt>
                <c:pt idx="6315">
                  <c:v>19.611111111111111</c:v>
                </c:pt>
                <c:pt idx="6316">
                  <c:v>19.388888888888893</c:v>
                </c:pt>
                <c:pt idx="6317">
                  <c:v>19.277777777777779</c:v>
                </c:pt>
                <c:pt idx="6318">
                  <c:v>19.388888888888893</c:v>
                </c:pt>
                <c:pt idx="6319">
                  <c:v>19.499999999999996</c:v>
                </c:pt>
                <c:pt idx="6320">
                  <c:v>19.888888888888886</c:v>
                </c:pt>
                <c:pt idx="6321">
                  <c:v>20.277777777777779</c:v>
                </c:pt>
                <c:pt idx="6322">
                  <c:v>20.611111111111107</c:v>
                </c:pt>
                <c:pt idx="6323">
                  <c:v>20.777777777777782</c:v>
                </c:pt>
                <c:pt idx="6324">
                  <c:v>20.888888888888886</c:v>
                </c:pt>
                <c:pt idx="6325">
                  <c:v>20.277777777777779</c:v>
                </c:pt>
                <c:pt idx="6326">
                  <c:v>20</c:v>
                </c:pt>
                <c:pt idx="6327">
                  <c:v>19.888888888888886</c:v>
                </c:pt>
                <c:pt idx="6328">
                  <c:v>19.722222222222221</c:v>
                </c:pt>
                <c:pt idx="6329">
                  <c:v>19.611111111111111</c:v>
                </c:pt>
                <c:pt idx="6330">
                  <c:v>19.722222222222221</c:v>
                </c:pt>
                <c:pt idx="6331">
                  <c:v>19.777777777777775</c:v>
                </c:pt>
                <c:pt idx="6332">
                  <c:v>20.111111111111111</c:v>
                </c:pt>
                <c:pt idx="6333">
                  <c:v>20.611111111111107</c:v>
                </c:pt>
                <c:pt idx="6334">
                  <c:v>20.888888888888886</c:v>
                </c:pt>
                <c:pt idx="6335">
                  <c:v>21.111111111111111</c:v>
                </c:pt>
                <c:pt idx="6336">
                  <c:v>21.111111111111111</c:v>
                </c:pt>
                <c:pt idx="6337">
                  <c:v>20.500000000000004</c:v>
                </c:pt>
                <c:pt idx="6338">
                  <c:v>20.222222222222225</c:v>
                </c:pt>
                <c:pt idx="6339">
                  <c:v>20</c:v>
                </c:pt>
                <c:pt idx="6340">
                  <c:v>19.499999999999996</c:v>
                </c:pt>
                <c:pt idx="6341">
                  <c:v>19.111111111111114</c:v>
                </c:pt>
                <c:pt idx="6342">
                  <c:v>19.111111111111114</c:v>
                </c:pt>
                <c:pt idx="6343">
                  <c:v>19.222222222222218</c:v>
                </c:pt>
                <c:pt idx="6344">
                  <c:v>19.777777777777775</c:v>
                </c:pt>
                <c:pt idx="6345">
                  <c:v>20.388888888888889</c:v>
                </c:pt>
                <c:pt idx="6346">
                  <c:v>20.777777777777782</c:v>
                </c:pt>
                <c:pt idx="6347">
                  <c:v>20.999999999999996</c:v>
                </c:pt>
                <c:pt idx="6348">
                  <c:v>21.222222222222225</c:v>
                </c:pt>
                <c:pt idx="6349">
                  <c:v>20.999999999999996</c:v>
                </c:pt>
                <c:pt idx="6350">
                  <c:v>20.388888888888889</c:v>
                </c:pt>
                <c:pt idx="6351">
                  <c:v>19.888888888888886</c:v>
                </c:pt>
                <c:pt idx="6352">
                  <c:v>19.388888888888893</c:v>
                </c:pt>
                <c:pt idx="6353">
                  <c:v>18.611111111111111</c:v>
                </c:pt>
                <c:pt idx="6354">
                  <c:v>18.277777777777782</c:v>
                </c:pt>
                <c:pt idx="6355">
                  <c:v>18.499999999999996</c:v>
                </c:pt>
                <c:pt idx="6356">
                  <c:v>19.388888888888893</c:v>
                </c:pt>
                <c:pt idx="6357">
                  <c:v>20.277777777777779</c:v>
                </c:pt>
                <c:pt idx="6358">
                  <c:v>20.999999999999996</c:v>
                </c:pt>
                <c:pt idx="6359">
                  <c:v>21.277777777777775</c:v>
                </c:pt>
                <c:pt idx="6360">
                  <c:v>21.388888888888889</c:v>
                </c:pt>
                <c:pt idx="6361">
                  <c:v>21.277777777777775</c:v>
                </c:pt>
                <c:pt idx="6362">
                  <c:v>20.277777777777779</c:v>
                </c:pt>
                <c:pt idx="6363">
                  <c:v>19.611111111111111</c:v>
                </c:pt>
                <c:pt idx="6364">
                  <c:v>19.222222222222218</c:v>
                </c:pt>
                <c:pt idx="6365">
                  <c:v>18.611111111111111</c:v>
                </c:pt>
                <c:pt idx="6366">
                  <c:v>18.000000000000004</c:v>
                </c:pt>
                <c:pt idx="6367">
                  <c:v>18.222222222222221</c:v>
                </c:pt>
                <c:pt idx="6368">
                  <c:v>18.888888888888889</c:v>
                </c:pt>
                <c:pt idx="6369">
                  <c:v>19.499999999999996</c:v>
                </c:pt>
                <c:pt idx="6370">
                  <c:v>20.277777777777779</c:v>
                </c:pt>
                <c:pt idx="6371">
                  <c:v>20.722222222222221</c:v>
                </c:pt>
                <c:pt idx="6372">
                  <c:v>20.888888888888886</c:v>
                </c:pt>
                <c:pt idx="6373">
                  <c:v>20.999999999999996</c:v>
                </c:pt>
                <c:pt idx="6374">
                  <c:v>19.888888888888886</c:v>
                </c:pt>
                <c:pt idx="6375">
                  <c:v>19.722222222222221</c:v>
                </c:pt>
                <c:pt idx="6376">
                  <c:v>18.888888888888889</c:v>
                </c:pt>
                <c:pt idx="6377">
                  <c:v>18.722222222222225</c:v>
                </c:pt>
                <c:pt idx="6378">
                  <c:v>18.777777777777775</c:v>
                </c:pt>
                <c:pt idx="6379">
                  <c:v>18.777777777777775</c:v>
                </c:pt>
                <c:pt idx="6380">
                  <c:v>18.888888888888889</c:v>
                </c:pt>
                <c:pt idx="6381">
                  <c:v>19.277777777777779</c:v>
                </c:pt>
                <c:pt idx="6382">
                  <c:v>19.888888888888886</c:v>
                </c:pt>
                <c:pt idx="6383">
                  <c:v>20.500000000000004</c:v>
                </c:pt>
                <c:pt idx="6384">
                  <c:v>20.722222222222221</c:v>
                </c:pt>
                <c:pt idx="6385">
                  <c:v>20.722222222222221</c:v>
                </c:pt>
                <c:pt idx="6386">
                  <c:v>20</c:v>
                </c:pt>
                <c:pt idx="6387">
                  <c:v>19.499999999999996</c:v>
                </c:pt>
                <c:pt idx="6388">
                  <c:v>19</c:v>
                </c:pt>
                <c:pt idx="6389">
                  <c:v>18.888888888888889</c:v>
                </c:pt>
                <c:pt idx="6390">
                  <c:v>18.722222222222225</c:v>
                </c:pt>
                <c:pt idx="6391">
                  <c:v>18.722222222222225</c:v>
                </c:pt>
                <c:pt idx="6392">
                  <c:v>18.722222222222225</c:v>
                </c:pt>
                <c:pt idx="6393">
                  <c:v>18.888888888888889</c:v>
                </c:pt>
                <c:pt idx="6394">
                  <c:v>19.222222222222218</c:v>
                </c:pt>
                <c:pt idx="6395">
                  <c:v>19.611111111111111</c:v>
                </c:pt>
                <c:pt idx="6396">
                  <c:v>19.888888888888886</c:v>
                </c:pt>
                <c:pt idx="6397">
                  <c:v>20</c:v>
                </c:pt>
                <c:pt idx="6398">
                  <c:v>19.888888888888886</c:v>
                </c:pt>
                <c:pt idx="6399">
                  <c:v>19.277777777777779</c:v>
                </c:pt>
                <c:pt idx="6400">
                  <c:v>19.111111111111114</c:v>
                </c:pt>
                <c:pt idx="6401">
                  <c:v>18.777777777777775</c:v>
                </c:pt>
                <c:pt idx="6402">
                  <c:v>18.611111111111111</c:v>
                </c:pt>
                <c:pt idx="6403">
                  <c:v>18.388888888888886</c:v>
                </c:pt>
                <c:pt idx="6404">
                  <c:v>18.499999999999996</c:v>
                </c:pt>
                <c:pt idx="6405">
                  <c:v>18.888888888888889</c:v>
                </c:pt>
                <c:pt idx="6406">
                  <c:v>19.277777777777779</c:v>
                </c:pt>
                <c:pt idx="6407">
                  <c:v>19.722222222222221</c:v>
                </c:pt>
                <c:pt idx="6408">
                  <c:v>19.888888888888886</c:v>
                </c:pt>
                <c:pt idx="6409">
                  <c:v>20</c:v>
                </c:pt>
                <c:pt idx="6410">
                  <c:v>20</c:v>
                </c:pt>
                <c:pt idx="6411">
                  <c:v>19.388888888888893</c:v>
                </c:pt>
                <c:pt idx="6412">
                  <c:v>18.888888888888889</c:v>
                </c:pt>
                <c:pt idx="6413">
                  <c:v>17.888888888888889</c:v>
                </c:pt>
                <c:pt idx="6414">
                  <c:v>17.277777777777779</c:v>
                </c:pt>
                <c:pt idx="6415">
                  <c:v>17.111111111111111</c:v>
                </c:pt>
                <c:pt idx="6416">
                  <c:v>17.222222222222221</c:v>
                </c:pt>
                <c:pt idx="6417">
                  <c:v>17.388888888888886</c:v>
                </c:pt>
                <c:pt idx="6418">
                  <c:v>18.000000000000004</c:v>
                </c:pt>
                <c:pt idx="6419">
                  <c:v>18.722222222222225</c:v>
                </c:pt>
                <c:pt idx="6420">
                  <c:v>19.222222222222218</c:v>
                </c:pt>
                <c:pt idx="6421">
                  <c:v>19.388888888888893</c:v>
                </c:pt>
                <c:pt idx="6422">
                  <c:v>19.388888888888893</c:v>
                </c:pt>
                <c:pt idx="6423">
                  <c:v>18.499999999999996</c:v>
                </c:pt>
                <c:pt idx="6424">
                  <c:v>18.277777777777782</c:v>
                </c:pt>
                <c:pt idx="6425">
                  <c:v>17.722222222222221</c:v>
                </c:pt>
                <c:pt idx="6426">
                  <c:v>17.388888888888886</c:v>
                </c:pt>
                <c:pt idx="6427">
                  <c:v>17.277777777777779</c:v>
                </c:pt>
                <c:pt idx="6428">
                  <c:v>17.722222222222221</c:v>
                </c:pt>
                <c:pt idx="6429">
                  <c:v>17.611111111111111</c:v>
                </c:pt>
                <c:pt idx="6430">
                  <c:v>18.000000000000004</c:v>
                </c:pt>
                <c:pt idx="6431">
                  <c:v>18.722222222222225</c:v>
                </c:pt>
                <c:pt idx="6432">
                  <c:v>19.111111111111114</c:v>
                </c:pt>
                <c:pt idx="6433">
                  <c:v>19.388888888888893</c:v>
                </c:pt>
                <c:pt idx="6434">
                  <c:v>19.499999999999996</c:v>
                </c:pt>
                <c:pt idx="6435">
                  <c:v>19.277777777777779</c:v>
                </c:pt>
                <c:pt idx="6436">
                  <c:v>18.722222222222225</c:v>
                </c:pt>
                <c:pt idx="6437">
                  <c:v>18.111111111111107</c:v>
                </c:pt>
                <c:pt idx="6438">
                  <c:v>17.611111111111111</c:v>
                </c:pt>
                <c:pt idx="6439">
                  <c:v>17.388888888888886</c:v>
                </c:pt>
                <c:pt idx="6440">
                  <c:v>17.388888888888886</c:v>
                </c:pt>
                <c:pt idx="6441">
                  <c:v>17.5</c:v>
                </c:pt>
                <c:pt idx="6442">
                  <c:v>17.777777777777779</c:v>
                </c:pt>
                <c:pt idx="6443">
                  <c:v>18.222222222222221</c:v>
                </c:pt>
                <c:pt idx="6444">
                  <c:v>18.777777777777775</c:v>
                </c:pt>
                <c:pt idx="6445">
                  <c:v>19.111111111111114</c:v>
                </c:pt>
                <c:pt idx="6446">
                  <c:v>19.222222222222218</c:v>
                </c:pt>
                <c:pt idx="6447">
                  <c:v>19</c:v>
                </c:pt>
                <c:pt idx="6448">
                  <c:v>18.222222222222221</c:v>
                </c:pt>
                <c:pt idx="6449">
                  <c:v>17.611111111111111</c:v>
                </c:pt>
                <c:pt idx="6450">
                  <c:v>17.277777777777779</c:v>
                </c:pt>
                <c:pt idx="6451">
                  <c:v>17.222222222222221</c:v>
                </c:pt>
                <c:pt idx="6452">
                  <c:v>17.222222222222221</c:v>
                </c:pt>
                <c:pt idx="6453">
                  <c:v>17.277777777777779</c:v>
                </c:pt>
                <c:pt idx="6454">
                  <c:v>17.388888888888886</c:v>
                </c:pt>
                <c:pt idx="6455">
                  <c:v>17.777777777777779</c:v>
                </c:pt>
                <c:pt idx="6456">
                  <c:v>18.388888888888886</c:v>
                </c:pt>
                <c:pt idx="6457">
                  <c:v>18.722222222222225</c:v>
                </c:pt>
                <c:pt idx="6458">
                  <c:v>18.888888888888889</c:v>
                </c:pt>
                <c:pt idx="6459">
                  <c:v>19</c:v>
                </c:pt>
                <c:pt idx="6460">
                  <c:v>18.388888888888886</c:v>
                </c:pt>
                <c:pt idx="6461">
                  <c:v>18.111111111111107</c:v>
                </c:pt>
                <c:pt idx="6462">
                  <c:v>17.777777777777779</c:v>
                </c:pt>
                <c:pt idx="6463">
                  <c:v>17.611111111111111</c:v>
                </c:pt>
                <c:pt idx="6464">
                  <c:v>17.5</c:v>
                </c:pt>
                <c:pt idx="6465">
                  <c:v>17.5</c:v>
                </c:pt>
                <c:pt idx="6466">
                  <c:v>17.722222222222221</c:v>
                </c:pt>
                <c:pt idx="6467">
                  <c:v>17.888888888888889</c:v>
                </c:pt>
                <c:pt idx="6468">
                  <c:v>18.388888888888886</c:v>
                </c:pt>
                <c:pt idx="6469">
                  <c:v>18.611111111111111</c:v>
                </c:pt>
                <c:pt idx="6470">
                  <c:v>18.777777777777775</c:v>
                </c:pt>
                <c:pt idx="6471">
                  <c:v>18.888888888888889</c:v>
                </c:pt>
                <c:pt idx="6472">
                  <c:v>18.722222222222225</c:v>
                </c:pt>
                <c:pt idx="6473">
                  <c:v>18.277777777777782</c:v>
                </c:pt>
                <c:pt idx="6474">
                  <c:v>18.000000000000004</c:v>
                </c:pt>
                <c:pt idx="6475">
                  <c:v>17.611111111111111</c:v>
                </c:pt>
                <c:pt idx="6476">
                  <c:v>17.5</c:v>
                </c:pt>
                <c:pt idx="6477">
                  <c:v>17.611111111111111</c:v>
                </c:pt>
                <c:pt idx="6478">
                  <c:v>17.611111111111111</c:v>
                </c:pt>
                <c:pt idx="6479">
                  <c:v>18.000000000000004</c:v>
                </c:pt>
                <c:pt idx="6480">
                  <c:v>18.499999999999996</c:v>
                </c:pt>
                <c:pt idx="6481">
                  <c:v>18.777777777777775</c:v>
                </c:pt>
                <c:pt idx="6482">
                  <c:v>19</c:v>
                </c:pt>
                <c:pt idx="6483">
                  <c:v>19</c:v>
                </c:pt>
                <c:pt idx="6484">
                  <c:v>19</c:v>
                </c:pt>
                <c:pt idx="6485">
                  <c:v>18.611111111111111</c:v>
                </c:pt>
                <c:pt idx="6486">
                  <c:v>17.388888888888886</c:v>
                </c:pt>
                <c:pt idx="6487">
                  <c:v>17.111111111111111</c:v>
                </c:pt>
                <c:pt idx="6488">
                  <c:v>16.611111111111111</c:v>
                </c:pt>
                <c:pt idx="6489">
                  <c:v>16.5</c:v>
                </c:pt>
                <c:pt idx="6490">
                  <c:v>16.722222222222221</c:v>
                </c:pt>
                <c:pt idx="6491">
                  <c:v>17.111111111111111</c:v>
                </c:pt>
                <c:pt idx="6492">
                  <c:v>17.777777777777779</c:v>
                </c:pt>
                <c:pt idx="6493">
                  <c:v>18.277777777777782</c:v>
                </c:pt>
                <c:pt idx="6494">
                  <c:v>18.611111111111111</c:v>
                </c:pt>
                <c:pt idx="6495">
                  <c:v>18.777777777777775</c:v>
                </c:pt>
                <c:pt idx="6496">
                  <c:v>18.611111111111111</c:v>
                </c:pt>
                <c:pt idx="6497">
                  <c:v>17.722222222222221</c:v>
                </c:pt>
                <c:pt idx="6498">
                  <c:v>17.222222222222221</c:v>
                </c:pt>
                <c:pt idx="6499">
                  <c:v>16.888888888888889</c:v>
                </c:pt>
                <c:pt idx="6500">
                  <c:v>16.611111111111111</c:v>
                </c:pt>
                <c:pt idx="6501">
                  <c:v>16.111111111111111</c:v>
                </c:pt>
                <c:pt idx="6502">
                  <c:v>16.5</c:v>
                </c:pt>
                <c:pt idx="6503">
                  <c:v>16.5</c:v>
                </c:pt>
                <c:pt idx="6504">
                  <c:v>17.111111111111111</c:v>
                </c:pt>
                <c:pt idx="6505">
                  <c:v>17.888888888888889</c:v>
                </c:pt>
                <c:pt idx="6506">
                  <c:v>18.277777777777782</c:v>
                </c:pt>
                <c:pt idx="6507">
                  <c:v>18.611111111111111</c:v>
                </c:pt>
                <c:pt idx="6508">
                  <c:v>18.722222222222225</c:v>
                </c:pt>
                <c:pt idx="6509">
                  <c:v>18.388888888888886</c:v>
                </c:pt>
                <c:pt idx="6510">
                  <c:v>17.222222222222221</c:v>
                </c:pt>
                <c:pt idx="6511">
                  <c:v>16.611111111111111</c:v>
                </c:pt>
                <c:pt idx="6512">
                  <c:v>16.388888888888889</c:v>
                </c:pt>
                <c:pt idx="6513">
                  <c:v>16.111111111111111</c:v>
                </c:pt>
                <c:pt idx="6514">
                  <c:v>16.388888888888889</c:v>
                </c:pt>
                <c:pt idx="6515">
                  <c:v>16.388888888888889</c:v>
                </c:pt>
                <c:pt idx="6516">
                  <c:v>16.777777777777779</c:v>
                </c:pt>
                <c:pt idx="6517">
                  <c:v>17.277777777777779</c:v>
                </c:pt>
                <c:pt idx="6518">
                  <c:v>17.888888888888889</c:v>
                </c:pt>
                <c:pt idx="6519">
                  <c:v>18.277777777777782</c:v>
                </c:pt>
                <c:pt idx="6520">
                  <c:v>18.388888888888886</c:v>
                </c:pt>
                <c:pt idx="6521">
                  <c:v>18.000000000000004</c:v>
                </c:pt>
                <c:pt idx="6522">
                  <c:v>16.888888888888889</c:v>
                </c:pt>
                <c:pt idx="6523">
                  <c:v>16.777777777777779</c:v>
                </c:pt>
                <c:pt idx="6524">
                  <c:v>16.5</c:v>
                </c:pt>
                <c:pt idx="6525">
                  <c:v>16.277777777777775</c:v>
                </c:pt>
                <c:pt idx="6526">
                  <c:v>16.277777777777775</c:v>
                </c:pt>
                <c:pt idx="6527">
                  <c:v>16.277777777777775</c:v>
                </c:pt>
                <c:pt idx="6528">
                  <c:v>16.5</c:v>
                </c:pt>
                <c:pt idx="6529">
                  <c:v>17.111111111111111</c:v>
                </c:pt>
                <c:pt idx="6530">
                  <c:v>17.722222222222221</c:v>
                </c:pt>
                <c:pt idx="6531">
                  <c:v>18.111111111111107</c:v>
                </c:pt>
                <c:pt idx="6532">
                  <c:v>18.277777777777782</c:v>
                </c:pt>
                <c:pt idx="6533">
                  <c:v>18.388888888888886</c:v>
                </c:pt>
                <c:pt idx="6534">
                  <c:v>18.222222222222221</c:v>
                </c:pt>
                <c:pt idx="6535">
                  <c:v>17</c:v>
                </c:pt>
                <c:pt idx="6536">
                  <c:v>16.611111111111111</c:v>
                </c:pt>
                <c:pt idx="6537">
                  <c:v>16.111111111111111</c:v>
                </c:pt>
                <c:pt idx="6538">
                  <c:v>15.888888888888889</c:v>
                </c:pt>
                <c:pt idx="6539">
                  <c:v>16.277777777777775</c:v>
                </c:pt>
                <c:pt idx="6540">
                  <c:v>16.222222222222225</c:v>
                </c:pt>
                <c:pt idx="6541">
                  <c:v>16.611111111111111</c:v>
                </c:pt>
                <c:pt idx="6542">
                  <c:v>17.222222222222221</c:v>
                </c:pt>
                <c:pt idx="6543">
                  <c:v>17.777777777777779</c:v>
                </c:pt>
                <c:pt idx="6544">
                  <c:v>18.111111111111107</c:v>
                </c:pt>
                <c:pt idx="6545">
                  <c:v>18.222222222222221</c:v>
                </c:pt>
                <c:pt idx="6546">
                  <c:v>17.888888888888889</c:v>
                </c:pt>
                <c:pt idx="6547">
                  <c:v>16.777777777777779</c:v>
                </c:pt>
                <c:pt idx="6548">
                  <c:v>16.777777777777779</c:v>
                </c:pt>
                <c:pt idx="6549">
                  <c:v>16.722222222222221</c:v>
                </c:pt>
                <c:pt idx="6550">
                  <c:v>16.277777777777775</c:v>
                </c:pt>
                <c:pt idx="6551">
                  <c:v>16.388888888888889</c:v>
                </c:pt>
                <c:pt idx="6552">
                  <c:v>16.5</c:v>
                </c:pt>
                <c:pt idx="6553">
                  <c:v>16.722222222222221</c:v>
                </c:pt>
                <c:pt idx="6554">
                  <c:v>17.111111111111111</c:v>
                </c:pt>
                <c:pt idx="6555">
                  <c:v>17.611111111111111</c:v>
                </c:pt>
                <c:pt idx="6556">
                  <c:v>17.888888888888889</c:v>
                </c:pt>
                <c:pt idx="6557">
                  <c:v>18.111111111111107</c:v>
                </c:pt>
                <c:pt idx="6558">
                  <c:v>18.111111111111107</c:v>
                </c:pt>
                <c:pt idx="6559">
                  <c:v>18.000000000000004</c:v>
                </c:pt>
                <c:pt idx="6560">
                  <c:v>17</c:v>
                </c:pt>
                <c:pt idx="6561">
                  <c:v>16.777777777777779</c:v>
                </c:pt>
                <c:pt idx="6562">
                  <c:v>16.388888888888889</c:v>
                </c:pt>
                <c:pt idx="6563">
                  <c:v>15.999999999999998</c:v>
                </c:pt>
                <c:pt idx="6564">
                  <c:v>16.388888888888889</c:v>
                </c:pt>
                <c:pt idx="6565">
                  <c:v>16.277777777777775</c:v>
                </c:pt>
                <c:pt idx="6566">
                  <c:v>16.722222222222221</c:v>
                </c:pt>
                <c:pt idx="6567">
                  <c:v>17.222222222222221</c:v>
                </c:pt>
                <c:pt idx="6568">
                  <c:v>17.611111111111111</c:v>
                </c:pt>
                <c:pt idx="6569">
                  <c:v>17.777777777777779</c:v>
                </c:pt>
                <c:pt idx="6570">
                  <c:v>17.777777777777779</c:v>
                </c:pt>
                <c:pt idx="6571">
                  <c:v>17.5</c:v>
                </c:pt>
                <c:pt idx="6572">
                  <c:v>16.5</c:v>
                </c:pt>
                <c:pt idx="6573">
                  <c:v>16.5</c:v>
                </c:pt>
                <c:pt idx="6574">
                  <c:v>16.222222222222225</c:v>
                </c:pt>
                <c:pt idx="6575">
                  <c:v>15.777777777777777</c:v>
                </c:pt>
                <c:pt idx="6576">
                  <c:v>15.777777777777777</c:v>
                </c:pt>
                <c:pt idx="6577">
                  <c:v>15.888888888888889</c:v>
                </c:pt>
                <c:pt idx="6578">
                  <c:v>16.222222222222225</c:v>
                </c:pt>
                <c:pt idx="6579">
                  <c:v>16.611111111111111</c:v>
                </c:pt>
                <c:pt idx="6580">
                  <c:v>17.111111111111111</c:v>
                </c:pt>
                <c:pt idx="6581">
                  <c:v>17.388888888888886</c:v>
                </c:pt>
                <c:pt idx="6582">
                  <c:v>17.611111111111111</c:v>
                </c:pt>
                <c:pt idx="6583">
                  <c:v>17.611111111111111</c:v>
                </c:pt>
                <c:pt idx="6584">
                  <c:v>17.5</c:v>
                </c:pt>
                <c:pt idx="6585">
                  <c:v>16.888888888888889</c:v>
                </c:pt>
                <c:pt idx="6586">
                  <c:v>16.722222222222221</c:v>
                </c:pt>
                <c:pt idx="6587">
                  <c:v>16.611111111111111</c:v>
                </c:pt>
                <c:pt idx="6588">
                  <c:v>16.5</c:v>
                </c:pt>
                <c:pt idx="6589">
                  <c:v>16.388888888888889</c:v>
                </c:pt>
                <c:pt idx="6590">
                  <c:v>16.5</c:v>
                </c:pt>
                <c:pt idx="6591">
                  <c:v>16.611111111111111</c:v>
                </c:pt>
                <c:pt idx="6592">
                  <c:v>16.777777777777779</c:v>
                </c:pt>
                <c:pt idx="6593">
                  <c:v>17.222222222222221</c:v>
                </c:pt>
                <c:pt idx="6594">
                  <c:v>17.388888888888886</c:v>
                </c:pt>
                <c:pt idx="6595">
                  <c:v>17.5</c:v>
                </c:pt>
                <c:pt idx="6596">
                  <c:v>17.222222222222221</c:v>
                </c:pt>
                <c:pt idx="6597">
                  <c:v>16.888888888888889</c:v>
                </c:pt>
                <c:pt idx="6598">
                  <c:v>16.777777777777779</c:v>
                </c:pt>
                <c:pt idx="6599">
                  <c:v>16.777777777777779</c:v>
                </c:pt>
                <c:pt idx="6600">
                  <c:v>16.777777777777779</c:v>
                </c:pt>
                <c:pt idx="6601">
                  <c:v>16.777777777777779</c:v>
                </c:pt>
                <c:pt idx="6602">
                  <c:v>16.888888888888889</c:v>
                </c:pt>
                <c:pt idx="6603">
                  <c:v>16.777777777777779</c:v>
                </c:pt>
                <c:pt idx="6604">
                  <c:v>16.888888888888889</c:v>
                </c:pt>
                <c:pt idx="6605">
                  <c:v>17.111111111111111</c:v>
                </c:pt>
                <c:pt idx="6606">
                  <c:v>17.222222222222221</c:v>
                </c:pt>
                <c:pt idx="6607">
                  <c:v>17.388888888888886</c:v>
                </c:pt>
                <c:pt idx="6608">
                  <c:v>17.388888888888886</c:v>
                </c:pt>
                <c:pt idx="6609">
                  <c:v>17.277777777777779</c:v>
                </c:pt>
                <c:pt idx="6610">
                  <c:v>17.111111111111111</c:v>
                </c:pt>
                <c:pt idx="6611">
                  <c:v>17</c:v>
                </c:pt>
                <c:pt idx="6612">
                  <c:v>17</c:v>
                </c:pt>
                <c:pt idx="6613">
                  <c:v>17</c:v>
                </c:pt>
                <c:pt idx="6614">
                  <c:v>16.888888888888889</c:v>
                </c:pt>
                <c:pt idx="6615">
                  <c:v>17</c:v>
                </c:pt>
                <c:pt idx="6616">
                  <c:v>17</c:v>
                </c:pt>
                <c:pt idx="6617">
                  <c:v>17.111111111111111</c:v>
                </c:pt>
                <c:pt idx="6618">
                  <c:v>17.222222222222221</c:v>
                </c:pt>
                <c:pt idx="6619">
                  <c:v>17.277777777777779</c:v>
                </c:pt>
                <c:pt idx="6620">
                  <c:v>17.388888888888886</c:v>
                </c:pt>
                <c:pt idx="6621">
                  <c:v>17.277777777777779</c:v>
                </c:pt>
                <c:pt idx="6622">
                  <c:v>17.111111111111111</c:v>
                </c:pt>
                <c:pt idx="6623">
                  <c:v>17</c:v>
                </c:pt>
                <c:pt idx="6624">
                  <c:v>17</c:v>
                </c:pt>
                <c:pt idx="6625">
                  <c:v>17</c:v>
                </c:pt>
                <c:pt idx="6626">
                  <c:v>16.888888888888889</c:v>
                </c:pt>
                <c:pt idx="6627">
                  <c:v>16.888888888888889</c:v>
                </c:pt>
                <c:pt idx="6628">
                  <c:v>16.888888888888889</c:v>
                </c:pt>
                <c:pt idx="6629">
                  <c:v>17</c:v>
                </c:pt>
                <c:pt idx="6630">
                  <c:v>17.111111111111111</c:v>
                </c:pt>
                <c:pt idx="6631">
                  <c:v>17.111111111111111</c:v>
                </c:pt>
                <c:pt idx="6632">
                  <c:v>17.222222222222221</c:v>
                </c:pt>
                <c:pt idx="6633">
                  <c:v>17.222222222222221</c:v>
                </c:pt>
                <c:pt idx="6634">
                  <c:v>17.111111111111111</c:v>
                </c:pt>
                <c:pt idx="6635">
                  <c:v>17</c:v>
                </c:pt>
                <c:pt idx="6636">
                  <c:v>16.888888888888889</c:v>
                </c:pt>
                <c:pt idx="6637">
                  <c:v>16.777777777777779</c:v>
                </c:pt>
                <c:pt idx="6638">
                  <c:v>16.777777777777779</c:v>
                </c:pt>
                <c:pt idx="6639">
                  <c:v>16.777777777777779</c:v>
                </c:pt>
                <c:pt idx="6640">
                  <c:v>16.777777777777779</c:v>
                </c:pt>
                <c:pt idx="6641">
                  <c:v>16.888888888888889</c:v>
                </c:pt>
                <c:pt idx="6642">
                  <c:v>17</c:v>
                </c:pt>
                <c:pt idx="6643">
                  <c:v>17.222222222222221</c:v>
                </c:pt>
                <c:pt idx="6644">
                  <c:v>17.277777777777779</c:v>
                </c:pt>
                <c:pt idx="6645">
                  <c:v>17.277777777777779</c:v>
                </c:pt>
                <c:pt idx="6646">
                  <c:v>17.277777777777779</c:v>
                </c:pt>
                <c:pt idx="6647">
                  <c:v>17.111111111111111</c:v>
                </c:pt>
                <c:pt idx="6648">
                  <c:v>17.111111111111111</c:v>
                </c:pt>
                <c:pt idx="6649">
                  <c:v>16.888888888888889</c:v>
                </c:pt>
                <c:pt idx="6650">
                  <c:v>16.888888888888889</c:v>
                </c:pt>
                <c:pt idx="6651">
                  <c:v>16.777777777777779</c:v>
                </c:pt>
                <c:pt idx="6652">
                  <c:v>16.777777777777779</c:v>
                </c:pt>
                <c:pt idx="6653">
                  <c:v>16.777777777777779</c:v>
                </c:pt>
                <c:pt idx="6654">
                  <c:v>16.888888888888889</c:v>
                </c:pt>
                <c:pt idx="6655">
                  <c:v>17</c:v>
                </c:pt>
                <c:pt idx="6656">
                  <c:v>17</c:v>
                </c:pt>
                <c:pt idx="6657">
                  <c:v>17.111111111111111</c:v>
                </c:pt>
                <c:pt idx="6658">
                  <c:v>17.111111111111111</c:v>
                </c:pt>
                <c:pt idx="6659">
                  <c:v>17.111111111111111</c:v>
                </c:pt>
                <c:pt idx="6660">
                  <c:v>16.888888888888889</c:v>
                </c:pt>
                <c:pt idx="6661">
                  <c:v>16.777777777777779</c:v>
                </c:pt>
                <c:pt idx="6662">
                  <c:v>16.611111111111111</c:v>
                </c:pt>
                <c:pt idx="6663">
                  <c:v>16.5</c:v>
                </c:pt>
                <c:pt idx="6664">
                  <c:v>16.5</c:v>
                </c:pt>
                <c:pt idx="6665">
                  <c:v>16.5</c:v>
                </c:pt>
                <c:pt idx="6666">
                  <c:v>16.722222222222221</c:v>
                </c:pt>
                <c:pt idx="6667">
                  <c:v>16.888888888888889</c:v>
                </c:pt>
                <c:pt idx="6668">
                  <c:v>17.111111111111111</c:v>
                </c:pt>
                <c:pt idx="6669">
                  <c:v>17.222222222222221</c:v>
                </c:pt>
                <c:pt idx="6670">
                  <c:v>17.222222222222221</c:v>
                </c:pt>
                <c:pt idx="6671">
                  <c:v>17.222222222222221</c:v>
                </c:pt>
                <c:pt idx="6672">
                  <c:v>17</c:v>
                </c:pt>
                <c:pt idx="6673">
                  <c:v>16.888888888888889</c:v>
                </c:pt>
                <c:pt idx="6674">
                  <c:v>16.722222222222221</c:v>
                </c:pt>
                <c:pt idx="6675">
                  <c:v>16.611111111111111</c:v>
                </c:pt>
                <c:pt idx="6676">
                  <c:v>16.611111111111111</c:v>
                </c:pt>
                <c:pt idx="6677">
                  <c:v>16.611111111111111</c:v>
                </c:pt>
                <c:pt idx="6678">
                  <c:v>16.611111111111111</c:v>
                </c:pt>
                <c:pt idx="6679">
                  <c:v>16.722222222222221</c:v>
                </c:pt>
                <c:pt idx="6680">
                  <c:v>16.777777777777779</c:v>
                </c:pt>
                <c:pt idx="6681">
                  <c:v>16.888888888888889</c:v>
                </c:pt>
                <c:pt idx="6682">
                  <c:v>16.888888888888889</c:v>
                </c:pt>
                <c:pt idx="6683">
                  <c:v>16.888888888888889</c:v>
                </c:pt>
                <c:pt idx="6684">
                  <c:v>16.888888888888889</c:v>
                </c:pt>
                <c:pt idx="6685">
                  <c:v>16.777777777777779</c:v>
                </c:pt>
                <c:pt idx="6686">
                  <c:v>16.611111111111111</c:v>
                </c:pt>
                <c:pt idx="6687">
                  <c:v>16.5</c:v>
                </c:pt>
                <c:pt idx="6688">
                  <c:v>16.388888888888889</c:v>
                </c:pt>
                <c:pt idx="6689">
                  <c:v>16.388888888888889</c:v>
                </c:pt>
                <c:pt idx="6690">
                  <c:v>16.5</c:v>
                </c:pt>
                <c:pt idx="6691">
                  <c:v>16.611111111111111</c:v>
                </c:pt>
                <c:pt idx="6692">
                  <c:v>16.888888888888889</c:v>
                </c:pt>
                <c:pt idx="6693">
                  <c:v>17</c:v>
                </c:pt>
                <c:pt idx="6694">
                  <c:v>17.111111111111111</c:v>
                </c:pt>
                <c:pt idx="6695">
                  <c:v>17.222222222222221</c:v>
                </c:pt>
                <c:pt idx="6696">
                  <c:v>17.222222222222221</c:v>
                </c:pt>
                <c:pt idx="6697">
                  <c:v>17</c:v>
                </c:pt>
                <c:pt idx="6698">
                  <c:v>16.722222222222221</c:v>
                </c:pt>
                <c:pt idx="6699">
                  <c:v>16.5</c:v>
                </c:pt>
                <c:pt idx="6700">
                  <c:v>16.388888888888889</c:v>
                </c:pt>
                <c:pt idx="6701">
                  <c:v>16.277777777777775</c:v>
                </c:pt>
                <c:pt idx="6702">
                  <c:v>16.277777777777775</c:v>
                </c:pt>
                <c:pt idx="6703">
                  <c:v>16.388888888888889</c:v>
                </c:pt>
                <c:pt idx="6704">
                  <c:v>16.5</c:v>
                </c:pt>
                <c:pt idx="6705">
                  <c:v>16.722222222222221</c:v>
                </c:pt>
                <c:pt idx="6706">
                  <c:v>16.777777777777779</c:v>
                </c:pt>
                <c:pt idx="6707">
                  <c:v>16.888888888888889</c:v>
                </c:pt>
                <c:pt idx="6708">
                  <c:v>16.888888888888889</c:v>
                </c:pt>
                <c:pt idx="6709">
                  <c:v>16.722222222222221</c:v>
                </c:pt>
                <c:pt idx="6710">
                  <c:v>16.5</c:v>
                </c:pt>
                <c:pt idx="6711">
                  <c:v>16.222222222222225</c:v>
                </c:pt>
                <c:pt idx="6712">
                  <c:v>16.111111111111111</c:v>
                </c:pt>
                <c:pt idx="6713">
                  <c:v>15.999999999999998</c:v>
                </c:pt>
                <c:pt idx="6714">
                  <c:v>16.111111111111111</c:v>
                </c:pt>
                <c:pt idx="6715">
                  <c:v>16.111111111111111</c:v>
                </c:pt>
                <c:pt idx="6716">
                  <c:v>16.277777777777775</c:v>
                </c:pt>
                <c:pt idx="6717">
                  <c:v>16.5</c:v>
                </c:pt>
                <c:pt idx="6718">
                  <c:v>16.722222222222221</c:v>
                </c:pt>
                <c:pt idx="6719">
                  <c:v>16.777777777777779</c:v>
                </c:pt>
                <c:pt idx="6720">
                  <c:v>16.888888888888889</c:v>
                </c:pt>
                <c:pt idx="6721">
                  <c:v>16.888888888888889</c:v>
                </c:pt>
                <c:pt idx="6722">
                  <c:v>16.611111111111111</c:v>
                </c:pt>
                <c:pt idx="6723">
                  <c:v>16.388888888888889</c:v>
                </c:pt>
                <c:pt idx="6724">
                  <c:v>16.222222222222225</c:v>
                </c:pt>
                <c:pt idx="6725">
                  <c:v>15.999999999999998</c:v>
                </c:pt>
                <c:pt idx="6726">
                  <c:v>15.999999999999998</c:v>
                </c:pt>
                <c:pt idx="6727">
                  <c:v>15.999999999999998</c:v>
                </c:pt>
                <c:pt idx="6728">
                  <c:v>16.111111111111111</c:v>
                </c:pt>
                <c:pt idx="6729">
                  <c:v>16.277777777777775</c:v>
                </c:pt>
                <c:pt idx="6730">
                  <c:v>16.5</c:v>
                </c:pt>
                <c:pt idx="6731">
                  <c:v>16.611111111111111</c:v>
                </c:pt>
                <c:pt idx="6732">
                  <c:v>16.722222222222221</c:v>
                </c:pt>
                <c:pt idx="6733">
                  <c:v>16.722222222222221</c:v>
                </c:pt>
                <c:pt idx="6734">
                  <c:v>16.5</c:v>
                </c:pt>
                <c:pt idx="6735">
                  <c:v>16.222222222222225</c:v>
                </c:pt>
                <c:pt idx="6736">
                  <c:v>16.111111111111111</c:v>
                </c:pt>
                <c:pt idx="6737">
                  <c:v>15.999999999999998</c:v>
                </c:pt>
                <c:pt idx="6738">
                  <c:v>15.888888888888889</c:v>
                </c:pt>
                <c:pt idx="6739">
                  <c:v>15.888888888888889</c:v>
                </c:pt>
                <c:pt idx="6740">
                  <c:v>15.999999999999998</c:v>
                </c:pt>
                <c:pt idx="6741">
                  <c:v>16.222222222222225</c:v>
                </c:pt>
                <c:pt idx="6742">
                  <c:v>16.388888888888889</c:v>
                </c:pt>
                <c:pt idx="6743">
                  <c:v>16.611111111111111</c:v>
                </c:pt>
                <c:pt idx="6744">
                  <c:v>16.722222222222221</c:v>
                </c:pt>
                <c:pt idx="6745">
                  <c:v>16.777777777777779</c:v>
                </c:pt>
                <c:pt idx="6746">
                  <c:v>16.722222222222221</c:v>
                </c:pt>
                <c:pt idx="6747">
                  <c:v>16.388888888888889</c:v>
                </c:pt>
                <c:pt idx="6748">
                  <c:v>16.222222222222225</c:v>
                </c:pt>
                <c:pt idx="6749">
                  <c:v>16.111111111111111</c:v>
                </c:pt>
                <c:pt idx="6750">
                  <c:v>15.999999999999998</c:v>
                </c:pt>
                <c:pt idx="6751">
                  <c:v>15.888888888888889</c:v>
                </c:pt>
                <c:pt idx="6752">
                  <c:v>15.888888888888889</c:v>
                </c:pt>
                <c:pt idx="6753">
                  <c:v>15.999999999999998</c:v>
                </c:pt>
                <c:pt idx="6754">
                  <c:v>16.222222222222225</c:v>
                </c:pt>
                <c:pt idx="6755">
                  <c:v>16.277777777777775</c:v>
                </c:pt>
                <c:pt idx="6756">
                  <c:v>16.388888888888889</c:v>
                </c:pt>
                <c:pt idx="6757">
                  <c:v>16.5</c:v>
                </c:pt>
                <c:pt idx="6758">
                  <c:v>16.5</c:v>
                </c:pt>
                <c:pt idx="6759">
                  <c:v>16.222222222222225</c:v>
                </c:pt>
                <c:pt idx="6760">
                  <c:v>15.999999999999998</c:v>
                </c:pt>
                <c:pt idx="6761">
                  <c:v>15.888888888888889</c:v>
                </c:pt>
                <c:pt idx="6762">
                  <c:v>15.888888888888889</c:v>
                </c:pt>
                <c:pt idx="6763">
                  <c:v>15.888888888888889</c:v>
                </c:pt>
                <c:pt idx="6764">
                  <c:v>15.999999999999998</c:v>
                </c:pt>
                <c:pt idx="6765">
                  <c:v>16.111111111111111</c:v>
                </c:pt>
                <c:pt idx="6766">
                  <c:v>16.277777777777775</c:v>
                </c:pt>
                <c:pt idx="6767">
                  <c:v>16.5</c:v>
                </c:pt>
                <c:pt idx="6768">
                  <c:v>16.611111111111111</c:v>
                </c:pt>
                <c:pt idx="6769">
                  <c:v>16.777777777777779</c:v>
                </c:pt>
                <c:pt idx="6770">
                  <c:v>16.777777777777779</c:v>
                </c:pt>
                <c:pt idx="6771">
                  <c:v>16.722222222222221</c:v>
                </c:pt>
                <c:pt idx="6772">
                  <c:v>16.5</c:v>
                </c:pt>
                <c:pt idx="6773">
                  <c:v>16.222222222222225</c:v>
                </c:pt>
                <c:pt idx="6774">
                  <c:v>16.111111111111111</c:v>
                </c:pt>
                <c:pt idx="6775">
                  <c:v>15.999999999999998</c:v>
                </c:pt>
                <c:pt idx="6776">
                  <c:v>15.888888888888889</c:v>
                </c:pt>
                <c:pt idx="6777">
                  <c:v>15.999999999999998</c:v>
                </c:pt>
                <c:pt idx="6778">
                  <c:v>16.111111111111111</c:v>
                </c:pt>
                <c:pt idx="6779">
                  <c:v>16.277777777777775</c:v>
                </c:pt>
                <c:pt idx="6780">
                  <c:v>16.5</c:v>
                </c:pt>
                <c:pt idx="6781">
                  <c:v>16.611111111111111</c:v>
                </c:pt>
                <c:pt idx="6782">
                  <c:v>16.722222222222221</c:v>
                </c:pt>
                <c:pt idx="6783">
                  <c:v>16.611111111111111</c:v>
                </c:pt>
                <c:pt idx="6784">
                  <c:v>16.277777777777775</c:v>
                </c:pt>
                <c:pt idx="6785">
                  <c:v>16.222222222222225</c:v>
                </c:pt>
                <c:pt idx="6786">
                  <c:v>16.111111111111111</c:v>
                </c:pt>
                <c:pt idx="6787">
                  <c:v>16.111111111111111</c:v>
                </c:pt>
                <c:pt idx="6788">
                  <c:v>16.111111111111111</c:v>
                </c:pt>
                <c:pt idx="6789">
                  <c:v>16.111111111111111</c:v>
                </c:pt>
                <c:pt idx="6790">
                  <c:v>16.222222222222225</c:v>
                </c:pt>
                <c:pt idx="6791">
                  <c:v>16.5</c:v>
                </c:pt>
                <c:pt idx="6792">
                  <c:v>16.611111111111111</c:v>
                </c:pt>
                <c:pt idx="6793">
                  <c:v>16.777777777777779</c:v>
                </c:pt>
                <c:pt idx="6794">
                  <c:v>16.888888888888889</c:v>
                </c:pt>
                <c:pt idx="6795">
                  <c:v>16.888888888888889</c:v>
                </c:pt>
                <c:pt idx="6796">
                  <c:v>16.777777777777779</c:v>
                </c:pt>
                <c:pt idx="6797">
                  <c:v>16.611111111111111</c:v>
                </c:pt>
                <c:pt idx="6798">
                  <c:v>16.277777777777775</c:v>
                </c:pt>
                <c:pt idx="6799">
                  <c:v>16.222222222222225</c:v>
                </c:pt>
                <c:pt idx="6800">
                  <c:v>16.222222222222225</c:v>
                </c:pt>
                <c:pt idx="6801">
                  <c:v>16.111111111111111</c:v>
                </c:pt>
                <c:pt idx="6802">
                  <c:v>16.111111111111111</c:v>
                </c:pt>
                <c:pt idx="6803">
                  <c:v>16.222222222222225</c:v>
                </c:pt>
                <c:pt idx="6804">
                  <c:v>16.388888888888889</c:v>
                </c:pt>
                <c:pt idx="6805">
                  <c:v>16.611111111111111</c:v>
                </c:pt>
                <c:pt idx="6806">
                  <c:v>16.722222222222221</c:v>
                </c:pt>
                <c:pt idx="6807">
                  <c:v>16.777777777777779</c:v>
                </c:pt>
                <c:pt idx="6808">
                  <c:v>16.611111111111111</c:v>
                </c:pt>
                <c:pt idx="6809">
                  <c:v>16.388888888888889</c:v>
                </c:pt>
                <c:pt idx="6810">
                  <c:v>16.222222222222225</c:v>
                </c:pt>
                <c:pt idx="6811">
                  <c:v>15.999999999999998</c:v>
                </c:pt>
                <c:pt idx="6812">
                  <c:v>15.888888888888889</c:v>
                </c:pt>
                <c:pt idx="6813">
                  <c:v>15.999999999999998</c:v>
                </c:pt>
                <c:pt idx="6814">
                  <c:v>16.111111111111111</c:v>
                </c:pt>
                <c:pt idx="6815">
                  <c:v>16.277777777777775</c:v>
                </c:pt>
                <c:pt idx="6816">
                  <c:v>16.611111111111111</c:v>
                </c:pt>
                <c:pt idx="6817">
                  <c:v>16.777777777777779</c:v>
                </c:pt>
                <c:pt idx="6818">
                  <c:v>17</c:v>
                </c:pt>
                <c:pt idx="6819">
                  <c:v>17.111111111111111</c:v>
                </c:pt>
                <c:pt idx="6820">
                  <c:v>17.111111111111111</c:v>
                </c:pt>
                <c:pt idx="6821">
                  <c:v>16.888888888888889</c:v>
                </c:pt>
                <c:pt idx="6822">
                  <c:v>16.611111111111111</c:v>
                </c:pt>
                <c:pt idx="6823">
                  <c:v>16.222222222222225</c:v>
                </c:pt>
                <c:pt idx="6824">
                  <c:v>15.999999999999998</c:v>
                </c:pt>
                <c:pt idx="6825">
                  <c:v>15.888888888888889</c:v>
                </c:pt>
                <c:pt idx="6826">
                  <c:v>15.888888888888889</c:v>
                </c:pt>
                <c:pt idx="6827">
                  <c:v>15.888888888888889</c:v>
                </c:pt>
                <c:pt idx="6828">
                  <c:v>16.222222222222225</c:v>
                </c:pt>
                <c:pt idx="6829">
                  <c:v>16.611111111111111</c:v>
                </c:pt>
                <c:pt idx="6830">
                  <c:v>16.777777777777779</c:v>
                </c:pt>
                <c:pt idx="6831">
                  <c:v>17</c:v>
                </c:pt>
                <c:pt idx="6832">
                  <c:v>17.111111111111111</c:v>
                </c:pt>
                <c:pt idx="6833">
                  <c:v>16.722222222222221</c:v>
                </c:pt>
                <c:pt idx="6834">
                  <c:v>16.388888888888889</c:v>
                </c:pt>
                <c:pt idx="6835">
                  <c:v>16.277777777777775</c:v>
                </c:pt>
                <c:pt idx="6836">
                  <c:v>16.111111111111111</c:v>
                </c:pt>
                <c:pt idx="6837">
                  <c:v>15.999999999999998</c:v>
                </c:pt>
                <c:pt idx="6838">
                  <c:v>15.999999999999998</c:v>
                </c:pt>
                <c:pt idx="6839">
                  <c:v>16.111111111111111</c:v>
                </c:pt>
                <c:pt idx="6840">
                  <c:v>16.388888888888889</c:v>
                </c:pt>
                <c:pt idx="6841">
                  <c:v>16.722222222222221</c:v>
                </c:pt>
                <c:pt idx="6842">
                  <c:v>16.888888888888889</c:v>
                </c:pt>
                <c:pt idx="6843">
                  <c:v>17.111111111111111</c:v>
                </c:pt>
                <c:pt idx="6844">
                  <c:v>17.277777777777779</c:v>
                </c:pt>
                <c:pt idx="6845">
                  <c:v>17.277777777777779</c:v>
                </c:pt>
                <c:pt idx="6846">
                  <c:v>16.888888888888889</c:v>
                </c:pt>
                <c:pt idx="6847">
                  <c:v>16.722222222222221</c:v>
                </c:pt>
                <c:pt idx="6848">
                  <c:v>16.611111111111111</c:v>
                </c:pt>
                <c:pt idx="6849">
                  <c:v>16.5</c:v>
                </c:pt>
                <c:pt idx="6850">
                  <c:v>16.388888888888889</c:v>
                </c:pt>
                <c:pt idx="6851">
                  <c:v>16.388888888888889</c:v>
                </c:pt>
                <c:pt idx="6852">
                  <c:v>16.388888888888889</c:v>
                </c:pt>
                <c:pt idx="6853">
                  <c:v>16.611111111111111</c:v>
                </c:pt>
                <c:pt idx="6854">
                  <c:v>16.888888888888889</c:v>
                </c:pt>
                <c:pt idx="6855">
                  <c:v>17.111111111111111</c:v>
                </c:pt>
                <c:pt idx="6856">
                  <c:v>17.222222222222221</c:v>
                </c:pt>
                <c:pt idx="6857">
                  <c:v>17.222222222222221</c:v>
                </c:pt>
                <c:pt idx="6858">
                  <c:v>16.777777777777779</c:v>
                </c:pt>
                <c:pt idx="6859">
                  <c:v>16.611111111111111</c:v>
                </c:pt>
                <c:pt idx="6860">
                  <c:v>16.611111111111111</c:v>
                </c:pt>
                <c:pt idx="6861">
                  <c:v>16.388888888888889</c:v>
                </c:pt>
                <c:pt idx="6862">
                  <c:v>16.277777777777775</c:v>
                </c:pt>
                <c:pt idx="6863">
                  <c:v>16.277777777777775</c:v>
                </c:pt>
                <c:pt idx="6864">
                  <c:v>16.388888888888889</c:v>
                </c:pt>
                <c:pt idx="6865">
                  <c:v>16.611111111111111</c:v>
                </c:pt>
                <c:pt idx="6866">
                  <c:v>16.888888888888889</c:v>
                </c:pt>
                <c:pt idx="6867">
                  <c:v>17.111111111111111</c:v>
                </c:pt>
                <c:pt idx="6868">
                  <c:v>17.277777777777779</c:v>
                </c:pt>
                <c:pt idx="6869">
                  <c:v>17.388888888888886</c:v>
                </c:pt>
                <c:pt idx="6870">
                  <c:v>17.388888888888886</c:v>
                </c:pt>
                <c:pt idx="6871">
                  <c:v>17.111111111111111</c:v>
                </c:pt>
                <c:pt idx="6872">
                  <c:v>16.888888888888889</c:v>
                </c:pt>
                <c:pt idx="6873">
                  <c:v>16.611111111111111</c:v>
                </c:pt>
                <c:pt idx="6874">
                  <c:v>16.388888888888889</c:v>
                </c:pt>
                <c:pt idx="6875">
                  <c:v>16.277777777777775</c:v>
                </c:pt>
                <c:pt idx="6876">
                  <c:v>16.222222222222225</c:v>
                </c:pt>
                <c:pt idx="6877">
                  <c:v>16.388888888888889</c:v>
                </c:pt>
                <c:pt idx="6878">
                  <c:v>16.611111111111111</c:v>
                </c:pt>
                <c:pt idx="6879">
                  <c:v>17</c:v>
                </c:pt>
                <c:pt idx="6880">
                  <c:v>17.222222222222221</c:v>
                </c:pt>
                <c:pt idx="6881">
                  <c:v>17.388888888888886</c:v>
                </c:pt>
                <c:pt idx="6882">
                  <c:v>17.388888888888886</c:v>
                </c:pt>
                <c:pt idx="6883">
                  <c:v>16.888888888888889</c:v>
                </c:pt>
                <c:pt idx="6884">
                  <c:v>16.5</c:v>
                </c:pt>
                <c:pt idx="6885">
                  <c:v>15.999999999999998</c:v>
                </c:pt>
                <c:pt idx="6886">
                  <c:v>15.72222222222222</c:v>
                </c:pt>
                <c:pt idx="6887">
                  <c:v>15.72222222222222</c:v>
                </c:pt>
                <c:pt idx="6888">
                  <c:v>15.777777777777777</c:v>
                </c:pt>
                <c:pt idx="6889">
                  <c:v>15.777777777777777</c:v>
                </c:pt>
                <c:pt idx="6890">
                  <c:v>16.222222222222225</c:v>
                </c:pt>
                <c:pt idx="6891">
                  <c:v>16.722222222222221</c:v>
                </c:pt>
                <c:pt idx="6892">
                  <c:v>17.111111111111111</c:v>
                </c:pt>
                <c:pt idx="6893">
                  <c:v>17.277777777777779</c:v>
                </c:pt>
                <c:pt idx="6894">
                  <c:v>17.5</c:v>
                </c:pt>
                <c:pt idx="6895">
                  <c:v>17.388888888888886</c:v>
                </c:pt>
                <c:pt idx="6896">
                  <c:v>16.888888888888889</c:v>
                </c:pt>
                <c:pt idx="6897">
                  <c:v>16.611111111111111</c:v>
                </c:pt>
                <c:pt idx="6898">
                  <c:v>16.222222222222225</c:v>
                </c:pt>
                <c:pt idx="6899">
                  <c:v>16.111111111111111</c:v>
                </c:pt>
                <c:pt idx="6900">
                  <c:v>15.999999999999998</c:v>
                </c:pt>
                <c:pt idx="6901">
                  <c:v>15.888888888888889</c:v>
                </c:pt>
                <c:pt idx="6902">
                  <c:v>15.999999999999998</c:v>
                </c:pt>
                <c:pt idx="6903">
                  <c:v>16.388888888888889</c:v>
                </c:pt>
                <c:pt idx="6904">
                  <c:v>16.722222222222221</c:v>
                </c:pt>
                <c:pt idx="6905">
                  <c:v>17.111111111111111</c:v>
                </c:pt>
                <c:pt idx="6906">
                  <c:v>17.222222222222221</c:v>
                </c:pt>
                <c:pt idx="6907">
                  <c:v>17.222222222222221</c:v>
                </c:pt>
                <c:pt idx="6908">
                  <c:v>16.722222222222221</c:v>
                </c:pt>
                <c:pt idx="6909">
                  <c:v>16.388888888888889</c:v>
                </c:pt>
                <c:pt idx="6910">
                  <c:v>16.277777777777775</c:v>
                </c:pt>
                <c:pt idx="6911">
                  <c:v>16.222222222222225</c:v>
                </c:pt>
                <c:pt idx="6912">
                  <c:v>15.999999999999998</c:v>
                </c:pt>
                <c:pt idx="6913">
                  <c:v>15.888888888888889</c:v>
                </c:pt>
                <c:pt idx="6914">
                  <c:v>16.111111111111111</c:v>
                </c:pt>
                <c:pt idx="6915">
                  <c:v>16.277777777777775</c:v>
                </c:pt>
                <c:pt idx="6916">
                  <c:v>16.5</c:v>
                </c:pt>
                <c:pt idx="6917">
                  <c:v>16.777777777777779</c:v>
                </c:pt>
                <c:pt idx="6918">
                  <c:v>17</c:v>
                </c:pt>
                <c:pt idx="6919">
                  <c:v>17.222222222222221</c:v>
                </c:pt>
                <c:pt idx="6920">
                  <c:v>17.222222222222221</c:v>
                </c:pt>
                <c:pt idx="6921">
                  <c:v>16.888888888888889</c:v>
                </c:pt>
                <c:pt idx="6922">
                  <c:v>16.611111111111111</c:v>
                </c:pt>
                <c:pt idx="6923">
                  <c:v>16.388888888888889</c:v>
                </c:pt>
                <c:pt idx="6924">
                  <c:v>16.277777777777775</c:v>
                </c:pt>
                <c:pt idx="6925">
                  <c:v>16.277777777777775</c:v>
                </c:pt>
                <c:pt idx="6926">
                  <c:v>16.222222222222225</c:v>
                </c:pt>
                <c:pt idx="6927">
                  <c:v>16.277777777777775</c:v>
                </c:pt>
                <c:pt idx="6928">
                  <c:v>16.5</c:v>
                </c:pt>
                <c:pt idx="6929">
                  <c:v>16.777777777777779</c:v>
                </c:pt>
                <c:pt idx="6930">
                  <c:v>17</c:v>
                </c:pt>
                <c:pt idx="6931">
                  <c:v>17.222222222222221</c:v>
                </c:pt>
                <c:pt idx="6932">
                  <c:v>17.222222222222221</c:v>
                </c:pt>
                <c:pt idx="6933">
                  <c:v>16.722222222222221</c:v>
                </c:pt>
                <c:pt idx="6934">
                  <c:v>16.5</c:v>
                </c:pt>
                <c:pt idx="6935">
                  <c:v>16.111111111111111</c:v>
                </c:pt>
                <c:pt idx="6936">
                  <c:v>15.611111111111111</c:v>
                </c:pt>
                <c:pt idx="6937">
                  <c:v>15.277777777777777</c:v>
                </c:pt>
                <c:pt idx="6938">
                  <c:v>15.388888888888889</c:v>
                </c:pt>
                <c:pt idx="6939">
                  <c:v>15.277777777777777</c:v>
                </c:pt>
                <c:pt idx="6940">
                  <c:v>15.777777777777777</c:v>
                </c:pt>
                <c:pt idx="6941">
                  <c:v>16.277777777777775</c:v>
                </c:pt>
                <c:pt idx="6942">
                  <c:v>16.722222222222221</c:v>
                </c:pt>
                <c:pt idx="6943">
                  <c:v>16.888888888888889</c:v>
                </c:pt>
                <c:pt idx="6944">
                  <c:v>17</c:v>
                </c:pt>
                <c:pt idx="6945">
                  <c:v>16.888888888888889</c:v>
                </c:pt>
                <c:pt idx="6946">
                  <c:v>16.5</c:v>
                </c:pt>
                <c:pt idx="6947">
                  <c:v>16.222222222222225</c:v>
                </c:pt>
                <c:pt idx="6948">
                  <c:v>15.499999999999998</c:v>
                </c:pt>
                <c:pt idx="6949">
                  <c:v>14.888888888888888</c:v>
                </c:pt>
                <c:pt idx="6950">
                  <c:v>14.611111111111109</c:v>
                </c:pt>
                <c:pt idx="6951">
                  <c:v>14.888888888888888</c:v>
                </c:pt>
                <c:pt idx="6952">
                  <c:v>14.888888888888888</c:v>
                </c:pt>
                <c:pt idx="6953">
                  <c:v>15.388888888888889</c:v>
                </c:pt>
                <c:pt idx="6954">
                  <c:v>16.111111111111111</c:v>
                </c:pt>
                <c:pt idx="6955">
                  <c:v>16.5</c:v>
                </c:pt>
                <c:pt idx="6956">
                  <c:v>16.722222222222221</c:v>
                </c:pt>
                <c:pt idx="6957">
                  <c:v>16.777777777777779</c:v>
                </c:pt>
                <c:pt idx="6958">
                  <c:v>16.111111111111111</c:v>
                </c:pt>
                <c:pt idx="6959">
                  <c:v>15.72222222222222</c:v>
                </c:pt>
                <c:pt idx="6960">
                  <c:v>15.222222222222221</c:v>
                </c:pt>
                <c:pt idx="6961">
                  <c:v>14.777777777777779</c:v>
                </c:pt>
                <c:pt idx="6962">
                  <c:v>14.5</c:v>
                </c:pt>
                <c:pt idx="6963">
                  <c:v>14.5</c:v>
                </c:pt>
                <c:pt idx="6964">
                  <c:v>14.5</c:v>
                </c:pt>
                <c:pt idx="6965">
                  <c:v>15</c:v>
                </c:pt>
                <c:pt idx="6966">
                  <c:v>15.499999999999998</c:v>
                </c:pt>
                <c:pt idx="6967">
                  <c:v>15.999999999999998</c:v>
                </c:pt>
                <c:pt idx="6968">
                  <c:v>16.277777777777775</c:v>
                </c:pt>
                <c:pt idx="6969">
                  <c:v>16.388888888888889</c:v>
                </c:pt>
                <c:pt idx="6970">
                  <c:v>16.388888888888889</c:v>
                </c:pt>
                <c:pt idx="6971">
                  <c:v>15.72222222222222</c:v>
                </c:pt>
                <c:pt idx="6972">
                  <c:v>15.277777777777777</c:v>
                </c:pt>
                <c:pt idx="6973">
                  <c:v>14.777777777777779</c:v>
                </c:pt>
                <c:pt idx="6974">
                  <c:v>14.388888888888888</c:v>
                </c:pt>
                <c:pt idx="6975">
                  <c:v>14.277777777777779</c:v>
                </c:pt>
                <c:pt idx="6976">
                  <c:v>14.277777777777779</c:v>
                </c:pt>
                <c:pt idx="6977">
                  <c:v>14.5</c:v>
                </c:pt>
                <c:pt idx="6978">
                  <c:v>14.888888888888888</c:v>
                </c:pt>
                <c:pt idx="6979">
                  <c:v>15.499999999999998</c:v>
                </c:pt>
                <c:pt idx="6980">
                  <c:v>15.999999999999998</c:v>
                </c:pt>
                <c:pt idx="6981">
                  <c:v>16.111111111111111</c:v>
                </c:pt>
                <c:pt idx="6982">
                  <c:v>16.111111111111111</c:v>
                </c:pt>
                <c:pt idx="6983">
                  <c:v>15.277777777777777</c:v>
                </c:pt>
                <c:pt idx="6984">
                  <c:v>15</c:v>
                </c:pt>
                <c:pt idx="6985">
                  <c:v>14.5</c:v>
                </c:pt>
                <c:pt idx="6986">
                  <c:v>14.222222222222223</c:v>
                </c:pt>
                <c:pt idx="6987">
                  <c:v>14.111111111111111</c:v>
                </c:pt>
                <c:pt idx="6988">
                  <c:v>14.222222222222223</c:v>
                </c:pt>
                <c:pt idx="6989">
                  <c:v>14.222222222222223</c:v>
                </c:pt>
                <c:pt idx="6990">
                  <c:v>14.611111111111109</c:v>
                </c:pt>
                <c:pt idx="6991">
                  <c:v>15.111111111111112</c:v>
                </c:pt>
                <c:pt idx="6992">
                  <c:v>15.611111111111111</c:v>
                </c:pt>
                <c:pt idx="6993">
                  <c:v>15.777777777777777</c:v>
                </c:pt>
                <c:pt idx="6994">
                  <c:v>15.777777777777777</c:v>
                </c:pt>
                <c:pt idx="6995">
                  <c:v>15.72222222222222</c:v>
                </c:pt>
                <c:pt idx="6996">
                  <c:v>15.111111111111112</c:v>
                </c:pt>
                <c:pt idx="6997">
                  <c:v>14.777777777777779</c:v>
                </c:pt>
                <c:pt idx="6998">
                  <c:v>14.388888888888888</c:v>
                </c:pt>
                <c:pt idx="6999">
                  <c:v>14.222222222222223</c:v>
                </c:pt>
                <c:pt idx="7000">
                  <c:v>14.222222222222223</c:v>
                </c:pt>
                <c:pt idx="7001">
                  <c:v>14.222222222222223</c:v>
                </c:pt>
                <c:pt idx="7002">
                  <c:v>14.5</c:v>
                </c:pt>
                <c:pt idx="7003">
                  <c:v>14.888888888888888</c:v>
                </c:pt>
                <c:pt idx="7004">
                  <c:v>15.388888888888889</c:v>
                </c:pt>
                <c:pt idx="7005">
                  <c:v>15.611111111111111</c:v>
                </c:pt>
                <c:pt idx="7006">
                  <c:v>15.72222222222222</c:v>
                </c:pt>
                <c:pt idx="7007">
                  <c:v>15.72222222222222</c:v>
                </c:pt>
                <c:pt idx="7008">
                  <c:v>15.111111111111112</c:v>
                </c:pt>
                <c:pt idx="7009">
                  <c:v>14.777777777777779</c:v>
                </c:pt>
                <c:pt idx="7010">
                  <c:v>14.277777777777779</c:v>
                </c:pt>
                <c:pt idx="7011">
                  <c:v>14.222222222222223</c:v>
                </c:pt>
                <c:pt idx="7012">
                  <c:v>14.222222222222223</c:v>
                </c:pt>
                <c:pt idx="7013">
                  <c:v>14.277777777777779</c:v>
                </c:pt>
                <c:pt idx="7014">
                  <c:v>14.388888888888888</c:v>
                </c:pt>
                <c:pt idx="7015">
                  <c:v>14.722222222222221</c:v>
                </c:pt>
                <c:pt idx="7016">
                  <c:v>15.222222222222221</c:v>
                </c:pt>
                <c:pt idx="7017">
                  <c:v>15.388888888888889</c:v>
                </c:pt>
                <c:pt idx="7018">
                  <c:v>15.611111111111111</c:v>
                </c:pt>
                <c:pt idx="7019">
                  <c:v>15.611111111111111</c:v>
                </c:pt>
                <c:pt idx="7020">
                  <c:v>15.388888888888889</c:v>
                </c:pt>
                <c:pt idx="7021">
                  <c:v>15</c:v>
                </c:pt>
                <c:pt idx="7022">
                  <c:v>14.5</c:v>
                </c:pt>
                <c:pt idx="7023">
                  <c:v>14.222222222222223</c:v>
                </c:pt>
                <c:pt idx="7024">
                  <c:v>14.111111111111111</c:v>
                </c:pt>
                <c:pt idx="7025">
                  <c:v>14.111111111111111</c:v>
                </c:pt>
                <c:pt idx="7026">
                  <c:v>14.222222222222223</c:v>
                </c:pt>
                <c:pt idx="7027">
                  <c:v>14.5</c:v>
                </c:pt>
                <c:pt idx="7028">
                  <c:v>15</c:v>
                </c:pt>
                <c:pt idx="7029">
                  <c:v>15.388888888888889</c:v>
                </c:pt>
                <c:pt idx="7030">
                  <c:v>15.611111111111111</c:v>
                </c:pt>
                <c:pt idx="7031">
                  <c:v>15.72222222222222</c:v>
                </c:pt>
                <c:pt idx="7032">
                  <c:v>15.499999999999998</c:v>
                </c:pt>
                <c:pt idx="7033">
                  <c:v>15.111111111111112</c:v>
                </c:pt>
                <c:pt idx="7034">
                  <c:v>14.611111111111109</c:v>
                </c:pt>
                <c:pt idx="7035">
                  <c:v>14.277777777777779</c:v>
                </c:pt>
                <c:pt idx="7036">
                  <c:v>14.111111111111111</c:v>
                </c:pt>
                <c:pt idx="7037">
                  <c:v>14.111111111111111</c:v>
                </c:pt>
                <c:pt idx="7038">
                  <c:v>14.111111111111111</c:v>
                </c:pt>
                <c:pt idx="7039">
                  <c:v>14.277777777777779</c:v>
                </c:pt>
                <c:pt idx="7040">
                  <c:v>14.611111111111109</c:v>
                </c:pt>
                <c:pt idx="7041">
                  <c:v>15</c:v>
                </c:pt>
                <c:pt idx="7042">
                  <c:v>15.222222222222221</c:v>
                </c:pt>
                <c:pt idx="7043">
                  <c:v>15.277777777777777</c:v>
                </c:pt>
                <c:pt idx="7044">
                  <c:v>15.277777777777777</c:v>
                </c:pt>
                <c:pt idx="7045">
                  <c:v>14.777777777777779</c:v>
                </c:pt>
                <c:pt idx="7046">
                  <c:v>14.388888888888888</c:v>
                </c:pt>
                <c:pt idx="7047">
                  <c:v>14.111111111111111</c:v>
                </c:pt>
                <c:pt idx="7048">
                  <c:v>14.000000000000002</c:v>
                </c:pt>
                <c:pt idx="7049">
                  <c:v>13.888888888888889</c:v>
                </c:pt>
                <c:pt idx="7050">
                  <c:v>14.000000000000002</c:v>
                </c:pt>
                <c:pt idx="7051">
                  <c:v>14.111111111111111</c:v>
                </c:pt>
                <c:pt idx="7052">
                  <c:v>14.388888888888888</c:v>
                </c:pt>
                <c:pt idx="7053">
                  <c:v>14.888888888888888</c:v>
                </c:pt>
                <c:pt idx="7054">
                  <c:v>15.222222222222221</c:v>
                </c:pt>
                <c:pt idx="7055">
                  <c:v>15.277777777777777</c:v>
                </c:pt>
                <c:pt idx="7056">
                  <c:v>15.277777777777777</c:v>
                </c:pt>
                <c:pt idx="7057">
                  <c:v>15</c:v>
                </c:pt>
                <c:pt idx="7058">
                  <c:v>14.722222222222221</c:v>
                </c:pt>
                <c:pt idx="7059">
                  <c:v>14.222222222222223</c:v>
                </c:pt>
                <c:pt idx="7060">
                  <c:v>13.777777777777775</c:v>
                </c:pt>
                <c:pt idx="7061">
                  <c:v>13.722222222222223</c:v>
                </c:pt>
                <c:pt idx="7062">
                  <c:v>13.611111111111111</c:v>
                </c:pt>
                <c:pt idx="7063">
                  <c:v>13.722222222222223</c:v>
                </c:pt>
                <c:pt idx="7064">
                  <c:v>14.000000000000002</c:v>
                </c:pt>
                <c:pt idx="7065">
                  <c:v>14.388888888888888</c:v>
                </c:pt>
                <c:pt idx="7066">
                  <c:v>14.722222222222221</c:v>
                </c:pt>
                <c:pt idx="7067">
                  <c:v>14.777777777777779</c:v>
                </c:pt>
                <c:pt idx="7068">
                  <c:v>14.888888888888888</c:v>
                </c:pt>
                <c:pt idx="7069">
                  <c:v>14.722222222222221</c:v>
                </c:pt>
                <c:pt idx="7070">
                  <c:v>14.222222222222223</c:v>
                </c:pt>
                <c:pt idx="7071">
                  <c:v>13.777777777777775</c:v>
                </c:pt>
                <c:pt idx="7072">
                  <c:v>13.499999999999998</c:v>
                </c:pt>
                <c:pt idx="7073">
                  <c:v>13.388888888888889</c:v>
                </c:pt>
                <c:pt idx="7074">
                  <c:v>13.499999999999998</c:v>
                </c:pt>
                <c:pt idx="7075">
                  <c:v>13.611111111111111</c:v>
                </c:pt>
                <c:pt idx="7076">
                  <c:v>13.777777777777775</c:v>
                </c:pt>
                <c:pt idx="7077">
                  <c:v>14.222222222222223</c:v>
                </c:pt>
                <c:pt idx="7078">
                  <c:v>14.5</c:v>
                </c:pt>
                <c:pt idx="7079">
                  <c:v>14.777777777777779</c:v>
                </c:pt>
                <c:pt idx="7080">
                  <c:v>14.888888888888888</c:v>
                </c:pt>
                <c:pt idx="7081">
                  <c:v>14.777777777777779</c:v>
                </c:pt>
                <c:pt idx="7082">
                  <c:v>14.388888888888888</c:v>
                </c:pt>
                <c:pt idx="7083">
                  <c:v>14.000000000000002</c:v>
                </c:pt>
                <c:pt idx="7084">
                  <c:v>13.611111111111111</c:v>
                </c:pt>
                <c:pt idx="7085">
                  <c:v>13.388888888888889</c:v>
                </c:pt>
                <c:pt idx="7086">
                  <c:v>13.388888888888889</c:v>
                </c:pt>
                <c:pt idx="7087">
                  <c:v>13.388888888888889</c:v>
                </c:pt>
                <c:pt idx="7088">
                  <c:v>13.611111111111111</c:v>
                </c:pt>
                <c:pt idx="7089">
                  <c:v>13.777777777777775</c:v>
                </c:pt>
                <c:pt idx="7090">
                  <c:v>14.111111111111111</c:v>
                </c:pt>
                <c:pt idx="7091">
                  <c:v>14.388888888888888</c:v>
                </c:pt>
                <c:pt idx="7092">
                  <c:v>14.5</c:v>
                </c:pt>
                <c:pt idx="7093">
                  <c:v>14.5</c:v>
                </c:pt>
                <c:pt idx="7094">
                  <c:v>14.000000000000002</c:v>
                </c:pt>
                <c:pt idx="7095">
                  <c:v>13.722222222222223</c:v>
                </c:pt>
                <c:pt idx="7096">
                  <c:v>13.388888888888889</c:v>
                </c:pt>
                <c:pt idx="7097">
                  <c:v>13.277777777777777</c:v>
                </c:pt>
                <c:pt idx="7098">
                  <c:v>13.277777777777777</c:v>
                </c:pt>
                <c:pt idx="7099">
                  <c:v>13.388888888888889</c:v>
                </c:pt>
                <c:pt idx="7100">
                  <c:v>13.388888888888889</c:v>
                </c:pt>
                <c:pt idx="7101">
                  <c:v>13.722222222222223</c:v>
                </c:pt>
                <c:pt idx="7102">
                  <c:v>14.000000000000002</c:v>
                </c:pt>
                <c:pt idx="7103">
                  <c:v>14.222222222222223</c:v>
                </c:pt>
                <c:pt idx="7104">
                  <c:v>14.388888888888888</c:v>
                </c:pt>
                <c:pt idx="7105">
                  <c:v>14.388888888888888</c:v>
                </c:pt>
                <c:pt idx="7106">
                  <c:v>14.388888888888888</c:v>
                </c:pt>
                <c:pt idx="7107">
                  <c:v>14.000000000000002</c:v>
                </c:pt>
                <c:pt idx="7108">
                  <c:v>13.722222222222223</c:v>
                </c:pt>
                <c:pt idx="7109">
                  <c:v>13.388888888888889</c:v>
                </c:pt>
                <c:pt idx="7110">
                  <c:v>13.388888888888889</c:v>
                </c:pt>
                <c:pt idx="7111">
                  <c:v>13.277777777777777</c:v>
                </c:pt>
                <c:pt idx="7112">
                  <c:v>13.388888888888889</c:v>
                </c:pt>
                <c:pt idx="7113">
                  <c:v>13.499999999999998</c:v>
                </c:pt>
                <c:pt idx="7114">
                  <c:v>13.722222222222223</c:v>
                </c:pt>
                <c:pt idx="7115">
                  <c:v>14.000000000000002</c:v>
                </c:pt>
                <c:pt idx="7116">
                  <c:v>14.111111111111111</c:v>
                </c:pt>
                <c:pt idx="7117">
                  <c:v>14.111111111111111</c:v>
                </c:pt>
                <c:pt idx="7118">
                  <c:v>14.000000000000002</c:v>
                </c:pt>
                <c:pt idx="7119">
                  <c:v>13.722222222222223</c:v>
                </c:pt>
                <c:pt idx="7120">
                  <c:v>13.499999999999998</c:v>
                </c:pt>
                <c:pt idx="7121">
                  <c:v>13.277777777777777</c:v>
                </c:pt>
                <c:pt idx="7122">
                  <c:v>13.277777777777777</c:v>
                </c:pt>
                <c:pt idx="7123">
                  <c:v>13.388888888888889</c:v>
                </c:pt>
                <c:pt idx="7124">
                  <c:v>13.388888888888889</c:v>
                </c:pt>
                <c:pt idx="7125">
                  <c:v>13.499999999999998</c:v>
                </c:pt>
                <c:pt idx="7126">
                  <c:v>13.722222222222223</c:v>
                </c:pt>
                <c:pt idx="7127">
                  <c:v>14.000000000000002</c:v>
                </c:pt>
                <c:pt idx="7128">
                  <c:v>14.111111111111111</c:v>
                </c:pt>
                <c:pt idx="7129">
                  <c:v>14.222222222222223</c:v>
                </c:pt>
                <c:pt idx="7130">
                  <c:v>14.222222222222223</c:v>
                </c:pt>
                <c:pt idx="7131">
                  <c:v>14.000000000000002</c:v>
                </c:pt>
                <c:pt idx="7132">
                  <c:v>13.777777777777775</c:v>
                </c:pt>
                <c:pt idx="7133">
                  <c:v>13.611111111111111</c:v>
                </c:pt>
                <c:pt idx="7134">
                  <c:v>13.499999999999998</c:v>
                </c:pt>
                <c:pt idx="7135">
                  <c:v>13.499999999999998</c:v>
                </c:pt>
                <c:pt idx="7136">
                  <c:v>13.499999999999998</c:v>
                </c:pt>
                <c:pt idx="7137">
                  <c:v>13.499999999999998</c:v>
                </c:pt>
                <c:pt idx="7138">
                  <c:v>13.611111111111111</c:v>
                </c:pt>
                <c:pt idx="7139">
                  <c:v>13.777777777777775</c:v>
                </c:pt>
                <c:pt idx="7140">
                  <c:v>13.888888888888889</c:v>
                </c:pt>
                <c:pt idx="7141">
                  <c:v>14.000000000000002</c:v>
                </c:pt>
                <c:pt idx="7142">
                  <c:v>14.111111111111111</c:v>
                </c:pt>
                <c:pt idx="7143">
                  <c:v>13.777777777777775</c:v>
                </c:pt>
                <c:pt idx="7144">
                  <c:v>13.722222222222223</c:v>
                </c:pt>
                <c:pt idx="7145">
                  <c:v>13.722222222222223</c:v>
                </c:pt>
                <c:pt idx="7146">
                  <c:v>13.777777777777775</c:v>
                </c:pt>
                <c:pt idx="7147">
                  <c:v>13.777777777777775</c:v>
                </c:pt>
                <c:pt idx="7148">
                  <c:v>13.777777777777775</c:v>
                </c:pt>
                <c:pt idx="7149">
                  <c:v>13.777777777777775</c:v>
                </c:pt>
                <c:pt idx="7150">
                  <c:v>13.777777777777775</c:v>
                </c:pt>
                <c:pt idx="7151">
                  <c:v>13.888888888888889</c:v>
                </c:pt>
                <c:pt idx="7152">
                  <c:v>14.000000000000002</c:v>
                </c:pt>
                <c:pt idx="7153">
                  <c:v>14.111111111111111</c:v>
                </c:pt>
                <c:pt idx="7154">
                  <c:v>14.111111111111111</c:v>
                </c:pt>
                <c:pt idx="7155">
                  <c:v>14.111111111111111</c:v>
                </c:pt>
                <c:pt idx="7156">
                  <c:v>14.000000000000002</c:v>
                </c:pt>
                <c:pt idx="7157">
                  <c:v>13.888888888888889</c:v>
                </c:pt>
                <c:pt idx="7158">
                  <c:v>13.888888888888889</c:v>
                </c:pt>
                <c:pt idx="7159">
                  <c:v>13.888888888888889</c:v>
                </c:pt>
                <c:pt idx="7160">
                  <c:v>13.888888888888889</c:v>
                </c:pt>
                <c:pt idx="7161">
                  <c:v>13.888888888888889</c:v>
                </c:pt>
                <c:pt idx="7162">
                  <c:v>13.888888888888889</c:v>
                </c:pt>
                <c:pt idx="7163">
                  <c:v>13.888888888888889</c:v>
                </c:pt>
                <c:pt idx="7164">
                  <c:v>14.000000000000002</c:v>
                </c:pt>
                <c:pt idx="7165">
                  <c:v>14.000000000000002</c:v>
                </c:pt>
                <c:pt idx="7166">
                  <c:v>14.000000000000002</c:v>
                </c:pt>
                <c:pt idx="7167">
                  <c:v>14.000000000000002</c:v>
                </c:pt>
                <c:pt idx="7168">
                  <c:v>14.000000000000002</c:v>
                </c:pt>
                <c:pt idx="7169">
                  <c:v>13.888888888888889</c:v>
                </c:pt>
                <c:pt idx="7170">
                  <c:v>13.888888888888889</c:v>
                </c:pt>
                <c:pt idx="7171">
                  <c:v>13.888888888888889</c:v>
                </c:pt>
                <c:pt idx="7172">
                  <c:v>13.888888888888889</c:v>
                </c:pt>
                <c:pt idx="7173">
                  <c:v>14.000000000000002</c:v>
                </c:pt>
                <c:pt idx="7174">
                  <c:v>14.000000000000002</c:v>
                </c:pt>
                <c:pt idx="7175">
                  <c:v>14.000000000000002</c:v>
                </c:pt>
                <c:pt idx="7176">
                  <c:v>14.111111111111111</c:v>
                </c:pt>
                <c:pt idx="7177">
                  <c:v>14.111111111111111</c:v>
                </c:pt>
                <c:pt idx="7178">
                  <c:v>14.111111111111111</c:v>
                </c:pt>
                <c:pt idx="7179">
                  <c:v>14.222222222222223</c:v>
                </c:pt>
                <c:pt idx="7180">
                  <c:v>14.111111111111111</c:v>
                </c:pt>
                <c:pt idx="7181">
                  <c:v>14.111111111111111</c:v>
                </c:pt>
                <c:pt idx="7182">
                  <c:v>14.000000000000002</c:v>
                </c:pt>
                <c:pt idx="7183">
                  <c:v>14.000000000000002</c:v>
                </c:pt>
                <c:pt idx="7184">
                  <c:v>14.000000000000002</c:v>
                </c:pt>
                <c:pt idx="7185">
                  <c:v>14.000000000000002</c:v>
                </c:pt>
                <c:pt idx="7186">
                  <c:v>14.000000000000002</c:v>
                </c:pt>
                <c:pt idx="7187">
                  <c:v>14.000000000000002</c:v>
                </c:pt>
                <c:pt idx="7188">
                  <c:v>14.000000000000002</c:v>
                </c:pt>
                <c:pt idx="7189">
                  <c:v>14.111111111111111</c:v>
                </c:pt>
                <c:pt idx="7190">
                  <c:v>14.111111111111111</c:v>
                </c:pt>
                <c:pt idx="7191">
                  <c:v>14.222222222222223</c:v>
                </c:pt>
                <c:pt idx="7192">
                  <c:v>14.111111111111111</c:v>
                </c:pt>
                <c:pt idx="7193">
                  <c:v>14.111111111111111</c:v>
                </c:pt>
                <c:pt idx="7194">
                  <c:v>14.111111111111111</c:v>
                </c:pt>
                <c:pt idx="7195">
                  <c:v>14.111111111111111</c:v>
                </c:pt>
                <c:pt idx="7196">
                  <c:v>14.111111111111111</c:v>
                </c:pt>
                <c:pt idx="7197">
                  <c:v>14.111111111111111</c:v>
                </c:pt>
                <c:pt idx="7198">
                  <c:v>14.111111111111111</c:v>
                </c:pt>
                <c:pt idx="7199">
                  <c:v>14.111111111111111</c:v>
                </c:pt>
                <c:pt idx="7200">
                  <c:v>14.222222222222223</c:v>
                </c:pt>
                <c:pt idx="7201">
                  <c:v>14.222222222222223</c:v>
                </c:pt>
                <c:pt idx="7202">
                  <c:v>14.277777777777779</c:v>
                </c:pt>
                <c:pt idx="7203">
                  <c:v>14.277777777777779</c:v>
                </c:pt>
                <c:pt idx="7204">
                  <c:v>14.277777777777779</c:v>
                </c:pt>
                <c:pt idx="7205">
                  <c:v>14.277777777777779</c:v>
                </c:pt>
                <c:pt idx="7206">
                  <c:v>14.222222222222223</c:v>
                </c:pt>
                <c:pt idx="7207">
                  <c:v>14.111111111111111</c:v>
                </c:pt>
                <c:pt idx="7208">
                  <c:v>14.000000000000002</c:v>
                </c:pt>
                <c:pt idx="7209">
                  <c:v>14.000000000000002</c:v>
                </c:pt>
                <c:pt idx="7210">
                  <c:v>13.888888888888889</c:v>
                </c:pt>
                <c:pt idx="7211">
                  <c:v>14.000000000000002</c:v>
                </c:pt>
                <c:pt idx="7212">
                  <c:v>14.000000000000002</c:v>
                </c:pt>
                <c:pt idx="7213">
                  <c:v>14.111111111111111</c:v>
                </c:pt>
                <c:pt idx="7214">
                  <c:v>14.111111111111111</c:v>
                </c:pt>
                <c:pt idx="7215">
                  <c:v>14.222222222222223</c:v>
                </c:pt>
                <c:pt idx="7216">
                  <c:v>14.222222222222223</c:v>
                </c:pt>
                <c:pt idx="7217">
                  <c:v>14.111111111111111</c:v>
                </c:pt>
                <c:pt idx="7218">
                  <c:v>14.111111111111111</c:v>
                </c:pt>
                <c:pt idx="7219">
                  <c:v>13.888888888888889</c:v>
                </c:pt>
                <c:pt idx="7220">
                  <c:v>13.722222222222223</c:v>
                </c:pt>
                <c:pt idx="7221">
                  <c:v>13.611111111111111</c:v>
                </c:pt>
                <c:pt idx="7222">
                  <c:v>13.611111111111111</c:v>
                </c:pt>
                <c:pt idx="7223">
                  <c:v>13.722222222222223</c:v>
                </c:pt>
                <c:pt idx="7224">
                  <c:v>13.777777777777775</c:v>
                </c:pt>
                <c:pt idx="7225">
                  <c:v>14.000000000000002</c:v>
                </c:pt>
                <c:pt idx="7226">
                  <c:v>14.111111111111111</c:v>
                </c:pt>
                <c:pt idx="7227">
                  <c:v>14.222222222222223</c:v>
                </c:pt>
                <c:pt idx="7228">
                  <c:v>14.222222222222223</c:v>
                </c:pt>
                <c:pt idx="7229">
                  <c:v>14.222222222222223</c:v>
                </c:pt>
                <c:pt idx="7230">
                  <c:v>14.222222222222223</c:v>
                </c:pt>
                <c:pt idx="7231">
                  <c:v>14.111111111111111</c:v>
                </c:pt>
                <c:pt idx="7232">
                  <c:v>13.888888888888889</c:v>
                </c:pt>
                <c:pt idx="7233">
                  <c:v>13.777777777777775</c:v>
                </c:pt>
                <c:pt idx="7234">
                  <c:v>13.722222222222223</c:v>
                </c:pt>
                <c:pt idx="7235">
                  <c:v>13.611111111111111</c:v>
                </c:pt>
                <c:pt idx="7236">
                  <c:v>13.722222222222223</c:v>
                </c:pt>
                <c:pt idx="7237">
                  <c:v>13.777777777777775</c:v>
                </c:pt>
                <c:pt idx="7238">
                  <c:v>14.000000000000002</c:v>
                </c:pt>
                <c:pt idx="7239">
                  <c:v>14.111111111111111</c:v>
                </c:pt>
                <c:pt idx="7240">
                  <c:v>14.222222222222223</c:v>
                </c:pt>
                <c:pt idx="7241">
                  <c:v>14.222222222222223</c:v>
                </c:pt>
                <c:pt idx="7242">
                  <c:v>14.000000000000002</c:v>
                </c:pt>
                <c:pt idx="7243">
                  <c:v>13.888888888888889</c:v>
                </c:pt>
                <c:pt idx="7244">
                  <c:v>13.888888888888889</c:v>
                </c:pt>
                <c:pt idx="7245">
                  <c:v>14.000000000000002</c:v>
                </c:pt>
                <c:pt idx="7246">
                  <c:v>13.888888888888889</c:v>
                </c:pt>
                <c:pt idx="7247">
                  <c:v>13.888888888888889</c:v>
                </c:pt>
                <c:pt idx="7248">
                  <c:v>13.888888888888889</c:v>
                </c:pt>
                <c:pt idx="7249">
                  <c:v>14.000000000000002</c:v>
                </c:pt>
                <c:pt idx="7250">
                  <c:v>14.000000000000002</c:v>
                </c:pt>
                <c:pt idx="7251">
                  <c:v>14.111111111111111</c:v>
                </c:pt>
                <c:pt idx="7252">
                  <c:v>14.111111111111111</c:v>
                </c:pt>
                <c:pt idx="7253">
                  <c:v>14.222222222222223</c:v>
                </c:pt>
                <c:pt idx="7254">
                  <c:v>14.222222222222223</c:v>
                </c:pt>
                <c:pt idx="7255">
                  <c:v>14.111111111111111</c:v>
                </c:pt>
                <c:pt idx="7256">
                  <c:v>14.000000000000002</c:v>
                </c:pt>
                <c:pt idx="7257">
                  <c:v>14.000000000000002</c:v>
                </c:pt>
                <c:pt idx="7258">
                  <c:v>14.000000000000002</c:v>
                </c:pt>
                <c:pt idx="7259">
                  <c:v>13.888888888888889</c:v>
                </c:pt>
                <c:pt idx="7260">
                  <c:v>13.888888888888889</c:v>
                </c:pt>
                <c:pt idx="7261">
                  <c:v>13.888888888888889</c:v>
                </c:pt>
                <c:pt idx="7262">
                  <c:v>13.888888888888889</c:v>
                </c:pt>
                <c:pt idx="7263">
                  <c:v>14.000000000000002</c:v>
                </c:pt>
                <c:pt idx="7264">
                  <c:v>14.111111111111111</c:v>
                </c:pt>
                <c:pt idx="7265">
                  <c:v>14.111111111111111</c:v>
                </c:pt>
                <c:pt idx="7266">
                  <c:v>14.111111111111111</c:v>
                </c:pt>
                <c:pt idx="7267">
                  <c:v>14.111111111111111</c:v>
                </c:pt>
                <c:pt idx="7268">
                  <c:v>14.000000000000002</c:v>
                </c:pt>
                <c:pt idx="7269">
                  <c:v>13.722222222222223</c:v>
                </c:pt>
                <c:pt idx="7270">
                  <c:v>13.499999999999998</c:v>
                </c:pt>
                <c:pt idx="7271">
                  <c:v>13.388888888888889</c:v>
                </c:pt>
                <c:pt idx="7272">
                  <c:v>13.277777777777777</c:v>
                </c:pt>
                <c:pt idx="7273">
                  <c:v>13.388888888888889</c:v>
                </c:pt>
                <c:pt idx="7274">
                  <c:v>13.499999999999998</c:v>
                </c:pt>
                <c:pt idx="7275">
                  <c:v>13.722222222222223</c:v>
                </c:pt>
                <c:pt idx="7276">
                  <c:v>13.777777777777775</c:v>
                </c:pt>
                <c:pt idx="7277">
                  <c:v>13.888888888888889</c:v>
                </c:pt>
                <c:pt idx="7278">
                  <c:v>13.888888888888889</c:v>
                </c:pt>
                <c:pt idx="7279">
                  <c:v>13.888888888888889</c:v>
                </c:pt>
                <c:pt idx="7280">
                  <c:v>13.777777777777775</c:v>
                </c:pt>
                <c:pt idx="7281">
                  <c:v>13.722222222222223</c:v>
                </c:pt>
                <c:pt idx="7282">
                  <c:v>13.277777777777777</c:v>
                </c:pt>
                <c:pt idx="7283">
                  <c:v>13.111111111111111</c:v>
                </c:pt>
                <c:pt idx="7284">
                  <c:v>12.999999999999998</c:v>
                </c:pt>
                <c:pt idx="7285">
                  <c:v>12.999999999999998</c:v>
                </c:pt>
                <c:pt idx="7286">
                  <c:v>13.111111111111111</c:v>
                </c:pt>
                <c:pt idx="7287">
                  <c:v>13.22222222222222</c:v>
                </c:pt>
                <c:pt idx="7288">
                  <c:v>13.388888888888889</c:v>
                </c:pt>
                <c:pt idx="7289">
                  <c:v>13.722222222222223</c:v>
                </c:pt>
                <c:pt idx="7290">
                  <c:v>13.722222222222223</c:v>
                </c:pt>
                <c:pt idx="7291">
                  <c:v>13.777777777777775</c:v>
                </c:pt>
                <c:pt idx="7292">
                  <c:v>13.722222222222223</c:v>
                </c:pt>
                <c:pt idx="7293">
                  <c:v>13.388888888888889</c:v>
                </c:pt>
                <c:pt idx="7294">
                  <c:v>13.277777777777777</c:v>
                </c:pt>
                <c:pt idx="7295">
                  <c:v>13.277777777777777</c:v>
                </c:pt>
                <c:pt idx="7296">
                  <c:v>13.277777777777777</c:v>
                </c:pt>
                <c:pt idx="7297">
                  <c:v>13.277777777777777</c:v>
                </c:pt>
                <c:pt idx="7298">
                  <c:v>13.277777777777777</c:v>
                </c:pt>
                <c:pt idx="7299">
                  <c:v>13.277777777777777</c:v>
                </c:pt>
                <c:pt idx="7300">
                  <c:v>13.388888888888889</c:v>
                </c:pt>
                <c:pt idx="7301">
                  <c:v>13.499999999999998</c:v>
                </c:pt>
                <c:pt idx="7302">
                  <c:v>13.611111111111111</c:v>
                </c:pt>
                <c:pt idx="7303">
                  <c:v>13.611111111111111</c:v>
                </c:pt>
                <c:pt idx="7304">
                  <c:v>13.499999999999998</c:v>
                </c:pt>
                <c:pt idx="7305">
                  <c:v>13.499999999999998</c:v>
                </c:pt>
                <c:pt idx="7306">
                  <c:v>13.388888888888889</c:v>
                </c:pt>
                <c:pt idx="7307">
                  <c:v>13.277777777777777</c:v>
                </c:pt>
                <c:pt idx="7308">
                  <c:v>13.277777777777777</c:v>
                </c:pt>
                <c:pt idx="7309">
                  <c:v>13.277777777777777</c:v>
                </c:pt>
                <c:pt idx="7310">
                  <c:v>13.277777777777777</c:v>
                </c:pt>
                <c:pt idx="7311">
                  <c:v>13.277777777777777</c:v>
                </c:pt>
                <c:pt idx="7312">
                  <c:v>13.277777777777777</c:v>
                </c:pt>
                <c:pt idx="7313">
                  <c:v>13.388888888888889</c:v>
                </c:pt>
                <c:pt idx="7314">
                  <c:v>13.499999999999998</c:v>
                </c:pt>
                <c:pt idx="7315">
                  <c:v>13.499999999999998</c:v>
                </c:pt>
                <c:pt idx="7316">
                  <c:v>13.611111111111111</c:v>
                </c:pt>
                <c:pt idx="7317">
                  <c:v>13.499999999999998</c:v>
                </c:pt>
                <c:pt idx="7318">
                  <c:v>13.388888888888889</c:v>
                </c:pt>
                <c:pt idx="7319">
                  <c:v>13.388888888888889</c:v>
                </c:pt>
                <c:pt idx="7320">
                  <c:v>13.388888888888889</c:v>
                </c:pt>
                <c:pt idx="7321">
                  <c:v>13.277777777777777</c:v>
                </c:pt>
                <c:pt idx="7322">
                  <c:v>13.277777777777777</c:v>
                </c:pt>
                <c:pt idx="7323">
                  <c:v>13.277777777777777</c:v>
                </c:pt>
                <c:pt idx="7324">
                  <c:v>13.277777777777777</c:v>
                </c:pt>
                <c:pt idx="7325">
                  <c:v>13.388888888888889</c:v>
                </c:pt>
                <c:pt idx="7326">
                  <c:v>13.388888888888889</c:v>
                </c:pt>
                <c:pt idx="7327">
                  <c:v>13.388888888888889</c:v>
                </c:pt>
                <c:pt idx="7328">
                  <c:v>13.388888888888889</c:v>
                </c:pt>
                <c:pt idx="7329">
                  <c:v>13.388888888888889</c:v>
                </c:pt>
                <c:pt idx="7330">
                  <c:v>13.388888888888889</c:v>
                </c:pt>
                <c:pt idx="7331">
                  <c:v>13.388888888888889</c:v>
                </c:pt>
                <c:pt idx="7332">
                  <c:v>13.277777777777777</c:v>
                </c:pt>
                <c:pt idx="7333">
                  <c:v>13.22222222222222</c:v>
                </c:pt>
                <c:pt idx="7334">
                  <c:v>13.22222222222222</c:v>
                </c:pt>
                <c:pt idx="7335">
                  <c:v>13.22222222222222</c:v>
                </c:pt>
                <c:pt idx="7336">
                  <c:v>13.277777777777777</c:v>
                </c:pt>
                <c:pt idx="7337">
                  <c:v>13.388888888888889</c:v>
                </c:pt>
                <c:pt idx="7338">
                  <c:v>13.499999999999998</c:v>
                </c:pt>
                <c:pt idx="7339">
                  <c:v>13.611111111111111</c:v>
                </c:pt>
                <c:pt idx="7340">
                  <c:v>13.611111111111111</c:v>
                </c:pt>
                <c:pt idx="7341">
                  <c:v>13.722222222222223</c:v>
                </c:pt>
                <c:pt idx="7342">
                  <c:v>13.611111111111111</c:v>
                </c:pt>
                <c:pt idx="7343">
                  <c:v>13.499999999999998</c:v>
                </c:pt>
                <c:pt idx="7344">
                  <c:v>13.388888888888889</c:v>
                </c:pt>
                <c:pt idx="7345">
                  <c:v>13.277777777777777</c:v>
                </c:pt>
                <c:pt idx="7346">
                  <c:v>13.22222222222222</c:v>
                </c:pt>
                <c:pt idx="7347">
                  <c:v>13.22222222222222</c:v>
                </c:pt>
                <c:pt idx="7348">
                  <c:v>13.22222222222222</c:v>
                </c:pt>
                <c:pt idx="7349">
                  <c:v>13.277777777777777</c:v>
                </c:pt>
                <c:pt idx="7350">
                  <c:v>13.388888888888889</c:v>
                </c:pt>
                <c:pt idx="7351">
                  <c:v>13.499999999999998</c:v>
                </c:pt>
                <c:pt idx="7352">
                  <c:v>13.611111111111111</c:v>
                </c:pt>
                <c:pt idx="7353">
                  <c:v>13.611111111111111</c:v>
                </c:pt>
                <c:pt idx="7354">
                  <c:v>13.722222222222223</c:v>
                </c:pt>
                <c:pt idx="7355">
                  <c:v>13.611111111111111</c:v>
                </c:pt>
                <c:pt idx="7356">
                  <c:v>13.499999999999998</c:v>
                </c:pt>
                <c:pt idx="7357">
                  <c:v>13.22222222222222</c:v>
                </c:pt>
                <c:pt idx="7358">
                  <c:v>13.111111111111111</c:v>
                </c:pt>
                <c:pt idx="7359">
                  <c:v>13.111111111111111</c:v>
                </c:pt>
                <c:pt idx="7360">
                  <c:v>13.22222222222222</c:v>
                </c:pt>
                <c:pt idx="7361">
                  <c:v>13.22222222222222</c:v>
                </c:pt>
                <c:pt idx="7362">
                  <c:v>13.388888888888889</c:v>
                </c:pt>
                <c:pt idx="7363">
                  <c:v>13.611111111111111</c:v>
                </c:pt>
                <c:pt idx="7364">
                  <c:v>13.722222222222223</c:v>
                </c:pt>
                <c:pt idx="7365">
                  <c:v>13.777777777777775</c:v>
                </c:pt>
                <c:pt idx="7366">
                  <c:v>13.777777777777775</c:v>
                </c:pt>
                <c:pt idx="7367">
                  <c:v>13.777777777777775</c:v>
                </c:pt>
                <c:pt idx="7368">
                  <c:v>13.611111111111111</c:v>
                </c:pt>
                <c:pt idx="7369">
                  <c:v>13.388888888888889</c:v>
                </c:pt>
                <c:pt idx="7370">
                  <c:v>13.277777777777777</c:v>
                </c:pt>
                <c:pt idx="7371">
                  <c:v>13.22222222222222</c:v>
                </c:pt>
                <c:pt idx="7372">
                  <c:v>13.22222222222222</c:v>
                </c:pt>
                <c:pt idx="7373">
                  <c:v>13.22222222222222</c:v>
                </c:pt>
                <c:pt idx="7374">
                  <c:v>13.277777777777777</c:v>
                </c:pt>
                <c:pt idx="7375">
                  <c:v>13.388888888888889</c:v>
                </c:pt>
                <c:pt idx="7376">
                  <c:v>13.611111111111111</c:v>
                </c:pt>
                <c:pt idx="7377">
                  <c:v>13.722222222222223</c:v>
                </c:pt>
                <c:pt idx="7378">
                  <c:v>13.777777777777775</c:v>
                </c:pt>
                <c:pt idx="7379">
                  <c:v>13.777777777777775</c:v>
                </c:pt>
                <c:pt idx="7380">
                  <c:v>13.611111111111111</c:v>
                </c:pt>
                <c:pt idx="7381">
                  <c:v>13.388888888888889</c:v>
                </c:pt>
                <c:pt idx="7382">
                  <c:v>13.277777777777777</c:v>
                </c:pt>
                <c:pt idx="7383">
                  <c:v>13.22222222222222</c:v>
                </c:pt>
                <c:pt idx="7384">
                  <c:v>13.277777777777777</c:v>
                </c:pt>
                <c:pt idx="7385">
                  <c:v>13.388888888888889</c:v>
                </c:pt>
                <c:pt idx="7386">
                  <c:v>13.388888888888889</c:v>
                </c:pt>
                <c:pt idx="7387">
                  <c:v>13.611111111111111</c:v>
                </c:pt>
                <c:pt idx="7388">
                  <c:v>13.777777777777775</c:v>
                </c:pt>
                <c:pt idx="7389">
                  <c:v>13.888888888888889</c:v>
                </c:pt>
                <c:pt idx="7390">
                  <c:v>14.111111111111111</c:v>
                </c:pt>
                <c:pt idx="7391">
                  <c:v>14.222222222222223</c:v>
                </c:pt>
                <c:pt idx="7392">
                  <c:v>14.111111111111111</c:v>
                </c:pt>
                <c:pt idx="7393">
                  <c:v>13.888888888888889</c:v>
                </c:pt>
                <c:pt idx="7394">
                  <c:v>13.499999999999998</c:v>
                </c:pt>
                <c:pt idx="7395">
                  <c:v>13.277777777777777</c:v>
                </c:pt>
                <c:pt idx="7396">
                  <c:v>13.277777777777777</c:v>
                </c:pt>
                <c:pt idx="7397">
                  <c:v>13.277777777777777</c:v>
                </c:pt>
                <c:pt idx="7398">
                  <c:v>13.388888888888889</c:v>
                </c:pt>
                <c:pt idx="7399">
                  <c:v>13.388888888888889</c:v>
                </c:pt>
                <c:pt idx="7400">
                  <c:v>13.611111111111111</c:v>
                </c:pt>
                <c:pt idx="7401">
                  <c:v>13.777777777777775</c:v>
                </c:pt>
                <c:pt idx="7402">
                  <c:v>13.888888888888889</c:v>
                </c:pt>
                <c:pt idx="7403">
                  <c:v>14.000000000000002</c:v>
                </c:pt>
                <c:pt idx="7404">
                  <c:v>14.000000000000002</c:v>
                </c:pt>
                <c:pt idx="7405">
                  <c:v>13.777777777777775</c:v>
                </c:pt>
                <c:pt idx="7406">
                  <c:v>13.499999999999998</c:v>
                </c:pt>
                <c:pt idx="7407">
                  <c:v>13.277777777777777</c:v>
                </c:pt>
                <c:pt idx="7408">
                  <c:v>13.277777777777777</c:v>
                </c:pt>
                <c:pt idx="7409">
                  <c:v>13.277777777777777</c:v>
                </c:pt>
                <c:pt idx="7410">
                  <c:v>13.499999999999998</c:v>
                </c:pt>
                <c:pt idx="7411">
                  <c:v>13.499999999999998</c:v>
                </c:pt>
                <c:pt idx="7412">
                  <c:v>13.777777777777775</c:v>
                </c:pt>
                <c:pt idx="7413">
                  <c:v>14.111111111111111</c:v>
                </c:pt>
                <c:pt idx="7414">
                  <c:v>14.222222222222223</c:v>
                </c:pt>
                <c:pt idx="7415">
                  <c:v>14.388888888888888</c:v>
                </c:pt>
                <c:pt idx="7416">
                  <c:v>14.5</c:v>
                </c:pt>
                <c:pt idx="7417">
                  <c:v>14.388888888888888</c:v>
                </c:pt>
                <c:pt idx="7418">
                  <c:v>14.111111111111111</c:v>
                </c:pt>
                <c:pt idx="7419">
                  <c:v>13.611111111111111</c:v>
                </c:pt>
                <c:pt idx="7420">
                  <c:v>13.388888888888889</c:v>
                </c:pt>
                <c:pt idx="7421">
                  <c:v>13.277777777777777</c:v>
                </c:pt>
                <c:pt idx="7422">
                  <c:v>13.22222222222222</c:v>
                </c:pt>
                <c:pt idx="7423">
                  <c:v>13.277777777777777</c:v>
                </c:pt>
                <c:pt idx="7424">
                  <c:v>13.499999999999998</c:v>
                </c:pt>
                <c:pt idx="7425">
                  <c:v>13.777777777777775</c:v>
                </c:pt>
                <c:pt idx="7426">
                  <c:v>14.000000000000002</c:v>
                </c:pt>
                <c:pt idx="7427">
                  <c:v>14.111111111111111</c:v>
                </c:pt>
                <c:pt idx="7428">
                  <c:v>14.222222222222223</c:v>
                </c:pt>
                <c:pt idx="7429">
                  <c:v>14.111111111111111</c:v>
                </c:pt>
                <c:pt idx="7430">
                  <c:v>13.777777777777775</c:v>
                </c:pt>
                <c:pt idx="7431">
                  <c:v>13.277777777777777</c:v>
                </c:pt>
                <c:pt idx="7432">
                  <c:v>13.111111111111111</c:v>
                </c:pt>
                <c:pt idx="7433">
                  <c:v>13.111111111111111</c:v>
                </c:pt>
                <c:pt idx="7434">
                  <c:v>13.111111111111111</c:v>
                </c:pt>
                <c:pt idx="7435">
                  <c:v>13.111111111111111</c:v>
                </c:pt>
                <c:pt idx="7436">
                  <c:v>13.22222222222222</c:v>
                </c:pt>
                <c:pt idx="7437">
                  <c:v>13.388888888888889</c:v>
                </c:pt>
                <c:pt idx="7438">
                  <c:v>13.611111111111111</c:v>
                </c:pt>
                <c:pt idx="7439">
                  <c:v>13.777777777777775</c:v>
                </c:pt>
                <c:pt idx="7440">
                  <c:v>13.888888888888889</c:v>
                </c:pt>
                <c:pt idx="7441">
                  <c:v>14.000000000000002</c:v>
                </c:pt>
                <c:pt idx="7442">
                  <c:v>13.888888888888889</c:v>
                </c:pt>
                <c:pt idx="7443">
                  <c:v>13.611111111111111</c:v>
                </c:pt>
                <c:pt idx="7444">
                  <c:v>13.388888888888889</c:v>
                </c:pt>
                <c:pt idx="7445">
                  <c:v>13.22222222222222</c:v>
                </c:pt>
                <c:pt idx="7446">
                  <c:v>13.22222222222222</c:v>
                </c:pt>
                <c:pt idx="7447">
                  <c:v>13.22222222222222</c:v>
                </c:pt>
                <c:pt idx="7448">
                  <c:v>13.22222222222222</c:v>
                </c:pt>
                <c:pt idx="7449">
                  <c:v>13.277777777777777</c:v>
                </c:pt>
                <c:pt idx="7450">
                  <c:v>13.388888888888889</c:v>
                </c:pt>
                <c:pt idx="7451">
                  <c:v>13.499999999999998</c:v>
                </c:pt>
                <c:pt idx="7452">
                  <c:v>13.611111111111111</c:v>
                </c:pt>
                <c:pt idx="7453">
                  <c:v>13.611111111111111</c:v>
                </c:pt>
                <c:pt idx="7454">
                  <c:v>13.611111111111111</c:v>
                </c:pt>
                <c:pt idx="7455">
                  <c:v>13.388888888888889</c:v>
                </c:pt>
                <c:pt idx="7456">
                  <c:v>13.22222222222222</c:v>
                </c:pt>
                <c:pt idx="7457">
                  <c:v>13.111111111111111</c:v>
                </c:pt>
                <c:pt idx="7458">
                  <c:v>13.111111111111111</c:v>
                </c:pt>
                <c:pt idx="7459">
                  <c:v>13.111111111111111</c:v>
                </c:pt>
                <c:pt idx="7460">
                  <c:v>13.111111111111111</c:v>
                </c:pt>
                <c:pt idx="7461">
                  <c:v>13.111111111111111</c:v>
                </c:pt>
                <c:pt idx="7462">
                  <c:v>13.22222222222222</c:v>
                </c:pt>
                <c:pt idx="7463">
                  <c:v>13.277777777777777</c:v>
                </c:pt>
                <c:pt idx="7464">
                  <c:v>13.388888888888889</c:v>
                </c:pt>
                <c:pt idx="7465">
                  <c:v>13.388888888888889</c:v>
                </c:pt>
                <c:pt idx="7466">
                  <c:v>13.388888888888889</c:v>
                </c:pt>
                <c:pt idx="7467">
                  <c:v>13.277777777777777</c:v>
                </c:pt>
                <c:pt idx="7468">
                  <c:v>13.22222222222222</c:v>
                </c:pt>
                <c:pt idx="7469">
                  <c:v>13.22222222222222</c:v>
                </c:pt>
                <c:pt idx="7470">
                  <c:v>13.111111111111111</c:v>
                </c:pt>
                <c:pt idx="7471">
                  <c:v>13.111111111111111</c:v>
                </c:pt>
                <c:pt idx="7472">
                  <c:v>12.999999999999998</c:v>
                </c:pt>
                <c:pt idx="7473">
                  <c:v>12.999999999999998</c:v>
                </c:pt>
                <c:pt idx="7474">
                  <c:v>12.999999999999998</c:v>
                </c:pt>
                <c:pt idx="7475">
                  <c:v>12.999999999999998</c:v>
                </c:pt>
                <c:pt idx="7476">
                  <c:v>12.999999999999998</c:v>
                </c:pt>
                <c:pt idx="7477">
                  <c:v>12.999999999999998</c:v>
                </c:pt>
                <c:pt idx="7478">
                  <c:v>12.999999999999998</c:v>
                </c:pt>
                <c:pt idx="7479">
                  <c:v>12.999999999999998</c:v>
                </c:pt>
                <c:pt idx="7480">
                  <c:v>12.888888888888889</c:v>
                </c:pt>
                <c:pt idx="7481">
                  <c:v>12.999999999999998</c:v>
                </c:pt>
                <c:pt idx="7482">
                  <c:v>13.111111111111111</c:v>
                </c:pt>
                <c:pt idx="7483">
                  <c:v>13.111111111111111</c:v>
                </c:pt>
                <c:pt idx="7484">
                  <c:v>13.111111111111111</c:v>
                </c:pt>
                <c:pt idx="7485">
                  <c:v>13.111111111111111</c:v>
                </c:pt>
                <c:pt idx="7486">
                  <c:v>12.999999999999998</c:v>
                </c:pt>
                <c:pt idx="7487">
                  <c:v>12.999999999999998</c:v>
                </c:pt>
                <c:pt idx="7488">
                  <c:v>12.999999999999998</c:v>
                </c:pt>
                <c:pt idx="7489">
                  <c:v>12.999999999999998</c:v>
                </c:pt>
                <c:pt idx="7490">
                  <c:v>12.888888888888889</c:v>
                </c:pt>
                <c:pt idx="7491">
                  <c:v>12.888888888888889</c:v>
                </c:pt>
                <c:pt idx="7492">
                  <c:v>12.888888888888889</c:v>
                </c:pt>
                <c:pt idx="7493">
                  <c:v>12.888888888888889</c:v>
                </c:pt>
                <c:pt idx="7494">
                  <c:v>12.888888888888889</c:v>
                </c:pt>
                <c:pt idx="7495">
                  <c:v>12.999999999999998</c:v>
                </c:pt>
                <c:pt idx="7496">
                  <c:v>12.888888888888889</c:v>
                </c:pt>
                <c:pt idx="7497">
                  <c:v>12.888888888888889</c:v>
                </c:pt>
                <c:pt idx="7498">
                  <c:v>12.777777777777777</c:v>
                </c:pt>
                <c:pt idx="7499">
                  <c:v>12.777777777777777</c:v>
                </c:pt>
                <c:pt idx="7500">
                  <c:v>12.722222222222221</c:v>
                </c:pt>
                <c:pt idx="7501">
                  <c:v>12.611111111111112</c:v>
                </c:pt>
                <c:pt idx="7502">
                  <c:v>12.611111111111112</c:v>
                </c:pt>
                <c:pt idx="7503">
                  <c:v>12.611111111111112</c:v>
                </c:pt>
                <c:pt idx="7504">
                  <c:v>12.611111111111112</c:v>
                </c:pt>
                <c:pt idx="7505">
                  <c:v>12.722222222222221</c:v>
                </c:pt>
                <c:pt idx="7506">
                  <c:v>12.777777777777777</c:v>
                </c:pt>
                <c:pt idx="7507">
                  <c:v>12.777777777777777</c:v>
                </c:pt>
                <c:pt idx="7508">
                  <c:v>12.777777777777777</c:v>
                </c:pt>
                <c:pt idx="7509">
                  <c:v>12.777777777777777</c:v>
                </c:pt>
                <c:pt idx="7510">
                  <c:v>12.722222222222221</c:v>
                </c:pt>
                <c:pt idx="7511">
                  <c:v>12.722222222222221</c:v>
                </c:pt>
                <c:pt idx="7512">
                  <c:v>12.611111111111112</c:v>
                </c:pt>
                <c:pt idx="7513">
                  <c:v>12.5</c:v>
                </c:pt>
                <c:pt idx="7514">
                  <c:v>12.388888888888888</c:v>
                </c:pt>
                <c:pt idx="7515">
                  <c:v>12.277777777777779</c:v>
                </c:pt>
                <c:pt idx="7516">
                  <c:v>12.277777777777779</c:v>
                </c:pt>
                <c:pt idx="7517">
                  <c:v>12.388888888888888</c:v>
                </c:pt>
                <c:pt idx="7518">
                  <c:v>12.5</c:v>
                </c:pt>
                <c:pt idx="7519">
                  <c:v>12.5</c:v>
                </c:pt>
                <c:pt idx="7520">
                  <c:v>12.611111111111112</c:v>
                </c:pt>
                <c:pt idx="7521">
                  <c:v>12.611111111111112</c:v>
                </c:pt>
                <c:pt idx="7522">
                  <c:v>12.5</c:v>
                </c:pt>
                <c:pt idx="7523">
                  <c:v>12.388888888888888</c:v>
                </c:pt>
                <c:pt idx="7524">
                  <c:v>12.222222222222221</c:v>
                </c:pt>
                <c:pt idx="7525">
                  <c:v>12.111111111111109</c:v>
                </c:pt>
                <c:pt idx="7526">
                  <c:v>12</c:v>
                </c:pt>
                <c:pt idx="7527">
                  <c:v>12</c:v>
                </c:pt>
                <c:pt idx="7528">
                  <c:v>12</c:v>
                </c:pt>
                <c:pt idx="7529">
                  <c:v>12.222222222222221</c:v>
                </c:pt>
                <c:pt idx="7530">
                  <c:v>12.277777777777779</c:v>
                </c:pt>
                <c:pt idx="7531">
                  <c:v>12.388888888888888</c:v>
                </c:pt>
                <c:pt idx="7532">
                  <c:v>12.388888888888888</c:v>
                </c:pt>
                <c:pt idx="7533">
                  <c:v>12.5</c:v>
                </c:pt>
                <c:pt idx="7534">
                  <c:v>12.388888888888888</c:v>
                </c:pt>
                <c:pt idx="7535">
                  <c:v>12.388888888888888</c:v>
                </c:pt>
                <c:pt idx="7536">
                  <c:v>12.222222222222221</c:v>
                </c:pt>
                <c:pt idx="7537">
                  <c:v>12</c:v>
                </c:pt>
                <c:pt idx="7538">
                  <c:v>11.888888888888888</c:v>
                </c:pt>
                <c:pt idx="7539">
                  <c:v>11.777777777777779</c:v>
                </c:pt>
                <c:pt idx="7540">
                  <c:v>11.722222222222223</c:v>
                </c:pt>
                <c:pt idx="7541">
                  <c:v>11.777777777777779</c:v>
                </c:pt>
                <c:pt idx="7542">
                  <c:v>12</c:v>
                </c:pt>
                <c:pt idx="7543">
                  <c:v>12.111111111111109</c:v>
                </c:pt>
                <c:pt idx="7544">
                  <c:v>12.222222222222221</c:v>
                </c:pt>
                <c:pt idx="7545">
                  <c:v>12.277777777777779</c:v>
                </c:pt>
                <c:pt idx="7546">
                  <c:v>12.277777777777779</c:v>
                </c:pt>
                <c:pt idx="7547">
                  <c:v>12.277777777777779</c:v>
                </c:pt>
                <c:pt idx="7548">
                  <c:v>12.111111111111109</c:v>
                </c:pt>
                <c:pt idx="7549">
                  <c:v>11.888888888888888</c:v>
                </c:pt>
                <c:pt idx="7550">
                  <c:v>11.722222222222223</c:v>
                </c:pt>
                <c:pt idx="7551">
                  <c:v>11.611111111111111</c:v>
                </c:pt>
                <c:pt idx="7552">
                  <c:v>11.611111111111111</c:v>
                </c:pt>
                <c:pt idx="7553">
                  <c:v>11.722222222222223</c:v>
                </c:pt>
                <c:pt idx="7554">
                  <c:v>11.888888888888888</c:v>
                </c:pt>
                <c:pt idx="7555">
                  <c:v>12.111111111111109</c:v>
                </c:pt>
                <c:pt idx="7556">
                  <c:v>12.277777777777779</c:v>
                </c:pt>
                <c:pt idx="7557">
                  <c:v>12.388888888888888</c:v>
                </c:pt>
                <c:pt idx="7558">
                  <c:v>12.388888888888888</c:v>
                </c:pt>
                <c:pt idx="7559">
                  <c:v>12.277777777777779</c:v>
                </c:pt>
                <c:pt idx="7560">
                  <c:v>12.222222222222221</c:v>
                </c:pt>
                <c:pt idx="7561">
                  <c:v>12</c:v>
                </c:pt>
                <c:pt idx="7562">
                  <c:v>11.777777777777779</c:v>
                </c:pt>
                <c:pt idx="7563">
                  <c:v>11.611111111111111</c:v>
                </c:pt>
                <c:pt idx="7564">
                  <c:v>11.500000000000002</c:v>
                </c:pt>
                <c:pt idx="7565">
                  <c:v>11.388888888888889</c:v>
                </c:pt>
                <c:pt idx="7566">
                  <c:v>11.500000000000002</c:v>
                </c:pt>
                <c:pt idx="7567">
                  <c:v>11.722222222222223</c:v>
                </c:pt>
                <c:pt idx="7568">
                  <c:v>11.888888888888888</c:v>
                </c:pt>
                <c:pt idx="7569">
                  <c:v>12.111111111111109</c:v>
                </c:pt>
                <c:pt idx="7570">
                  <c:v>12.222222222222221</c:v>
                </c:pt>
                <c:pt idx="7571">
                  <c:v>12.222222222222221</c:v>
                </c:pt>
                <c:pt idx="7572">
                  <c:v>12.111111111111109</c:v>
                </c:pt>
                <c:pt idx="7573">
                  <c:v>12</c:v>
                </c:pt>
                <c:pt idx="7574">
                  <c:v>11.722222222222223</c:v>
                </c:pt>
                <c:pt idx="7575">
                  <c:v>11.500000000000002</c:v>
                </c:pt>
                <c:pt idx="7576">
                  <c:v>11.388888888888889</c:v>
                </c:pt>
                <c:pt idx="7577">
                  <c:v>11.388888888888889</c:v>
                </c:pt>
                <c:pt idx="7578">
                  <c:v>11.500000000000002</c:v>
                </c:pt>
                <c:pt idx="7579">
                  <c:v>11.777777777777779</c:v>
                </c:pt>
                <c:pt idx="7580">
                  <c:v>12</c:v>
                </c:pt>
                <c:pt idx="7581">
                  <c:v>12.222222222222221</c:v>
                </c:pt>
                <c:pt idx="7582">
                  <c:v>12.277777777777779</c:v>
                </c:pt>
                <c:pt idx="7583">
                  <c:v>12.388888888888888</c:v>
                </c:pt>
                <c:pt idx="7584">
                  <c:v>12.277777777777779</c:v>
                </c:pt>
                <c:pt idx="7585">
                  <c:v>12.222222222222221</c:v>
                </c:pt>
                <c:pt idx="7586">
                  <c:v>11.888888888888888</c:v>
                </c:pt>
                <c:pt idx="7587">
                  <c:v>11.611111111111111</c:v>
                </c:pt>
                <c:pt idx="7588">
                  <c:v>11.388888888888889</c:v>
                </c:pt>
                <c:pt idx="7589">
                  <c:v>11.277777777777777</c:v>
                </c:pt>
                <c:pt idx="7590">
                  <c:v>11.277777777777777</c:v>
                </c:pt>
                <c:pt idx="7591">
                  <c:v>11.500000000000002</c:v>
                </c:pt>
                <c:pt idx="7592">
                  <c:v>11.777777777777779</c:v>
                </c:pt>
                <c:pt idx="7593">
                  <c:v>12</c:v>
                </c:pt>
                <c:pt idx="7594">
                  <c:v>12.111111111111109</c:v>
                </c:pt>
                <c:pt idx="7595">
                  <c:v>12.222222222222221</c:v>
                </c:pt>
                <c:pt idx="7596">
                  <c:v>12.222222222222221</c:v>
                </c:pt>
                <c:pt idx="7597">
                  <c:v>12.222222222222221</c:v>
                </c:pt>
                <c:pt idx="7598">
                  <c:v>12</c:v>
                </c:pt>
                <c:pt idx="7599">
                  <c:v>11.888888888888888</c:v>
                </c:pt>
                <c:pt idx="7600">
                  <c:v>11.611111111111111</c:v>
                </c:pt>
                <c:pt idx="7601">
                  <c:v>11.500000000000002</c:v>
                </c:pt>
                <c:pt idx="7602">
                  <c:v>11.500000000000002</c:v>
                </c:pt>
                <c:pt idx="7603">
                  <c:v>11.722222222222223</c:v>
                </c:pt>
                <c:pt idx="7604">
                  <c:v>11.888888888888888</c:v>
                </c:pt>
                <c:pt idx="7605">
                  <c:v>12.111111111111109</c:v>
                </c:pt>
                <c:pt idx="7606">
                  <c:v>12.222222222222221</c:v>
                </c:pt>
                <c:pt idx="7607">
                  <c:v>12.222222222222221</c:v>
                </c:pt>
                <c:pt idx="7608">
                  <c:v>12.222222222222221</c:v>
                </c:pt>
                <c:pt idx="7609">
                  <c:v>12.222222222222221</c:v>
                </c:pt>
                <c:pt idx="7610">
                  <c:v>12.111111111111109</c:v>
                </c:pt>
                <c:pt idx="7611">
                  <c:v>11.888888888888888</c:v>
                </c:pt>
                <c:pt idx="7612">
                  <c:v>11.611111111111111</c:v>
                </c:pt>
                <c:pt idx="7613">
                  <c:v>11.388888888888889</c:v>
                </c:pt>
                <c:pt idx="7614">
                  <c:v>11.277777777777777</c:v>
                </c:pt>
                <c:pt idx="7615">
                  <c:v>11.277777777777777</c:v>
                </c:pt>
                <c:pt idx="7616">
                  <c:v>11.388888888888889</c:v>
                </c:pt>
                <c:pt idx="7617">
                  <c:v>11.722222222222223</c:v>
                </c:pt>
                <c:pt idx="7618">
                  <c:v>11.777777777777779</c:v>
                </c:pt>
                <c:pt idx="7619">
                  <c:v>12</c:v>
                </c:pt>
                <c:pt idx="7620">
                  <c:v>12</c:v>
                </c:pt>
                <c:pt idx="7621">
                  <c:v>12</c:v>
                </c:pt>
                <c:pt idx="7622">
                  <c:v>12</c:v>
                </c:pt>
                <c:pt idx="7623">
                  <c:v>11.888888888888888</c:v>
                </c:pt>
                <c:pt idx="7624">
                  <c:v>11.722222222222223</c:v>
                </c:pt>
                <c:pt idx="7625">
                  <c:v>11.500000000000002</c:v>
                </c:pt>
                <c:pt idx="7626">
                  <c:v>11.277777777777777</c:v>
                </c:pt>
                <c:pt idx="7627">
                  <c:v>11.277777777777777</c:v>
                </c:pt>
                <c:pt idx="7628">
                  <c:v>11.388888888888889</c:v>
                </c:pt>
                <c:pt idx="7629">
                  <c:v>11.722222222222223</c:v>
                </c:pt>
                <c:pt idx="7630">
                  <c:v>11.777777777777779</c:v>
                </c:pt>
                <c:pt idx="7631">
                  <c:v>11.888888888888888</c:v>
                </c:pt>
                <c:pt idx="7632">
                  <c:v>12</c:v>
                </c:pt>
                <c:pt idx="7633">
                  <c:v>12</c:v>
                </c:pt>
                <c:pt idx="7634">
                  <c:v>11.888888888888888</c:v>
                </c:pt>
                <c:pt idx="7635">
                  <c:v>11.777777777777779</c:v>
                </c:pt>
                <c:pt idx="7636">
                  <c:v>11.722222222222223</c:v>
                </c:pt>
                <c:pt idx="7637">
                  <c:v>11.388888888888889</c:v>
                </c:pt>
                <c:pt idx="7638">
                  <c:v>11.222222222222223</c:v>
                </c:pt>
                <c:pt idx="7639">
                  <c:v>11.111111111111111</c:v>
                </c:pt>
                <c:pt idx="7640">
                  <c:v>11.111111111111111</c:v>
                </c:pt>
                <c:pt idx="7641">
                  <c:v>11.277777777777777</c:v>
                </c:pt>
                <c:pt idx="7642">
                  <c:v>11.500000000000002</c:v>
                </c:pt>
                <c:pt idx="7643">
                  <c:v>11.611111111111111</c:v>
                </c:pt>
                <c:pt idx="7644">
                  <c:v>11.777777777777779</c:v>
                </c:pt>
                <c:pt idx="7645">
                  <c:v>11.777777777777779</c:v>
                </c:pt>
                <c:pt idx="7646">
                  <c:v>11.777777777777779</c:v>
                </c:pt>
                <c:pt idx="7647">
                  <c:v>11.777777777777779</c:v>
                </c:pt>
                <c:pt idx="7648">
                  <c:v>11.722222222222223</c:v>
                </c:pt>
                <c:pt idx="7649">
                  <c:v>11.611111111111111</c:v>
                </c:pt>
                <c:pt idx="7650">
                  <c:v>11.500000000000002</c:v>
                </c:pt>
                <c:pt idx="7651">
                  <c:v>11.388888888888889</c:v>
                </c:pt>
                <c:pt idx="7652">
                  <c:v>11.388888888888889</c:v>
                </c:pt>
                <c:pt idx="7653">
                  <c:v>11.500000000000002</c:v>
                </c:pt>
                <c:pt idx="7654">
                  <c:v>11.722222222222223</c:v>
                </c:pt>
                <c:pt idx="7655">
                  <c:v>11.722222222222223</c:v>
                </c:pt>
                <c:pt idx="7656">
                  <c:v>11.888888888888888</c:v>
                </c:pt>
                <c:pt idx="7657">
                  <c:v>11.888888888888888</c:v>
                </c:pt>
                <c:pt idx="7658">
                  <c:v>11.888888888888888</c:v>
                </c:pt>
                <c:pt idx="7659">
                  <c:v>11.888888888888888</c:v>
                </c:pt>
                <c:pt idx="7660">
                  <c:v>11.777777777777779</c:v>
                </c:pt>
                <c:pt idx="7661">
                  <c:v>11.611111111111111</c:v>
                </c:pt>
                <c:pt idx="7662">
                  <c:v>11.388888888888889</c:v>
                </c:pt>
                <c:pt idx="7663">
                  <c:v>11.222222222222223</c:v>
                </c:pt>
                <c:pt idx="7664">
                  <c:v>11.111111111111111</c:v>
                </c:pt>
                <c:pt idx="7665">
                  <c:v>10.999999999999998</c:v>
                </c:pt>
                <c:pt idx="7666">
                  <c:v>11.111111111111111</c:v>
                </c:pt>
                <c:pt idx="7667">
                  <c:v>11.500000000000002</c:v>
                </c:pt>
                <c:pt idx="7668">
                  <c:v>11.611111111111111</c:v>
                </c:pt>
                <c:pt idx="7669">
                  <c:v>11.611111111111111</c:v>
                </c:pt>
                <c:pt idx="7670">
                  <c:v>11.611111111111111</c:v>
                </c:pt>
                <c:pt idx="7671">
                  <c:v>11.722222222222223</c:v>
                </c:pt>
                <c:pt idx="7672">
                  <c:v>11.611111111111111</c:v>
                </c:pt>
                <c:pt idx="7673">
                  <c:v>11.388888888888889</c:v>
                </c:pt>
                <c:pt idx="7674">
                  <c:v>11.222222222222223</c:v>
                </c:pt>
                <c:pt idx="7675">
                  <c:v>10.888888888888889</c:v>
                </c:pt>
                <c:pt idx="7676">
                  <c:v>10.777777777777777</c:v>
                </c:pt>
                <c:pt idx="7677">
                  <c:v>10.72222222222222</c:v>
                </c:pt>
                <c:pt idx="7678">
                  <c:v>10.999999999999998</c:v>
                </c:pt>
                <c:pt idx="7679">
                  <c:v>11.222222222222223</c:v>
                </c:pt>
                <c:pt idx="7680">
                  <c:v>11.277777777777777</c:v>
                </c:pt>
                <c:pt idx="7681">
                  <c:v>11.388888888888889</c:v>
                </c:pt>
                <c:pt idx="7682">
                  <c:v>11.500000000000002</c:v>
                </c:pt>
                <c:pt idx="7683">
                  <c:v>11.388888888888889</c:v>
                </c:pt>
                <c:pt idx="7684">
                  <c:v>11.277777777777777</c:v>
                </c:pt>
                <c:pt idx="7685">
                  <c:v>11.222222222222223</c:v>
                </c:pt>
                <c:pt idx="7686">
                  <c:v>10.888888888888889</c:v>
                </c:pt>
                <c:pt idx="7687">
                  <c:v>10.611111111111112</c:v>
                </c:pt>
                <c:pt idx="7688">
                  <c:v>10.499999999999998</c:v>
                </c:pt>
                <c:pt idx="7689">
                  <c:v>10.388888888888891</c:v>
                </c:pt>
                <c:pt idx="7690">
                  <c:v>10.611111111111112</c:v>
                </c:pt>
                <c:pt idx="7691">
                  <c:v>10.72222222222222</c:v>
                </c:pt>
                <c:pt idx="7692">
                  <c:v>10.888888888888889</c:v>
                </c:pt>
                <c:pt idx="7693">
                  <c:v>11.222222222222223</c:v>
                </c:pt>
                <c:pt idx="7694">
                  <c:v>11.277777777777777</c:v>
                </c:pt>
                <c:pt idx="7695">
                  <c:v>11.277777777777777</c:v>
                </c:pt>
                <c:pt idx="7696">
                  <c:v>11.222222222222223</c:v>
                </c:pt>
                <c:pt idx="7697">
                  <c:v>11.111111111111111</c:v>
                </c:pt>
                <c:pt idx="7698">
                  <c:v>10.888888888888889</c:v>
                </c:pt>
                <c:pt idx="7699">
                  <c:v>10.611111111111112</c:v>
                </c:pt>
                <c:pt idx="7700">
                  <c:v>10.388888888888891</c:v>
                </c:pt>
                <c:pt idx="7701">
                  <c:v>10.277777777777777</c:v>
                </c:pt>
                <c:pt idx="7702">
                  <c:v>10.222222222222221</c:v>
                </c:pt>
                <c:pt idx="7703">
                  <c:v>10.611111111111112</c:v>
                </c:pt>
                <c:pt idx="7704">
                  <c:v>10.72222222222222</c:v>
                </c:pt>
                <c:pt idx="7705">
                  <c:v>10.999999999999998</c:v>
                </c:pt>
                <c:pt idx="7706">
                  <c:v>11.111111111111111</c:v>
                </c:pt>
                <c:pt idx="7707">
                  <c:v>11.222222222222223</c:v>
                </c:pt>
                <c:pt idx="7708">
                  <c:v>11.222222222222223</c:v>
                </c:pt>
                <c:pt idx="7709">
                  <c:v>11.111111111111111</c:v>
                </c:pt>
                <c:pt idx="7710">
                  <c:v>10.888888888888889</c:v>
                </c:pt>
                <c:pt idx="7711">
                  <c:v>10.611111111111112</c:v>
                </c:pt>
                <c:pt idx="7712">
                  <c:v>10.277777777777777</c:v>
                </c:pt>
                <c:pt idx="7713">
                  <c:v>10.111111111111112</c:v>
                </c:pt>
                <c:pt idx="7714">
                  <c:v>10</c:v>
                </c:pt>
                <c:pt idx="7715">
                  <c:v>10.222222222222221</c:v>
                </c:pt>
                <c:pt idx="7716">
                  <c:v>10.499999999999998</c:v>
                </c:pt>
                <c:pt idx="7717">
                  <c:v>10.72222222222222</c:v>
                </c:pt>
                <c:pt idx="7718">
                  <c:v>10.999999999999998</c:v>
                </c:pt>
                <c:pt idx="7719">
                  <c:v>11.111111111111111</c:v>
                </c:pt>
                <c:pt idx="7720">
                  <c:v>11.222222222222223</c:v>
                </c:pt>
                <c:pt idx="7721">
                  <c:v>11.111111111111111</c:v>
                </c:pt>
                <c:pt idx="7722">
                  <c:v>10.888888888888889</c:v>
                </c:pt>
                <c:pt idx="7723">
                  <c:v>10.611111111111112</c:v>
                </c:pt>
                <c:pt idx="7724">
                  <c:v>10.277777777777777</c:v>
                </c:pt>
                <c:pt idx="7725">
                  <c:v>10.111111111111112</c:v>
                </c:pt>
                <c:pt idx="7726">
                  <c:v>9.8888888888888875</c:v>
                </c:pt>
                <c:pt idx="7727">
                  <c:v>9.8888888888888875</c:v>
                </c:pt>
                <c:pt idx="7728">
                  <c:v>10.277777777777777</c:v>
                </c:pt>
                <c:pt idx="7729">
                  <c:v>10.499999999999998</c:v>
                </c:pt>
                <c:pt idx="7730">
                  <c:v>10.777777777777777</c:v>
                </c:pt>
                <c:pt idx="7731">
                  <c:v>11.111111111111111</c:v>
                </c:pt>
                <c:pt idx="7732">
                  <c:v>11.111111111111111</c:v>
                </c:pt>
                <c:pt idx="7733">
                  <c:v>10.999999999999998</c:v>
                </c:pt>
                <c:pt idx="7734">
                  <c:v>10.888888888888889</c:v>
                </c:pt>
                <c:pt idx="7735">
                  <c:v>10.72222222222222</c:v>
                </c:pt>
                <c:pt idx="7736">
                  <c:v>10.222222222222221</c:v>
                </c:pt>
                <c:pt idx="7737">
                  <c:v>10</c:v>
                </c:pt>
                <c:pt idx="7738">
                  <c:v>9.7777777777777786</c:v>
                </c:pt>
                <c:pt idx="7739">
                  <c:v>9.7222222222222214</c:v>
                </c:pt>
                <c:pt idx="7740">
                  <c:v>10.222222222222221</c:v>
                </c:pt>
                <c:pt idx="7741">
                  <c:v>10.388888888888891</c:v>
                </c:pt>
                <c:pt idx="7742">
                  <c:v>10.888888888888889</c:v>
                </c:pt>
                <c:pt idx="7743">
                  <c:v>11.111111111111111</c:v>
                </c:pt>
                <c:pt idx="7744">
                  <c:v>11.222222222222223</c:v>
                </c:pt>
                <c:pt idx="7745">
                  <c:v>11.222222222222223</c:v>
                </c:pt>
                <c:pt idx="7746">
                  <c:v>11.111111111111111</c:v>
                </c:pt>
                <c:pt idx="7747">
                  <c:v>10.777777777777777</c:v>
                </c:pt>
                <c:pt idx="7748">
                  <c:v>10.388888888888891</c:v>
                </c:pt>
                <c:pt idx="7749">
                  <c:v>10</c:v>
                </c:pt>
                <c:pt idx="7750">
                  <c:v>9.7777777777777786</c:v>
                </c:pt>
                <c:pt idx="7751">
                  <c:v>9.6111111111111089</c:v>
                </c:pt>
                <c:pt idx="7752">
                  <c:v>9.7777777777777786</c:v>
                </c:pt>
                <c:pt idx="7753">
                  <c:v>10.222222222222221</c:v>
                </c:pt>
                <c:pt idx="7754">
                  <c:v>10.499999999999998</c:v>
                </c:pt>
                <c:pt idx="7755">
                  <c:v>10.888888888888889</c:v>
                </c:pt>
                <c:pt idx="7756">
                  <c:v>10.999999999999998</c:v>
                </c:pt>
                <c:pt idx="7757">
                  <c:v>11.111111111111111</c:v>
                </c:pt>
                <c:pt idx="7758">
                  <c:v>10.999999999999998</c:v>
                </c:pt>
                <c:pt idx="7759">
                  <c:v>10.72222222222222</c:v>
                </c:pt>
                <c:pt idx="7760">
                  <c:v>10.388888888888891</c:v>
                </c:pt>
                <c:pt idx="7761">
                  <c:v>9.8888888888888875</c:v>
                </c:pt>
                <c:pt idx="7762">
                  <c:v>9.6111111111111089</c:v>
                </c:pt>
                <c:pt idx="7763">
                  <c:v>9.5</c:v>
                </c:pt>
                <c:pt idx="7764">
                  <c:v>9.6111111111111089</c:v>
                </c:pt>
                <c:pt idx="7765">
                  <c:v>10.222222222222221</c:v>
                </c:pt>
                <c:pt idx="7766">
                  <c:v>10.611111111111112</c:v>
                </c:pt>
                <c:pt idx="7767">
                  <c:v>10.777777777777777</c:v>
                </c:pt>
                <c:pt idx="7768">
                  <c:v>10.999999999999998</c:v>
                </c:pt>
                <c:pt idx="7769">
                  <c:v>10.999999999999998</c:v>
                </c:pt>
                <c:pt idx="7770">
                  <c:v>10.999999999999998</c:v>
                </c:pt>
                <c:pt idx="7771">
                  <c:v>10.777777777777777</c:v>
                </c:pt>
                <c:pt idx="7772">
                  <c:v>10.499999999999998</c:v>
                </c:pt>
                <c:pt idx="7773">
                  <c:v>10</c:v>
                </c:pt>
                <c:pt idx="7774">
                  <c:v>9.7222222222222214</c:v>
                </c:pt>
                <c:pt idx="7775">
                  <c:v>9.5</c:v>
                </c:pt>
                <c:pt idx="7776">
                  <c:v>9.2777777777777786</c:v>
                </c:pt>
                <c:pt idx="7777">
                  <c:v>9.6111111111111089</c:v>
                </c:pt>
                <c:pt idx="7778">
                  <c:v>10.111111111111112</c:v>
                </c:pt>
                <c:pt idx="7779">
                  <c:v>10.499999999999998</c:v>
                </c:pt>
                <c:pt idx="7780">
                  <c:v>10.777777777777777</c:v>
                </c:pt>
                <c:pt idx="7781">
                  <c:v>10.777777777777777</c:v>
                </c:pt>
                <c:pt idx="7782">
                  <c:v>10.777777777777777</c:v>
                </c:pt>
                <c:pt idx="7783">
                  <c:v>10.72222222222222</c:v>
                </c:pt>
                <c:pt idx="7784">
                  <c:v>10.388888888888891</c:v>
                </c:pt>
                <c:pt idx="7785">
                  <c:v>10</c:v>
                </c:pt>
                <c:pt idx="7786">
                  <c:v>9.5</c:v>
                </c:pt>
                <c:pt idx="7787">
                  <c:v>9.2777777777777786</c:v>
                </c:pt>
                <c:pt idx="7788">
                  <c:v>9.1111111111111107</c:v>
                </c:pt>
                <c:pt idx="7789">
                  <c:v>9.5</c:v>
                </c:pt>
                <c:pt idx="7790">
                  <c:v>10</c:v>
                </c:pt>
                <c:pt idx="7791">
                  <c:v>10.388888888888891</c:v>
                </c:pt>
                <c:pt idx="7792">
                  <c:v>10.611111111111112</c:v>
                </c:pt>
                <c:pt idx="7793">
                  <c:v>10.72222222222222</c:v>
                </c:pt>
                <c:pt idx="7794">
                  <c:v>10.72222222222222</c:v>
                </c:pt>
                <c:pt idx="7795">
                  <c:v>10.611111111111112</c:v>
                </c:pt>
                <c:pt idx="7796">
                  <c:v>10.499999999999998</c:v>
                </c:pt>
                <c:pt idx="7797">
                  <c:v>10.111111111111112</c:v>
                </c:pt>
                <c:pt idx="7798">
                  <c:v>9.7222222222222214</c:v>
                </c:pt>
                <c:pt idx="7799">
                  <c:v>9.3888888888888875</c:v>
                </c:pt>
                <c:pt idx="7800">
                  <c:v>9.2222222222222232</c:v>
                </c:pt>
                <c:pt idx="7801">
                  <c:v>9.1111111111111107</c:v>
                </c:pt>
                <c:pt idx="7802">
                  <c:v>9.6111111111111089</c:v>
                </c:pt>
                <c:pt idx="7803">
                  <c:v>9.8888888888888875</c:v>
                </c:pt>
                <c:pt idx="7804">
                  <c:v>10.222222222222221</c:v>
                </c:pt>
                <c:pt idx="7805">
                  <c:v>10.388888888888891</c:v>
                </c:pt>
                <c:pt idx="7806">
                  <c:v>10.499999999999998</c:v>
                </c:pt>
                <c:pt idx="7807">
                  <c:v>10.388888888888891</c:v>
                </c:pt>
                <c:pt idx="7808">
                  <c:v>10.277777777777777</c:v>
                </c:pt>
                <c:pt idx="7809">
                  <c:v>10.111111111111112</c:v>
                </c:pt>
                <c:pt idx="7810">
                  <c:v>9.6111111111111089</c:v>
                </c:pt>
                <c:pt idx="7811">
                  <c:v>9.3888888888888875</c:v>
                </c:pt>
                <c:pt idx="7812">
                  <c:v>9.1111111111111107</c:v>
                </c:pt>
                <c:pt idx="7813">
                  <c:v>9.2222222222222232</c:v>
                </c:pt>
                <c:pt idx="7814">
                  <c:v>9.7222222222222214</c:v>
                </c:pt>
                <c:pt idx="7815">
                  <c:v>9.8888888888888875</c:v>
                </c:pt>
                <c:pt idx="7816">
                  <c:v>10.222222222222221</c:v>
                </c:pt>
                <c:pt idx="7817">
                  <c:v>10.388888888888891</c:v>
                </c:pt>
                <c:pt idx="7818">
                  <c:v>10.388888888888891</c:v>
                </c:pt>
                <c:pt idx="7819">
                  <c:v>10.388888888888891</c:v>
                </c:pt>
                <c:pt idx="7820">
                  <c:v>10.277777777777777</c:v>
                </c:pt>
                <c:pt idx="7821">
                  <c:v>10.111111111111112</c:v>
                </c:pt>
                <c:pt idx="7822">
                  <c:v>9.7222222222222214</c:v>
                </c:pt>
                <c:pt idx="7823">
                  <c:v>9.3888888888888875</c:v>
                </c:pt>
                <c:pt idx="7824">
                  <c:v>9.1111111111111107</c:v>
                </c:pt>
                <c:pt idx="7825">
                  <c:v>8.8888888888888893</c:v>
                </c:pt>
                <c:pt idx="7826">
                  <c:v>9.0000000000000018</c:v>
                </c:pt>
                <c:pt idx="7827">
                  <c:v>9.5</c:v>
                </c:pt>
                <c:pt idx="7828">
                  <c:v>9.7777777777777786</c:v>
                </c:pt>
                <c:pt idx="7829">
                  <c:v>10.111111111111112</c:v>
                </c:pt>
                <c:pt idx="7830">
                  <c:v>10.277777777777777</c:v>
                </c:pt>
                <c:pt idx="7831">
                  <c:v>10.277777777777777</c:v>
                </c:pt>
                <c:pt idx="7832">
                  <c:v>10.277777777777777</c:v>
                </c:pt>
                <c:pt idx="7833">
                  <c:v>10</c:v>
                </c:pt>
                <c:pt idx="7834">
                  <c:v>9.7222222222222214</c:v>
                </c:pt>
                <c:pt idx="7835">
                  <c:v>9.2777777777777786</c:v>
                </c:pt>
                <c:pt idx="7836">
                  <c:v>9.0000000000000018</c:v>
                </c:pt>
                <c:pt idx="7837">
                  <c:v>8.8888888888888893</c:v>
                </c:pt>
                <c:pt idx="7838">
                  <c:v>9.0000000000000018</c:v>
                </c:pt>
                <c:pt idx="7839">
                  <c:v>9.5</c:v>
                </c:pt>
                <c:pt idx="7840">
                  <c:v>9.8888888888888875</c:v>
                </c:pt>
                <c:pt idx="7841">
                  <c:v>10.222222222222221</c:v>
                </c:pt>
                <c:pt idx="7842">
                  <c:v>10.388888888888891</c:v>
                </c:pt>
                <c:pt idx="7843">
                  <c:v>10.499999999999998</c:v>
                </c:pt>
                <c:pt idx="7844">
                  <c:v>10.388888888888891</c:v>
                </c:pt>
                <c:pt idx="7845">
                  <c:v>10.277777777777777</c:v>
                </c:pt>
                <c:pt idx="7846">
                  <c:v>10</c:v>
                </c:pt>
                <c:pt idx="7847">
                  <c:v>9.5</c:v>
                </c:pt>
                <c:pt idx="7848">
                  <c:v>9.2222222222222232</c:v>
                </c:pt>
                <c:pt idx="7849">
                  <c:v>8.8888888888888893</c:v>
                </c:pt>
                <c:pt idx="7850">
                  <c:v>8.7777777777777768</c:v>
                </c:pt>
                <c:pt idx="7851">
                  <c:v>9.0000000000000018</c:v>
                </c:pt>
                <c:pt idx="7852">
                  <c:v>9.5</c:v>
                </c:pt>
                <c:pt idx="7853">
                  <c:v>9.7777777777777786</c:v>
                </c:pt>
                <c:pt idx="7854">
                  <c:v>10.222222222222221</c:v>
                </c:pt>
                <c:pt idx="7855">
                  <c:v>10.277777777777777</c:v>
                </c:pt>
                <c:pt idx="7856">
                  <c:v>10.277777777777777</c:v>
                </c:pt>
                <c:pt idx="7857">
                  <c:v>10.222222222222221</c:v>
                </c:pt>
                <c:pt idx="7858">
                  <c:v>10</c:v>
                </c:pt>
                <c:pt idx="7859">
                  <c:v>9.5</c:v>
                </c:pt>
                <c:pt idx="7860">
                  <c:v>9.1111111111111107</c:v>
                </c:pt>
                <c:pt idx="7861">
                  <c:v>8.8888888888888893</c:v>
                </c:pt>
                <c:pt idx="7862">
                  <c:v>8.7777777777777768</c:v>
                </c:pt>
                <c:pt idx="7863">
                  <c:v>9.1111111111111107</c:v>
                </c:pt>
                <c:pt idx="7864">
                  <c:v>9.5</c:v>
                </c:pt>
                <c:pt idx="7865">
                  <c:v>10</c:v>
                </c:pt>
                <c:pt idx="7866">
                  <c:v>10.388888888888891</c:v>
                </c:pt>
                <c:pt idx="7867">
                  <c:v>10.611111111111112</c:v>
                </c:pt>
                <c:pt idx="7868">
                  <c:v>10.72222222222222</c:v>
                </c:pt>
                <c:pt idx="7869">
                  <c:v>10.611111111111112</c:v>
                </c:pt>
                <c:pt idx="7870">
                  <c:v>10.388888888888891</c:v>
                </c:pt>
                <c:pt idx="7871">
                  <c:v>9.8888888888888875</c:v>
                </c:pt>
                <c:pt idx="7872">
                  <c:v>9.5</c:v>
                </c:pt>
                <c:pt idx="7873">
                  <c:v>9.2222222222222232</c:v>
                </c:pt>
                <c:pt idx="7874">
                  <c:v>8.8888888888888893</c:v>
                </c:pt>
                <c:pt idx="7875">
                  <c:v>8.8888888888888893</c:v>
                </c:pt>
                <c:pt idx="7876">
                  <c:v>9.2222222222222232</c:v>
                </c:pt>
                <c:pt idx="7877">
                  <c:v>9.7222222222222214</c:v>
                </c:pt>
                <c:pt idx="7878">
                  <c:v>10.277777777777777</c:v>
                </c:pt>
                <c:pt idx="7879">
                  <c:v>10.611111111111112</c:v>
                </c:pt>
                <c:pt idx="7880">
                  <c:v>10.72222222222222</c:v>
                </c:pt>
                <c:pt idx="7881">
                  <c:v>10.72222222222222</c:v>
                </c:pt>
                <c:pt idx="7882">
                  <c:v>10.611111111111112</c:v>
                </c:pt>
                <c:pt idx="7883">
                  <c:v>10.277777777777777</c:v>
                </c:pt>
                <c:pt idx="7884">
                  <c:v>9.7222222222222214</c:v>
                </c:pt>
                <c:pt idx="7885">
                  <c:v>9.2777777777777786</c:v>
                </c:pt>
                <c:pt idx="7886">
                  <c:v>9.1111111111111107</c:v>
                </c:pt>
                <c:pt idx="7887">
                  <c:v>9.1111111111111107</c:v>
                </c:pt>
                <c:pt idx="7888">
                  <c:v>9.5</c:v>
                </c:pt>
                <c:pt idx="7889">
                  <c:v>10.111111111111112</c:v>
                </c:pt>
                <c:pt idx="7890">
                  <c:v>10.499999999999998</c:v>
                </c:pt>
                <c:pt idx="7891">
                  <c:v>10.777777777777777</c:v>
                </c:pt>
                <c:pt idx="7892">
                  <c:v>10.888888888888889</c:v>
                </c:pt>
                <c:pt idx="7893">
                  <c:v>10.888888888888889</c:v>
                </c:pt>
                <c:pt idx="7894">
                  <c:v>10.777777777777777</c:v>
                </c:pt>
                <c:pt idx="7895">
                  <c:v>10.611111111111112</c:v>
                </c:pt>
                <c:pt idx="7896">
                  <c:v>10.111111111111112</c:v>
                </c:pt>
                <c:pt idx="7897">
                  <c:v>9.7777777777777786</c:v>
                </c:pt>
                <c:pt idx="7898">
                  <c:v>9.5</c:v>
                </c:pt>
                <c:pt idx="7899">
                  <c:v>9.2222222222222232</c:v>
                </c:pt>
                <c:pt idx="7900">
                  <c:v>9.2222222222222232</c:v>
                </c:pt>
                <c:pt idx="7901">
                  <c:v>9.7222222222222214</c:v>
                </c:pt>
                <c:pt idx="7902">
                  <c:v>10</c:v>
                </c:pt>
                <c:pt idx="7903">
                  <c:v>10.499999999999998</c:v>
                </c:pt>
                <c:pt idx="7904">
                  <c:v>10.72222222222222</c:v>
                </c:pt>
                <c:pt idx="7905">
                  <c:v>10.777777777777777</c:v>
                </c:pt>
                <c:pt idx="7906">
                  <c:v>10.777777777777777</c:v>
                </c:pt>
                <c:pt idx="7907">
                  <c:v>10.72222222222222</c:v>
                </c:pt>
                <c:pt idx="7908">
                  <c:v>10.388888888888891</c:v>
                </c:pt>
                <c:pt idx="7909">
                  <c:v>10</c:v>
                </c:pt>
                <c:pt idx="7910">
                  <c:v>9.7222222222222214</c:v>
                </c:pt>
                <c:pt idx="7911">
                  <c:v>9.6111111111111089</c:v>
                </c:pt>
                <c:pt idx="7912">
                  <c:v>9.6111111111111089</c:v>
                </c:pt>
                <c:pt idx="7913">
                  <c:v>10.111111111111112</c:v>
                </c:pt>
                <c:pt idx="7914">
                  <c:v>10.277777777777777</c:v>
                </c:pt>
                <c:pt idx="7915">
                  <c:v>10.72222222222222</c:v>
                </c:pt>
                <c:pt idx="7916">
                  <c:v>10.888888888888889</c:v>
                </c:pt>
                <c:pt idx="7917">
                  <c:v>10.999999999999998</c:v>
                </c:pt>
                <c:pt idx="7918">
                  <c:v>10.888888888888889</c:v>
                </c:pt>
                <c:pt idx="7919">
                  <c:v>10.777777777777777</c:v>
                </c:pt>
                <c:pt idx="7920">
                  <c:v>10.611111111111112</c:v>
                </c:pt>
                <c:pt idx="7921">
                  <c:v>10.111111111111112</c:v>
                </c:pt>
                <c:pt idx="7922">
                  <c:v>9.7777777777777786</c:v>
                </c:pt>
                <c:pt idx="7923">
                  <c:v>9.6111111111111089</c:v>
                </c:pt>
                <c:pt idx="7924">
                  <c:v>9.2777777777777786</c:v>
                </c:pt>
                <c:pt idx="7925">
                  <c:v>9.2222222222222232</c:v>
                </c:pt>
                <c:pt idx="7926">
                  <c:v>9.7222222222222214</c:v>
                </c:pt>
                <c:pt idx="7927">
                  <c:v>10</c:v>
                </c:pt>
                <c:pt idx="7928">
                  <c:v>10.499999999999998</c:v>
                </c:pt>
                <c:pt idx="7929">
                  <c:v>10.499999999999998</c:v>
                </c:pt>
                <c:pt idx="7930">
                  <c:v>10.611111111111112</c:v>
                </c:pt>
                <c:pt idx="7931">
                  <c:v>10.499999999999998</c:v>
                </c:pt>
                <c:pt idx="7932">
                  <c:v>10.388888888888891</c:v>
                </c:pt>
                <c:pt idx="7933">
                  <c:v>10.111111111111112</c:v>
                </c:pt>
                <c:pt idx="7934">
                  <c:v>9.7222222222222214</c:v>
                </c:pt>
                <c:pt idx="7935">
                  <c:v>9.5</c:v>
                </c:pt>
                <c:pt idx="7936">
                  <c:v>9.2777777777777786</c:v>
                </c:pt>
                <c:pt idx="7937">
                  <c:v>9.2777777777777786</c:v>
                </c:pt>
                <c:pt idx="7938">
                  <c:v>9.7222222222222214</c:v>
                </c:pt>
                <c:pt idx="7939">
                  <c:v>10</c:v>
                </c:pt>
                <c:pt idx="7940">
                  <c:v>10.277777777777777</c:v>
                </c:pt>
                <c:pt idx="7941">
                  <c:v>10.499999999999998</c:v>
                </c:pt>
                <c:pt idx="7942">
                  <c:v>10.611111111111112</c:v>
                </c:pt>
                <c:pt idx="7943">
                  <c:v>10.611111111111112</c:v>
                </c:pt>
                <c:pt idx="7944">
                  <c:v>10.499999999999998</c:v>
                </c:pt>
                <c:pt idx="7945">
                  <c:v>10.222222222222221</c:v>
                </c:pt>
                <c:pt idx="7946">
                  <c:v>9.7777777777777786</c:v>
                </c:pt>
                <c:pt idx="7947">
                  <c:v>9.5</c:v>
                </c:pt>
                <c:pt idx="7948">
                  <c:v>9.2222222222222232</c:v>
                </c:pt>
                <c:pt idx="7949">
                  <c:v>9.0000000000000018</c:v>
                </c:pt>
                <c:pt idx="7950">
                  <c:v>9.0000000000000018</c:v>
                </c:pt>
                <c:pt idx="7951">
                  <c:v>9.5</c:v>
                </c:pt>
                <c:pt idx="7952">
                  <c:v>9.7777777777777786</c:v>
                </c:pt>
                <c:pt idx="7953">
                  <c:v>10.222222222222221</c:v>
                </c:pt>
                <c:pt idx="7954">
                  <c:v>10.388888888888891</c:v>
                </c:pt>
                <c:pt idx="7955">
                  <c:v>10.499999999999998</c:v>
                </c:pt>
                <c:pt idx="7956">
                  <c:v>10.388888888888891</c:v>
                </c:pt>
                <c:pt idx="7957">
                  <c:v>10.222222222222221</c:v>
                </c:pt>
                <c:pt idx="7958">
                  <c:v>9.8888888888888875</c:v>
                </c:pt>
                <c:pt idx="7959">
                  <c:v>9.3888888888888875</c:v>
                </c:pt>
                <c:pt idx="7960">
                  <c:v>9.1111111111111107</c:v>
                </c:pt>
                <c:pt idx="7961">
                  <c:v>8.8888888888888893</c:v>
                </c:pt>
                <c:pt idx="7962">
                  <c:v>8.8888888888888893</c:v>
                </c:pt>
                <c:pt idx="7963">
                  <c:v>9.2777777777777786</c:v>
                </c:pt>
                <c:pt idx="7964">
                  <c:v>9.6111111111111089</c:v>
                </c:pt>
                <c:pt idx="7965">
                  <c:v>10.111111111111112</c:v>
                </c:pt>
                <c:pt idx="7966">
                  <c:v>10.277777777777777</c:v>
                </c:pt>
                <c:pt idx="7967">
                  <c:v>10.388888888888891</c:v>
                </c:pt>
                <c:pt idx="7968">
                  <c:v>10.388888888888891</c:v>
                </c:pt>
                <c:pt idx="7969">
                  <c:v>10.277777777777777</c:v>
                </c:pt>
                <c:pt idx="7970">
                  <c:v>9.8888888888888875</c:v>
                </c:pt>
                <c:pt idx="7971">
                  <c:v>9.2777777777777786</c:v>
                </c:pt>
                <c:pt idx="7972">
                  <c:v>9.0000000000000018</c:v>
                </c:pt>
                <c:pt idx="7973">
                  <c:v>8.7222222222222232</c:v>
                </c:pt>
                <c:pt idx="7974">
                  <c:v>8.4999999999999982</c:v>
                </c:pt>
                <c:pt idx="7975">
                  <c:v>8.4999999999999982</c:v>
                </c:pt>
                <c:pt idx="7976">
                  <c:v>9.1111111111111107</c:v>
                </c:pt>
                <c:pt idx="7977">
                  <c:v>9.5</c:v>
                </c:pt>
                <c:pt idx="7978">
                  <c:v>10</c:v>
                </c:pt>
                <c:pt idx="7979">
                  <c:v>10.111111111111112</c:v>
                </c:pt>
                <c:pt idx="7980">
                  <c:v>10.222222222222221</c:v>
                </c:pt>
                <c:pt idx="7981">
                  <c:v>10.222222222222221</c:v>
                </c:pt>
                <c:pt idx="7982">
                  <c:v>10</c:v>
                </c:pt>
                <c:pt idx="7983">
                  <c:v>9.7222222222222214</c:v>
                </c:pt>
                <c:pt idx="7984">
                  <c:v>9.1111111111111107</c:v>
                </c:pt>
                <c:pt idx="7985">
                  <c:v>8.7777777777777768</c:v>
                </c:pt>
                <c:pt idx="7986">
                  <c:v>8.6111111111111107</c:v>
                </c:pt>
                <c:pt idx="7987">
                  <c:v>8.4999999999999982</c:v>
                </c:pt>
                <c:pt idx="7988">
                  <c:v>8.7222222222222232</c:v>
                </c:pt>
                <c:pt idx="7989">
                  <c:v>9.2222222222222232</c:v>
                </c:pt>
                <c:pt idx="7990">
                  <c:v>9.8888888888888875</c:v>
                </c:pt>
                <c:pt idx="7991">
                  <c:v>10.111111111111112</c:v>
                </c:pt>
                <c:pt idx="7992">
                  <c:v>10.222222222222221</c:v>
                </c:pt>
                <c:pt idx="7993">
                  <c:v>10.222222222222221</c:v>
                </c:pt>
                <c:pt idx="7994">
                  <c:v>10.111111111111112</c:v>
                </c:pt>
                <c:pt idx="7995">
                  <c:v>9.7777777777777786</c:v>
                </c:pt>
                <c:pt idx="7996">
                  <c:v>9.2777777777777786</c:v>
                </c:pt>
                <c:pt idx="7997">
                  <c:v>8.7777777777777768</c:v>
                </c:pt>
                <c:pt idx="7998">
                  <c:v>8.4999999999999982</c:v>
                </c:pt>
                <c:pt idx="7999">
                  <c:v>8.2777777777777768</c:v>
                </c:pt>
                <c:pt idx="8000">
                  <c:v>8.3888888888888893</c:v>
                </c:pt>
                <c:pt idx="8001">
                  <c:v>8.8888888888888893</c:v>
                </c:pt>
                <c:pt idx="8002">
                  <c:v>9.3888888888888875</c:v>
                </c:pt>
                <c:pt idx="8003">
                  <c:v>9.6111111111111089</c:v>
                </c:pt>
                <c:pt idx="8004">
                  <c:v>9.7222222222222214</c:v>
                </c:pt>
                <c:pt idx="8005">
                  <c:v>9.7222222222222214</c:v>
                </c:pt>
                <c:pt idx="8006">
                  <c:v>9.7222222222222214</c:v>
                </c:pt>
                <c:pt idx="8007">
                  <c:v>9.7222222222222214</c:v>
                </c:pt>
                <c:pt idx="8008">
                  <c:v>9.6111111111111089</c:v>
                </c:pt>
                <c:pt idx="8009">
                  <c:v>9.2222222222222232</c:v>
                </c:pt>
                <c:pt idx="8010">
                  <c:v>9.0000000000000018</c:v>
                </c:pt>
                <c:pt idx="8011">
                  <c:v>8.7222222222222232</c:v>
                </c:pt>
                <c:pt idx="8012">
                  <c:v>8.6111111111111107</c:v>
                </c:pt>
                <c:pt idx="8013">
                  <c:v>8.8888888888888893</c:v>
                </c:pt>
                <c:pt idx="8014">
                  <c:v>9.1111111111111107</c:v>
                </c:pt>
                <c:pt idx="8015">
                  <c:v>9.5</c:v>
                </c:pt>
                <c:pt idx="8016">
                  <c:v>9.7222222222222214</c:v>
                </c:pt>
                <c:pt idx="8017">
                  <c:v>9.7222222222222214</c:v>
                </c:pt>
                <c:pt idx="8018">
                  <c:v>9.7222222222222214</c:v>
                </c:pt>
                <c:pt idx="8019">
                  <c:v>9.6111111111111089</c:v>
                </c:pt>
                <c:pt idx="8020">
                  <c:v>9.3888888888888875</c:v>
                </c:pt>
                <c:pt idx="8021">
                  <c:v>9.0000000000000018</c:v>
                </c:pt>
                <c:pt idx="8022">
                  <c:v>8.6111111111111107</c:v>
                </c:pt>
                <c:pt idx="8023">
                  <c:v>8.3888888888888893</c:v>
                </c:pt>
                <c:pt idx="8024">
                  <c:v>8.2222222222222197</c:v>
                </c:pt>
                <c:pt idx="8025">
                  <c:v>8.2222222222222197</c:v>
                </c:pt>
                <c:pt idx="8026">
                  <c:v>8.7777777777777768</c:v>
                </c:pt>
                <c:pt idx="8027">
                  <c:v>9.1111111111111107</c:v>
                </c:pt>
                <c:pt idx="8028">
                  <c:v>9.5</c:v>
                </c:pt>
                <c:pt idx="8029">
                  <c:v>9.7222222222222214</c:v>
                </c:pt>
                <c:pt idx="8030">
                  <c:v>9.7222222222222214</c:v>
                </c:pt>
                <c:pt idx="8031">
                  <c:v>9.7222222222222214</c:v>
                </c:pt>
                <c:pt idx="8032">
                  <c:v>9.6111111111111089</c:v>
                </c:pt>
                <c:pt idx="8033">
                  <c:v>9.2222222222222232</c:v>
                </c:pt>
                <c:pt idx="8034">
                  <c:v>8.7777777777777768</c:v>
                </c:pt>
                <c:pt idx="8035">
                  <c:v>8.6111111111111107</c:v>
                </c:pt>
                <c:pt idx="8036">
                  <c:v>8.2777777777777768</c:v>
                </c:pt>
                <c:pt idx="8037">
                  <c:v>8.2222222222222197</c:v>
                </c:pt>
                <c:pt idx="8038">
                  <c:v>8.3888888888888893</c:v>
                </c:pt>
                <c:pt idx="8039">
                  <c:v>8.8888888888888893</c:v>
                </c:pt>
                <c:pt idx="8040">
                  <c:v>9.2222222222222232</c:v>
                </c:pt>
                <c:pt idx="8041">
                  <c:v>9.5</c:v>
                </c:pt>
                <c:pt idx="8042">
                  <c:v>9.6111111111111089</c:v>
                </c:pt>
                <c:pt idx="8043">
                  <c:v>9.7222222222222214</c:v>
                </c:pt>
                <c:pt idx="8044">
                  <c:v>9.6111111111111089</c:v>
                </c:pt>
                <c:pt idx="8045">
                  <c:v>9.2777777777777786</c:v>
                </c:pt>
                <c:pt idx="8046">
                  <c:v>8.7777777777777768</c:v>
                </c:pt>
                <c:pt idx="8047">
                  <c:v>8.3888888888888893</c:v>
                </c:pt>
                <c:pt idx="8048">
                  <c:v>8.1111111111111125</c:v>
                </c:pt>
                <c:pt idx="8049">
                  <c:v>7.8888888888888902</c:v>
                </c:pt>
                <c:pt idx="8050">
                  <c:v>7.9999999999999991</c:v>
                </c:pt>
                <c:pt idx="8051">
                  <c:v>8.6111111111111107</c:v>
                </c:pt>
                <c:pt idx="8052">
                  <c:v>9.1111111111111107</c:v>
                </c:pt>
                <c:pt idx="8053">
                  <c:v>9.5</c:v>
                </c:pt>
                <c:pt idx="8054">
                  <c:v>9.6111111111111089</c:v>
                </c:pt>
                <c:pt idx="8055">
                  <c:v>9.7222222222222214</c:v>
                </c:pt>
                <c:pt idx="8056">
                  <c:v>9.7222222222222214</c:v>
                </c:pt>
                <c:pt idx="8057">
                  <c:v>9.5</c:v>
                </c:pt>
                <c:pt idx="8058">
                  <c:v>9.0000000000000018</c:v>
                </c:pt>
                <c:pt idx="8059">
                  <c:v>8.4999999999999982</c:v>
                </c:pt>
                <c:pt idx="8060">
                  <c:v>8.2222222222222197</c:v>
                </c:pt>
                <c:pt idx="8061">
                  <c:v>7.9999999999999991</c:v>
                </c:pt>
                <c:pt idx="8062">
                  <c:v>7.7777777777777777</c:v>
                </c:pt>
                <c:pt idx="8063">
                  <c:v>7.9999999999999991</c:v>
                </c:pt>
                <c:pt idx="8064">
                  <c:v>8.7222222222222232</c:v>
                </c:pt>
                <c:pt idx="8065">
                  <c:v>9.2222222222222232</c:v>
                </c:pt>
                <c:pt idx="8066">
                  <c:v>9.6111111111111089</c:v>
                </c:pt>
                <c:pt idx="8067">
                  <c:v>9.7222222222222214</c:v>
                </c:pt>
                <c:pt idx="8068">
                  <c:v>9.7222222222222214</c:v>
                </c:pt>
                <c:pt idx="8069">
                  <c:v>9.5</c:v>
                </c:pt>
                <c:pt idx="8070">
                  <c:v>9.0000000000000018</c:v>
                </c:pt>
                <c:pt idx="8071">
                  <c:v>8.2777777777777768</c:v>
                </c:pt>
                <c:pt idx="8072">
                  <c:v>7.7777777777777777</c:v>
                </c:pt>
                <c:pt idx="8073">
                  <c:v>7.5</c:v>
                </c:pt>
                <c:pt idx="8074">
                  <c:v>7.2777777777777786</c:v>
                </c:pt>
                <c:pt idx="8075">
                  <c:v>7.5</c:v>
                </c:pt>
                <c:pt idx="8076">
                  <c:v>8.1111111111111125</c:v>
                </c:pt>
                <c:pt idx="8077">
                  <c:v>8.7777777777777768</c:v>
                </c:pt>
                <c:pt idx="8078">
                  <c:v>9.3888888888888875</c:v>
                </c:pt>
                <c:pt idx="8079">
                  <c:v>9.6111111111111089</c:v>
                </c:pt>
                <c:pt idx="8080">
                  <c:v>9.6111111111111089</c:v>
                </c:pt>
                <c:pt idx="8081">
                  <c:v>9.5</c:v>
                </c:pt>
                <c:pt idx="8082">
                  <c:v>9.2777777777777786</c:v>
                </c:pt>
                <c:pt idx="8083">
                  <c:v>8.7222222222222232</c:v>
                </c:pt>
                <c:pt idx="8084">
                  <c:v>8.1111111111111125</c:v>
                </c:pt>
                <c:pt idx="8085">
                  <c:v>7.7222222222222214</c:v>
                </c:pt>
                <c:pt idx="8086">
                  <c:v>7.2777777777777786</c:v>
                </c:pt>
                <c:pt idx="8087">
                  <c:v>7.2222222222222223</c:v>
                </c:pt>
                <c:pt idx="8088">
                  <c:v>7.7222222222222214</c:v>
                </c:pt>
                <c:pt idx="8089">
                  <c:v>8.1111111111111125</c:v>
                </c:pt>
                <c:pt idx="8090">
                  <c:v>8.8888888888888893</c:v>
                </c:pt>
                <c:pt idx="8091">
                  <c:v>9.3888888888888875</c:v>
                </c:pt>
                <c:pt idx="8092">
                  <c:v>9.5</c:v>
                </c:pt>
                <c:pt idx="8093">
                  <c:v>9.5</c:v>
                </c:pt>
                <c:pt idx="8094">
                  <c:v>9.2777777777777786</c:v>
                </c:pt>
                <c:pt idx="8095">
                  <c:v>8.8888888888888893</c:v>
                </c:pt>
                <c:pt idx="8096">
                  <c:v>8.2222222222222197</c:v>
                </c:pt>
                <c:pt idx="8097">
                  <c:v>7.7222222222222214</c:v>
                </c:pt>
                <c:pt idx="8098">
                  <c:v>7.2777777777777786</c:v>
                </c:pt>
                <c:pt idx="8099">
                  <c:v>7.2222222222222223</c:v>
                </c:pt>
                <c:pt idx="8100">
                  <c:v>7.7222222222222214</c:v>
                </c:pt>
                <c:pt idx="8101">
                  <c:v>8.3888888888888893</c:v>
                </c:pt>
                <c:pt idx="8102">
                  <c:v>9.1111111111111107</c:v>
                </c:pt>
                <c:pt idx="8103">
                  <c:v>9.3888888888888875</c:v>
                </c:pt>
                <c:pt idx="8104">
                  <c:v>9.5</c:v>
                </c:pt>
                <c:pt idx="8105">
                  <c:v>9.6111111111111089</c:v>
                </c:pt>
                <c:pt idx="8106">
                  <c:v>9.5</c:v>
                </c:pt>
                <c:pt idx="8107">
                  <c:v>9.2222222222222232</c:v>
                </c:pt>
                <c:pt idx="8108">
                  <c:v>8.4999999999999982</c:v>
                </c:pt>
                <c:pt idx="8109">
                  <c:v>7.9999999999999991</c:v>
                </c:pt>
                <c:pt idx="8110">
                  <c:v>7.6111111111111125</c:v>
                </c:pt>
                <c:pt idx="8111">
                  <c:v>7.2222222222222223</c:v>
                </c:pt>
                <c:pt idx="8112">
                  <c:v>7.1111111111111089</c:v>
                </c:pt>
                <c:pt idx="8113">
                  <c:v>7.7777777777777777</c:v>
                </c:pt>
                <c:pt idx="8114">
                  <c:v>8.2777777777777768</c:v>
                </c:pt>
                <c:pt idx="8115">
                  <c:v>9.1111111111111107</c:v>
                </c:pt>
                <c:pt idx="8116">
                  <c:v>9.3888888888888875</c:v>
                </c:pt>
                <c:pt idx="8117">
                  <c:v>9.5</c:v>
                </c:pt>
                <c:pt idx="8118">
                  <c:v>9.3888888888888875</c:v>
                </c:pt>
                <c:pt idx="8119">
                  <c:v>9.2777777777777786</c:v>
                </c:pt>
                <c:pt idx="8120">
                  <c:v>9.1111111111111107</c:v>
                </c:pt>
                <c:pt idx="8121">
                  <c:v>8.4999999999999982</c:v>
                </c:pt>
                <c:pt idx="8122">
                  <c:v>8.1111111111111125</c:v>
                </c:pt>
                <c:pt idx="8123">
                  <c:v>7.7777777777777777</c:v>
                </c:pt>
                <c:pt idx="8124">
                  <c:v>7.7777777777777777</c:v>
                </c:pt>
                <c:pt idx="8125">
                  <c:v>8.3888888888888893</c:v>
                </c:pt>
                <c:pt idx="8126">
                  <c:v>8.7222222222222232</c:v>
                </c:pt>
                <c:pt idx="8127">
                  <c:v>9.1111111111111107</c:v>
                </c:pt>
                <c:pt idx="8128">
                  <c:v>9.2777777777777786</c:v>
                </c:pt>
                <c:pt idx="8129">
                  <c:v>9.3888888888888875</c:v>
                </c:pt>
                <c:pt idx="8130">
                  <c:v>9.3888888888888875</c:v>
                </c:pt>
                <c:pt idx="8131">
                  <c:v>9.2777777777777786</c:v>
                </c:pt>
                <c:pt idx="8132">
                  <c:v>9.1111111111111107</c:v>
                </c:pt>
                <c:pt idx="8133">
                  <c:v>8.6111111111111107</c:v>
                </c:pt>
                <c:pt idx="8134">
                  <c:v>8.2222222222222197</c:v>
                </c:pt>
                <c:pt idx="8135">
                  <c:v>7.7777777777777777</c:v>
                </c:pt>
                <c:pt idx="8136">
                  <c:v>7.5</c:v>
                </c:pt>
                <c:pt idx="8137">
                  <c:v>7.3888888888888875</c:v>
                </c:pt>
                <c:pt idx="8138">
                  <c:v>8.1111111111111125</c:v>
                </c:pt>
                <c:pt idx="8139">
                  <c:v>8.4999999999999982</c:v>
                </c:pt>
                <c:pt idx="8140">
                  <c:v>9.2222222222222232</c:v>
                </c:pt>
                <c:pt idx="8141">
                  <c:v>9.3888888888888875</c:v>
                </c:pt>
                <c:pt idx="8142">
                  <c:v>9.3888888888888875</c:v>
                </c:pt>
                <c:pt idx="8143">
                  <c:v>9.2777777777777786</c:v>
                </c:pt>
                <c:pt idx="8144">
                  <c:v>9.1111111111111107</c:v>
                </c:pt>
                <c:pt idx="8145">
                  <c:v>8.7222222222222232</c:v>
                </c:pt>
                <c:pt idx="8146">
                  <c:v>7.9999999999999991</c:v>
                </c:pt>
                <c:pt idx="8147">
                  <c:v>7.7222222222222214</c:v>
                </c:pt>
                <c:pt idx="8148">
                  <c:v>7.3888888888888875</c:v>
                </c:pt>
                <c:pt idx="8149">
                  <c:v>7.5</c:v>
                </c:pt>
                <c:pt idx="8150">
                  <c:v>8.1111111111111125</c:v>
                </c:pt>
                <c:pt idx="8151">
                  <c:v>8.6111111111111107</c:v>
                </c:pt>
                <c:pt idx="8152">
                  <c:v>9.2222222222222232</c:v>
                </c:pt>
                <c:pt idx="8153">
                  <c:v>9.3888888888888875</c:v>
                </c:pt>
                <c:pt idx="8154">
                  <c:v>9.5</c:v>
                </c:pt>
                <c:pt idx="8155">
                  <c:v>9.3888888888888875</c:v>
                </c:pt>
                <c:pt idx="8156">
                  <c:v>9.2222222222222232</c:v>
                </c:pt>
                <c:pt idx="8157">
                  <c:v>8.7777777777777768</c:v>
                </c:pt>
                <c:pt idx="8158">
                  <c:v>8.1111111111111125</c:v>
                </c:pt>
                <c:pt idx="8159">
                  <c:v>7.6111111111111125</c:v>
                </c:pt>
                <c:pt idx="8160">
                  <c:v>7.2222222222222223</c:v>
                </c:pt>
                <c:pt idx="8161">
                  <c:v>7.0000000000000009</c:v>
                </c:pt>
                <c:pt idx="8162">
                  <c:v>7.0000000000000009</c:v>
                </c:pt>
                <c:pt idx="8163">
                  <c:v>7.6111111111111125</c:v>
                </c:pt>
                <c:pt idx="8164">
                  <c:v>8.2222222222222197</c:v>
                </c:pt>
                <c:pt idx="8165">
                  <c:v>8.7777777777777768</c:v>
                </c:pt>
                <c:pt idx="8166">
                  <c:v>9.2222222222222232</c:v>
                </c:pt>
                <c:pt idx="8167">
                  <c:v>9.2777777777777786</c:v>
                </c:pt>
                <c:pt idx="8168">
                  <c:v>9.2222222222222232</c:v>
                </c:pt>
                <c:pt idx="8169">
                  <c:v>8.7777777777777768</c:v>
                </c:pt>
                <c:pt idx="8170">
                  <c:v>8.1111111111111125</c:v>
                </c:pt>
                <c:pt idx="8171">
                  <c:v>7.2777777777777786</c:v>
                </c:pt>
                <c:pt idx="8172">
                  <c:v>6.8888888888888875</c:v>
                </c:pt>
                <c:pt idx="8173">
                  <c:v>6.7222222222222232</c:v>
                </c:pt>
                <c:pt idx="8174">
                  <c:v>7.1111111111111089</c:v>
                </c:pt>
                <c:pt idx="8175">
                  <c:v>7.6111111111111125</c:v>
                </c:pt>
                <c:pt idx="8176">
                  <c:v>8.2777777777777768</c:v>
                </c:pt>
                <c:pt idx="8177">
                  <c:v>9.1111111111111107</c:v>
                </c:pt>
                <c:pt idx="8178">
                  <c:v>9.3888888888888875</c:v>
                </c:pt>
                <c:pt idx="8179">
                  <c:v>9.3888888888888875</c:v>
                </c:pt>
                <c:pt idx="8180">
                  <c:v>9.2777777777777786</c:v>
                </c:pt>
                <c:pt idx="8181">
                  <c:v>9.0000000000000018</c:v>
                </c:pt>
                <c:pt idx="8182">
                  <c:v>8.2777777777777768</c:v>
                </c:pt>
                <c:pt idx="8183">
                  <c:v>7.5</c:v>
                </c:pt>
                <c:pt idx="8184">
                  <c:v>7.0000000000000009</c:v>
                </c:pt>
                <c:pt idx="8185">
                  <c:v>6.6111111111111098</c:v>
                </c:pt>
                <c:pt idx="8186">
                  <c:v>6.3888888888888884</c:v>
                </c:pt>
                <c:pt idx="8187">
                  <c:v>6.7222222222222232</c:v>
                </c:pt>
                <c:pt idx="8188">
                  <c:v>7.3888888888888875</c:v>
                </c:pt>
                <c:pt idx="8189">
                  <c:v>8.1111111111111125</c:v>
                </c:pt>
                <c:pt idx="8190">
                  <c:v>8.7777777777777768</c:v>
                </c:pt>
                <c:pt idx="8191">
                  <c:v>9.0000000000000018</c:v>
                </c:pt>
                <c:pt idx="8192">
                  <c:v>9.1111111111111107</c:v>
                </c:pt>
                <c:pt idx="8193">
                  <c:v>9.0000000000000018</c:v>
                </c:pt>
                <c:pt idx="8194">
                  <c:v>8.6111111111111107</c:v>
                </c:pt>
                <c:pt idx="8195">
                  <c:v>7.8888888888888902</c:v>
                </c:pt>
                <c:pt idx="8196">
                  <c:v>7.1111111111111089</c:v>
                </c:pt>
                <c:pt idx="8197">
                  <c:v>6.7222222222222232</c:v>
                </c:pt>
                <c:pt idx="8198">
                  <c:v>6.6111111111111098</c:v>
                </c:pt>
                <c:pt idx="8199">
                  <c:v>6.8888888888888875</c:v>
                </c:pt>
                <c:pt idx="8200">
                  <c:v>7.8888888888888902</c:v>
                </c:pt>
                <c:pt idx="8201">
                  <c:v>8.3888888888888893</c:v>
                </c:pt>
                <c:pt idx="8202">
                  <c:v>9.1111111111111107</c:v>
                </c:pt>
                <c:pt idx="8203">
                  <c:v>9.2777777777777786</c:v>
                </c:pt>
                <c:pt idx="8204">
                  <c:v>9.2777777777777786</c:v>
                </c:pt>
                <c:pt idx="8205">
                  <c:v>9.2777777777777786</c:v>
                </c:pt>
                <c:pt idx="8206">
                  <c:v>8.8888888888888893</c:v>
                </c:pt>
                <c:pt idx="8207">
                  <c:v>8.2222222222222197</c:v>
                </c:pt>
                <c:pt idx="8208">
                  <c:v>7.5</c:v>
                </c:pt>
                <c:pt idx="8209">
                  <c:v>6.8888888888888875</c:v>
                </c:pt>
                <c:pt idx="8210">
                  <c:v>6.5000000000000018</c:v>
                </c:pt>
                <c:pt idx="8211">
                  <c:v>6.2777777777777759</c:v>
                </c:pt>
                <c:pt idx="8212">
                  <c:v>6.8888888888888875</c:v>
                </c:pt>
                <c:pt idx="8213">
                  <c:v>7.5</c:v>
                </c:pt>
                <c:pt idx="8214">
                  <c:v>7.9999999999999991</c:v>
                </c:pt>
                <c:pt idx="8215">
                  <c:v>8.7222222222222232</c:v>
                </c:pt>
                <c:pt idx="8216">
                  <c:v>8.8888888888888893</c:v>
                </c:pt>
                <c:pt idx="8217">
                  <c:v>9.0000000000000018</c:v>
                </c:pt>
                <c:pt idx="8218">
                  <c:v>8.7777777777777768</c:v>
                </c:pt>
                <c:pt idx="8219">
                  <c:v>8.2777777777777768</c:v>
                </c:pt>
                <c:pt idx="8220">
                  <c:v>7.6111111111111125</c:v>
                </c:pt>
                <c:pt idx="8221">
                  <c:v>6.8888888888888875</c:v>
                </c:pt>
                <c:pt idx="8222">
                  <c:v>6.6111111111111098</c:v>
                </c:pt>
                <c:pt idx="8223">
                  <c:v>6.6111111111111098</c:v>
                </c:pt>
                <c:pt idx="8224">
                  <c:v>7.6111111111111125</c:v>
                </c:pt>
                <c:pt idx="8225">
                  <c:v>7.8888888888888902</c:v>
                </c:pt>
                <c:pt idx="8226">
                  <c:v>8.6111111111111107</c:v>
                </c:pt>
                <c:pt idx="8227">
                  <c:v>9.0000000000000018</c:v>
                </c:pt>
                <c:pt idx="8228">
                  <c:v>9.1111111111111107</c:v>
                </c:pt>
                <c:pt idx="8229">
                  <c:v>9.2222222222222232</c:v>
                </c:pt>
                <c:pt idx="8230">
                  <c:v>9.1111111111111107</c:v>
                </c:pt>
                <c:pt idx="8231">
                  <c:v>8.7222222222222232</c:v>
                </c:pt>
                <c:pt idx="8232">
                  <c:v>7.9999999999999991</c:v>
                </c:pt>
                <c:pt idx="8233">
                  <c:v>7.2777777777777786</c:v>
                </c:pt>
                <c:pt idx="8234">
                  <c:v>6.8888888888888875</c:v>
                </c:pt>
                <c:pt idx="8235">
                  <c:v>6.6111111111111098</c:v>
                </c:pt>
                <c:pt idx="8236">
                  <c:v>6.5000000000000018</c:v>
                </c:pt>
                <c:pt idx="8237">
                  <c:v>7.2777777777777786</c:v>
                </c:pt>
                <c:pt idx="8238">
                  <c:v>7.7777777777777777</c:v>
                </c:pt>
                <c:pt idx="8239">
                  <c:v>8.3888888888888893</c:v>
                </c:pt>
                <c:pt idx="8240">
                  <c:v>8.7777777777777768</c:v>
                </c:pt>
                <c:pt idx="8241">
                  <c:v>9.0000000000000018</c:v>
                </c:pt>
                <c:pt idx="8242">
                  <c:v>9.0000000000000018</c:v>
                </c:pt>
                <c:pt idx="8243">
                  <c:v>8.8888888888888893</c:v>
                </c:pt>
                <c:pt idx="8244">
                  <c:v>8.3888888888888893</c:v>
                </c:pt>
                <c:pt idx="8245">
                  <c:v>7.7777777777777777</c:v>
                </c:pt>
                <c:pt idx="8246">
                  <c:v>7.2222222222222223</c:v>
                </c:pt>
                <c:pt idx="8247">
                  <c:v>7.0000000000000009</c:v>
                </c:pt>
                <c:pt idx="8248">
                  <c:v>7.1111111111111089</c:v>
                </c:pt>
                <c:pt idx="8249">
                  <c:v>7.9999999999999991</c:v>
                </c:pt>
                <c:pt idx="8250">
                  <c:v>8.2777777777777768</c:v>
                </c:pt>
                <c:pt idx="8251">
                  <c:v>8.7777777777777768</c:v>
                </c:pt>
                <c:pt idx="8252">
                  <c:v>9.1111111111111107</c:v>
                </c:pt>
                <c:pt idx="8253">
                  <c:v>9.2777777777777786</c:v>
                </c:pt>
                <c:pt idx="8254">
                  <c:v>9.2777777777777786</c:v>
                </c:pt>
                <c:pt idx="8255">
                  <c:v>9.1111111111111107</c:v>
                </c:pt>
                <c:pt idx="8256">
                  <c:v>8.7222222222222232</c:v>
                </c:pt>
                <c:pt idx="8257">
                  <c:v>7.9999999999999991</c:v>
                </c:pt>
                <c:pt idx="8258">
                  <c:v>7.3888888888888875</c:v>
                </c:pt>
                <c:pt idx="8259">
                  <c:v>7.0000000000000009</c:v>
                </c:pt>
                <c:pt idx="8260">
                  <c:v>6.7777777777777795</c:v>
                </c:pt>
                <c:pt idx="8261">
                  <c:v>7.0000000000000009</c:v>
                </c:pt>
                <c:pt idx="8262">
                  <c:v>7.7222222222222214</c:v>
                </c:pt>
                <c:pt idx="8263">
                  <c:v>8.2222222222222197</c:v>
                </c:pt>
                <c:pt idx="8264">
                  <c:v>8.6111111111111107</c:v>
                </c:pt>
                <c:pt idx="8265">
                  <c:v>9.0000000000000018</c:v>
                </c:pt>
                <c:pt idx="8266">
                  <c:v>9.1111111111111107</c:v>
                </c:pt>
                <c:pt idx="8267">
                  <c:v>9.0000000000000018</c:v>
                </c:pt>
                <c:pt idx="8268">
                  <c:v>8.7777777777777768</c:v>
                </c:pt>
                <c:pt idx="8269">
                  <c:v>8.3888888888888893</c:v>
                </c:pt>
                <c:pt idx="8270">
                  <c:v>7.7777777777777777</c:v>
                </c:pt>
                <c:pt idx="8271">
                  <c:v>7.2777777777777786</c:v>
                </c:pt>
                <c:pt idx="8272">
                  <c:v>7.2222222222222223</c:v>
                </c:pt>
                <c:pt idx="8273">
                  <c:v>7.6111111111111125</c:v>
                </c:pt>
                <c:pt idx="8274">
                  <c:v>8.3888888888888893</c:v>
                </c:pt>
                <c:pt idx="8275">
                  <c:v>8.7222222222222232</c:v>
                </c:pt>
                <c:pt idx="8276">
                  <c:v>9.0000000000000018</c:v>
                </c:pt>
                <c:pt idx="8277">
                  <c:v>9.1111111111111107</c:v>
                </c:pt>
                <c:pt idx="8278">
                  <c:v>9.2222222222222232</c:v>
                </c:pt>
                <c:pt idx="8279">
                  <c:v>9.0000000000000018</c:v>
                </c:pt>
                <c:pt idx="8280">
                  <c:v>8.8888888888888893</c:v>
                </c:pt>
                <c:pt idx="8281">
                  <c:v>8.6111111111111107</c:v>
                </c:pt>
                <c:pt idx="8282">
                  <c:v>7.9999999999999991</c:v>
                </c:pt>
                <c:pt idx="8283">
                  <c:v>7.5</c:v>
                </c:pt>
                <c:pt idx="8284">
                  <c:v>7.2222222222222223</c:v>
                </c:pt>
                <c:pt idx="8285">
                  <c:v>7.0000000000000009</c:v>
                </c:pt>
                <c:pt idx="8286">
                  <c:v>7.3888888888888875</c:v>
                </c:pt>
                <c:pt idx="8287">
                  <c:v>7.8888888888888902</c:v>
                </c:pt>
                <c:pt idx="8288">
                  <c:v>8.2777777777777768</c:v>
                </c:pt>
                <c:pt idx="8289">
                  <c:v>8.4999999999999982</c:v>
                </c:pt>
                <c:pt idx="8290">
                  <c:v>8.7222222222222232</c:v>
                </c:pt>
                <c:pt idx="8291">
                  <c:v>8.7777777777777768</c:v>
                </c:pt>
                <c:pt idx="8292">
                  <c:v>8.7222222222222232</c:v>
                </c:pt>
                <c:pt idx="8293">
                  <c:v>8.4999999999999982</c:v>
                </c:pt>
                <c:pt idx="8294">
                  <c:v>8.1111111111111125</c:v>
                </c:pt>
                <c:pt idx="8295">
                  <c:v>7.6111111111111125</c:v>
                </c:pt>
                <c:pt idx="8296">
                  <c:v>7.2222222222222223</c:v>
                </c:pt>
                <c:pt idx="8297">
                  <c:v>7.1111111111111089</c:v>
                </c:pt>
                <c:pt idx="8298">
                  <c:v>7.2777777777777786</c:v>
                </c:pt>
                <c:pt idx="8299">
                  <c:v>7.8888888888888902</c:v>
                </c:pt>
                <c:pt idx="8300">
                  <c:v>8.1111111111111125</c:v>
                </c:pt>
                <c:pt idx="8301">
                  <c:v>8.3888888888888893</c:v>
                </c:pt>
                <c:pt idx="8302">
                  <c:v>8.6111111111111107</c:v>
                </c:pt>
                <c:pt idx="8303">
                  <c:v>8.7222222222222232</c:v>
                </c:pt>
                <c:pt idx="8304">
                  <c:v>8.6111111111111107</c:v>
                </c:pt>
                <c:pt idx="8305">
                  <c:v>8.3888888888888893</c:v>
                </c:pt>
                <c:pt idx="8306">
                  <c:v>8.1111111111111125</c:v>
                </c:pt>
                <c:pt idx="8307">
                  <c:v>7.5</c:v>
                </c:pt>
                <c:pt idx="8308">
                  <c:v>7.0000000000000009</c:v>
                </c:pt>
                <c:pt idx="8309">
                  <c:v>6.7777777777777795</c:v>
                </c:pt>
                <c:pt idx="8310">
                  <c:v>6.7222222222222232</c:v>
                </c:pt>
                <c:pt idx="8311">
                  <c:v>7.0000000000000009</c:v>
                </c:pt>
                <c:pt idx="8312">
                  <c:v>7.7222222222222214</c:v>
                </c:pt>
                <c:pt idx="8313">
                  <c:v>7.9999999999999991</c:v>
                </c:pt>
                <c:pt idx="8314">
                  <c:v>8.2222222222222197</c:v>
                </c:pt>
                <c:pt idx="8315">
                  <c:v>8.3888888888888893</c:v>
                </c:pt>
                <c:pt idx="8316">
                  <c:v>8.4999999999999982</c:v>
                </c:pt>
                <c:pt idx="8317">
                  <c:v>8.2777777777777768</c:v>
                </c:pt>
                <c:pt idx="8318">
                  <c:v>8.1111111111111125</c:v>
                </c:pt>
                <c:pt idx="8319">
                  <c:v>7.7222222222222214</c:v>
                </c:pt>
                <c:pt idx="8320">
                  <c:v>7.1111111111111089</c:v>
                </c:pt>
                <c:pt idx="8321">
                  <c:v>6.7777777777777795</c:v>
                </c:pt>
                <c:pt idx="8322">
                  <c:v>6.7222222222222232</c:v>
                </c:pt>
                <c:pt idx="8323">
                  <c:v>7.0000000000000009</c:v>
                </c:pt>
                <c:pt idx="8324">
                  <c:v>7.3888888888888875</c:v>
                </c:pt>
                <c:pt idx="8325">
                  <c:v>7.7777777777777777</c:v>
                </c:pt>
                <c:pt idx="8326">
                  <c:v>7.9999999999999991</c:v>
                </c:pt>
                <c:pt idx="8327">
                  <c:v>8.2777777777777768</c:v>
                </c:pt>
                <c:pt idx="8328">
                  <c:v>8.3888888888888893</c:v>
                </c:pt>
                <c:pt idx="8329">
                  <c:v>8.2222222222222197</c:v>
                </c:pt>
                <c:pt idx="8330">
                  <c:v>7.9999999999999991</c:v>
                </c:pt>
                <c:pt idx="8331">
                  <c:v>7.6111111111111125</c:v>
                </c:pt>
                <c:pt idx="8332">
                  <c:v>7.0000000000000009</c:v>
                </c:pt>
                <c:pt idx="8333">
                  <c:v>6.6111111111111098</c:v>
                </c:pt>
                <c:pt idx="8334">
                  <c:v>6.3888888888888884</c:v>
                </c:pt>
                <c:pt idx="8335">
                  <c:v>6.3888888888888884</c:v>
                </c:pt>
                <c:pt idx="8336">
                  <c:v>6.6111111111111098</c:v>
                </c:pt>
                <c:pt idx="8337">
                  <c:v>7.5</c:v>
                </c:pt>
                <c:pt idx="8338">
                  <c:v>7.7777777777777777</c:v>
                </c:pt>
                <c:pt idx="8339">
                  <c:v>7.9999999999999991</c:v>
                </c:pt>
                <c:pt idx="8340">
                  <c:v>8.2222222222222197</c:v>
                </c:pt>
                <c:pt idx="8341">
                  <c:v>8.2777777777777768</c:v>
                </c:pt>
                <c:pt idx="8342">
                  <c:v>8.1111111111111125</c:v>
                </c:pt>
                <c:pt idx="8343">
                  <c:v>7.7777777777777777</c:v>
                </c:pt>
                <c:pt idx="8344">
                  <c:v>7.3888888888888875</c:v>
                </c:pt>
                <c:pt idx="8345">
                  <c:v>6.7777777777777795</c:v>
                </c:pt>
                <c:pt idx="8346">
                  <c:v>6.5000000000000018</c:v>
                </c:pt>
                <c:pt idx="8347">
                  <c:v>6.3888888888888884</c:v>
                </c:pt>
                <c:pt idx="8348">
                  <c:v>6.7222222222222232</c:v>
                </c:pt>
                <c:pt idx="8349">
                  <c:v>7.1111111111111089</c:v>
                </c:pt>
                <c:pt idx="8350">
                  <c:v>7.5</c:v>
                </c:pt>
                <c:pt idx="8351">
                  <c:v>7.7777777777777777</c:v>
                </c:pt>
                <c:pt idx="8352">
                  <c:v>7.9999999999999991</c:v>
                </c:pt>
                <c:pt idx="8353">
                  <c:v>8.2222222222222197</c:v>
                </c:pt>
                <c:pt idx="8354">
                  <c:v>7.8888888888888902</c:v>
                </c:pt>
                <c:pt idx="8355">
                  <c:v>7.7222222222222214</c:v>
                </c:pt>
                <c:pt idx="8356">
                  <c:v>7.2777777777777786</c:v>
                </c:pt>
                <c:pt idx="8357">
                  <c:v>6.6111111111111098</c:v>
                </c:pt>
                <c:pt idx="8358">
                  <c:v>6.2222222222222232</c:v>
                </c:pt>
                <c:pt idx="8359">
                  <c:v>5.8888888888888893</c:v>
                </c:pt>
                <c:pt idx="8360">
                  <c:v>6.1111111111111107</c:v>
                </c:pt>
                <c:pt idx="8361">
                  <c:v>6.3888888888888884</c:v>
                </c:pt>
                <c:pt idx="8362">
                  <c:v>7.1111111111111089</c:v>
                </c:pt>
                <c:pt idx="8363">
                  <c:v>7.3888888888888875</c:v>
                </c:pt>
                <c:pt idx="8364">
                  <c:v>7.6111111111111125</c:v>
                </c:pt>
                <c:pt idx="8365">
                  <c:v>7.7777777777777777</c:v>
                </c:pt>
                <c:pt idx="8366">
                  <c:v>7.7777777777777777</c:v>
                </c:pt>
                <c:pt idx="8367">
                  <c:v>7.7222222222222214</c:v>
                </c:pt>
                <c:pt idx="8368">
                  <c:v>7.2777777777777786</c:v>
                </c:pt>
                <c:pt idx="8369">
                  <c:v>6.7777777777777795</c:v>
                </c:pt>
                <c:pt idx="8370">
                  <c:v>6.2777777777777759</c:v>
                </c:pt>
                <c:pt idx="8371">
                  <c:v>5.9999999999999982</c:v>
                </c:pt>
                <c:pt idx="8372">
                  <c:v>5.7777777777777768</c:v>
                </c:pt>
                <c:pt idx="8373">
                  <c:v>6.2222222222222232</c:v>
                </c:pt>
                <c:pt idx="8374">
                  <c:v>6.7777777777777795</c:v>
                </c:pt>
                <c:pt idx="8375">
                  <c:v>7.2222222222222223</c:v>
                </c:pt>
                <c:pt idx="8376">
                  <c:v>7.3888888888888875</c:v>
                </c:pt>
                <c:pt idx="8377">
                  <c:v>7.6111111111111125</c:v>
                </c:pt>
                <c:pt idx="8378">
                  <c:v>7.7222222222222214</c:v>
                </c:pt>
                <c:pt idx="8379">
                  <c:v>7.5</c:v>
                </c:pt>
                <c:pt idx="8380">
                  <c:v>7.2222222222222223</c:v>
                </c:pt>
                <c:pt idx="8381">
                  <c:v>6.7222222222222232</c:v>
                </c:pt>
                <c:pt idx="8382">
                  <c:v>6.1111111111111107</c:v>
                </c:pt>
                <c:pt idx="8383">
                  <c:v>5.7222222222222205</c:v>
                </c:pt>
                <c:pt idx="8384">
                  <c:v>5.4999999999999991</c:v>
                </c:pt>
                <c:pt idx="8385">
                  <c:v>5.7777777777777768</c:v>
                </c:pt>
                <c:pt idx="8386">
                  <c:v>6.2777777777777759</c:v>
                </c:pt>
                <c:pt idx="8387">
                  <c:v>6.7777777777777795</c:v>
                </c:pt>
                <c:pt idx="8388">
                  <c:v>7.1111111111111089</c:v>
                </c:pt>
                <c:pt idx="8389">
                  <c:v>7.3888888888888875</c:v>
                </c:pt>
                <c:pt idx="8390">
                  <c:v>7.5</c:v>
                </c:pt>
                <c:pt idx="8391">
                  <c:v>7.3888888888888875</c:v>
                </c:pt>
                <c:pt idx="8392">
                  <c:v>7.2777777777777786</c:v>
                </c:pt>
                <c:pt idx="8393">
                  <c:v>7.0000000000000009</c:v>
                </c:pt>
                <c:pt idx="8394">
                  <c:v>6.2777777777777759</c:v>
                </c:pt>
                <c:pt idx="8395">
                  <c:v>5.7777777777777768</c:v>
                </c:pt>
                <c:pt idx="8396">
                  <c:v>5.4999999999999991</c:v>
                </c:pt>
                <c:pt idx="8397">
                  <c:v>5.3888888888888902</c:v>
                </c:pt>
                <c:pt idx="8398">
                  <c:v>5.7222222222222205</c:v>
                </c:pt>
                <c:pt idx="8399">
                  <c:v>6.5000000000000018</c:v>
                </c:pt>
                <c:pt idx="8400">
                  <c:v>6.7777777777777795</c:v>
                </c:pt>
                <c:pt idx="8401">
                  <c:v>7.1111111111111089</c:v>
                </c:pt>
                <c:pt idx="8402">
                  <c:v>7.2777777777777786</c:v>
                </c:pt>
                <c:pt idx="8403">
                  <c:v>7.5</c:v>
                </c:pt>
                <c:pt idx="8404">
                  <c:v>7.2777777777777786</c:v>
                </c:pt>
                <c:pt idx="8405">
                  <c:v>6.8888888888888875</c:v>
                </c:pt>
                <c:pt idx="8406">
                  <c:v>6.3888888888888884</c:v>
                </c:pt>
                <c:pt idx="8407">
                  <c:v>5.7777777777777768</c:v>
                </c:pt>
                <c:pt idx="8408">
                  <c:v>5.3888888888888902</c:v>
                </c:pt>
                <c:pt idx="8409">
                  <c:v>5.2777777777777777</c:v>
                </c:pt>
                <c:pt idx="8410">
                  <c:v>5.7222222222222205</c:v>
                </c:pt>
                <c:pt idx="8411">
                  <c:v>6.3888888888888884</c:v>
                </c:pt>
                <c:pt idx="8412">
                  <c:v>6.8888888888888875</c:v>
                </c:pt>
                <c:pt idx="8413">
                  <c:v>7.2777777777777786</c:v>
                </c:pt>
                <c:pt idx="8414">
                  <c:v>7.5</c:v>
                </c:pt>
                <c:pt idx="8415">
                  <c:v>7.6111111111111125</c:v>
                </c:pt>
                <c:pt idx="8416">
                  <c:v>7.6111111111111125</c:v>
                </c:pt>
                <c:pt idx="8417">
                  <c:v>7.3888888888888875</c:v>
                </c:pt>
                <c:pt idx="8418">
                  <c:v>7.0000000000000009</c:v>
                </c:pt>
                <c:pt idx="8419">
                  <c:v>6.3888888888888884</c:v>
                </c:pt>
                <c:pt idx="8420">
                  <c:v>5.9999999999999982</c:v>
                </c:pt>
                <c:pt idx="8421">
                  <c:v>5.7222222222222205</c:v>
                </c:pt>
                <c:pt idx="8422">
                  <c:v>5.6111111111111116</c:v>
                </c:pt>
                <c:pt idx="8423">
                  <c:v>5.8888888888888893</c:v>
                </c:pt>
                <c:pt idx="8424">
                  <c:v>6.7222222222222232</c:v>
                </c:pt>
                <c:pt idx="8425">
                  <c:v>7.0000000000000009</c:v>
                </c:pt>
                <c:pt idx="8426">
                  <c:v>7.3888888888888875</c:v>
                </c:pt>
                <c:pt idx="8427">
                  <c:v>7.6111111111111125</c:v>
                </c:pt>
                <c:pt idx="8428">
                  <c:v>7.7222222222222214</c:v>
                </c:pt>
                <c:pt idx="8429">
                  <c:v>7.6111111111111125</c:v>
                </c:pt>
                <c:pt idx="8430">
                  <c:v>7.2222222222222223</c:v>
                </c:pt>
                <c:pt idx="8431">
                  <c:v>6.6111111111111098</c:v>
                </c:pt>
                <c:pt idx="8432">
                  <c:v>6.1111111111111107</c:v>
                </c:pt>
                <c:pt idx="8433">
                  <c:v>5.8888888888888893</c:v>
                </c:pt>
                <c:pt idx="8434">
                  <c:v>5.7777777777777768</c:v>
                </c:pt>
                <c:pt idx="8435">
                  <c:v>6.1111111111111107</c:v>
                </c:pt>
                <c:pt idx="8436">
                  <c:v>6.8888888888888875</c:v>
                </c:pt>
                <c:pt idx="8437">
                  <c:v>7.2777777777777786</c:v>
                </c:pt>
                <c:pt idx="8438">
                  <c:v>7.6111111111111125</c:v>
                </c:pt>
                <c:pt idx="8439">
                  <c:v>7.7777777777777777</c:v>
                </c:pt>
                <c:pt idx="8440">
                  <c:v>7.7777777777777777</c:v>
                </c:pt>
                <c:pt idx="8441">
                  <c:v>7.7777777777777777</c:v>
                </c:pt>
                <c:pt idx="8442">
                  <c:v>7.6111111111111125</c:v>
                </c:pt>
                <c:pt idx="8443">
                  <c:v>7.1111111111111089</c:v>
                </c:pt>
                <c:pt idx="8444">
                  <c:v>6.6111111111111098</c:v>
                </c:pt>
                <c:pt idx="8445">
                  <c:v>6.2222222222222232</c:v>
                </c:pt>
                <c:pt idx="8446">
                  <c:v>5.9999999999999982</c:v>
                </c:pt>
                <c:pt idx="8447">
                  <c:v>5.9999999999999982</c:v>
                </c:pt>
                <c:pt idx="8448">
                  <c:v>6.3888888888888884</c:v>
                </c:pt>
                <c:pt idx="8449">
                  <c:v>6.8888888888888875</c:v>
                </c:pt>
                <c:pt idx="8450">
                  <c:v>7.2777777777777786</c:v>
                </c:pt>
                <c:pt idx="8451">
                  <c:v>7.6111111111111125</c:v>
                </c:pt>
                <c:pt idx="8452">
                  <c:v>7.7222222222222214</c:v>
                </c:pt>
                <c:pt idx="8453">
                  <c:v>7.7222222222222214</c:v>
                </c:pt>
                <c:pt idx="8454">
                  <c:v>7.7222222222222214</c:v>
                </c:pt>
                <c:pt idx="8455">
                  <c:v>7.5</c:v>
                </c:pt>
                <c:pt idx="8456">
                  <c:v>7.0000000000000009</c:v>
                </c:pt>
                <c:pt idx="8457">
                  <c:v>6.6111111111111098</c:v>
                </c:pt>
                <c:pt idx="8458">
                  <c:v>6.3888888888888884</c:v>
                </c:pt>
                <c:pt idx="8459">
                  <c:v>6.3888888888888884</c:v>
                </c:pt>
                <c:pt idx="8460">
                  <c:v>7.0000000000000009</c:v>
                </c:pt>
                <c:pt idx="8461">
                  <c:v>7.2777777777777786</c:v>
                </c:pt>
                <c:pt idx="8462">
                  <c:v>7.7222222222222214</c:v>
                </c:pt>
                <c:pt idx="8463">
                  <c:v>7.7777777777777777</c:v>
                </c:pt>
                <c:pt idx="8464">
                  <c:v>7.8888888888888902</c:v>
                </c:pt>
                <c:pt idx="8465">
                  <c:v>7.8888888888888902</c:v>
                </c:pt>
                <c:pt idx="8466">
                  <c:v>7.7777777777777777</c:v>
                </c:pt>
                <c:pt idx="8467">
                  <c:v>7.5</c:v>
                </c:pt>
                <c:pt idx="8468">
                  <c:v>7.0000000000000009</c:v>
                </c:pt>
                <c:pt idx="8469">
                  <c:v>6.7222222222222232</c:v>
                </c:pt>
                <c:pt idx="8470">
                  <c:v>6.3888888888888884</c:v>
                </c:pt>
                <c:pt idx="8471">
                  <c:v>6.2222222222222232</c:v>
                </c:pt>
                <c:pt idx="8472">
                  <c:v>6.1111111111111107</c:v>
                </c:pt>
                <c:pt idx="8473">
                  <c:v>6.5000000000000018</c:v>
                </c:pt>
                <c:pt idx="8474">
                  <c:v>7.2222222222222223</c:v>
                </c:pt>
                <c:pt idx="8475">
                  <c:v>7.3888888888888875</c:v>
                </c:pt>
                <c:pt idx="8476">
                  <c:v>7.5</c:v>
                </c:pt>
                <c:pt idx="8477">
                  <c:v>7.8888888888888902</c:v>
                </c:pt>
                <c:pt idx="8478">
                  <c:v>7.6111111111111125</c:v>
                </c:pt>
                <c:pt idx="8479">
                  <c:v>7.3888888888888875</c:v>
                </c:pt>
                <c:pt idx="8480">
                  <c:v>6.8888888888888875</c:v>
                </c:pt>
                <c:pt idx="8481">
                  <c:v>6.2777777777777759</c:v>
                </c:pt>
                <c:pt idx="8482">
                  <c:v>5.9999999999999982</c:v>
                </c:pt>
                <c:pt idx="8483">
                  <c:v>5.7777777777777768</c:v>
                </c:pt>
                <c:pt idx="8484">
                  <c:v>5.9999999999999982</c:v>
                </c:pt>
                <c:pt idx="8485">
                  <c:v>6.6111111111111098</c:v>
                </c:pt>
                <c:pt idx="8486">
                  <c:v>7.0000000000000009</c:v>
                </c:pt>
                <c:pt idx="8487">
                  <c:v>7.5</c:v>
                </c:pt>
                <c:pt idx="8488">
                  <c:v>7.7222222222222214</c:v>
                </c:pt>
                <c:pt idx="8489">
                  <c:v>7.7777777777777777</c:v>
                </c:pt>
                <c:pt idx="8490">
                  <c:v>7.7777777777777777</c:v>
                </c:pt>
                <c:pt idx="8491">
                  <c:v>7.6111111111111125</c:v>
                </c:pt>
                <c:pt idx="8492">
                  <c:v>7.1111111111111089</c:v>
                </c:pt>
                <c:pt idx="8493">
                  <c:v>6.5000000000000018</c:v>
                </c:pt>
                <c:pt idx="8494">
                  <c:v>5.9999999999999982</c:v>
                </c:pt>
                <c:pt idx="8495">
                  <c:v>5.7777777777777768</c:v>
                </c:pt>
                <c:pt idx="8496">
                  <c:v>5.6111111111111116</c:v>
                </c:pt>
                <c:pt idx="8497">
                  <c:v>5.7777777777777768</c:v>
                </c:pt>
                <c:pt idx="8498">
                  <c:v>6.7777777777777795</c:v>
                </c:pt>
                <c:pt idx="8499">
                  <c:v>7.0000000000000009</c:v>
                </c:pt>
                <c:pt idx="8500">
                  <c:v>7.2777777777777786</c:v>
                </c:pt>
                <c:pt idx="8501">
                  <c:v>7.6111111111111125</c:v>
                </c:pt>
                <c:pt idx="8502">
                  <c:v>7.7777777777777777</c:v>
                </c:pt>
                <c:pt idx="8503">
                  <c:v>7.5</c:v>
                </c:pt>
                <c:pt idx="8504">
                  <c:v>7.2222222222222223</c:v>
                </c:pt>
                <c:pt idx="8505">
                  <c:v>6.5000000000000018</c:v>
                </c:pt>
                <c:pt idx="8506">
                  <c:v>5.8888888888888893</c:v>
                </c:pt>
                <c:pt idx="8507">
                  <c:v>5.6111111111111116</c:v>
                </c:pt>
                <c:pt idx="8508">
                  <c:v>5.4999999999999991</c:v>
                </c:pt>
                <c:pt idx="8509">
                  <c:v>5.7222222222222205</c:v>
                </c:pt>
                <c:pt idx="8510">
                  <c:v>6.6111111111111098</c:v>
                </c:pt>
                <c:pt idx="8511">
                  <c:v>7.1111111111111089</c:v>
                </c:pt>
                <c:pt idx="8512">
                  <c:v>7.6111111111111125</c:v>
                </c:pt>
                <c:pt idx="8513">
                  <c:v>7.8888888888888902</c:v>
                </c:pt>
                <c:pt idx="8514">
                  <c:v>7.9999999999999991</c:v>
                </c:pt>
                <c:pt idx="8515">
                  <c:v>7.9999999999999991</c:v>
                </c:pt>
                <c:pt idx="8516">
                  <c:v>7.5</c:v>
                </c:pt>
                <c:pt idx="8517">
                  <c:v>6.7777777777777795</c:v>
                </c:pt>
                <c:pt idx="8518">
                  <c:v>6.1111111111111107</c:v>
                </c:pt>
                <c:pt idx="8519">
                  <c:v>5.7222222222222205</c:v>
                </c:pt>
                <c:pt idx="8520">
                  <c:v>5.3888888888888902</c:v>
                </c:pt>
                <c:pt idx="8521">
                  <c:v>5.2777777777777777</c:v>
                </c:pt>
                <c:pt idx="8522">
                  <c:v>5.7777777777777768</c:v>
                </c:pt>
                <c:pt idx="8523">
                  <c:v>7.2222222222222223</c:v>
                </c:pt>
                <c:pt idx="8524">
                  <c:v>7.2777777777777786</c:v>
                </c:pt>
                <c:pt idx="8525">
                  <c:v>7.7777777777777777</c:v>
                </c:pt>
                <c:pt idx="8526">
                  <c:v>7.7777777777777777</c:v>
                </c:pt>
                <c:pt idx="8527">
                  <c:v>7.3888888888888875</c:v>
                </c:pt>
                <c:pt idx="8528">
                  <c:v>7.7222222222222214</c:v>
                </c:pt>
                <c:pt idx="8529">
                  <c:v>7.1111111111111089</c:v>
                </c:pt>
                <c:pt idx="8530">
                  <c:v>6.2222222222222232</c:v>
                </c:pt>
                <c:pt idx="8531">
                  <c:v>5.4999999999999991</c:v>
                </c:pt>
                <c:pt idx="8532">
                  <c:v>5.2222222222222214</c:v>
                </c:pt>
                <c:pt idx="8533">
                  <c:v>5.1111111111111125</c:v>
                </c:pt>
                <c:pt idx="8534">
                  <c:v>5.9999999999999982</c:v>
                </c:pt>
                <c:pt idx="8535">
                  <c:v>6.8888888888888875</c:v>
                </c:pt>
                <c:pt idx="8536">
                  <c:v>7.6111111111111125</c:v>
                </c:pt>
                <c:pt idx="8537">
                  <c:v>7.9999999999999991</c:v>
                </c:pt>
                <c:pt idx="8538">
                  <c:v>8.2222222222222197</c:v>
                </c:pt>
                <c:pt idx="8539">
                  <c:v>8.3888888888888893</c:v>
                </c:pt>
                <c:pt idx="8540">
                  <c:v>8.2222222222222197</c:v>
                </c:pt>
                <c:pt idx="8541">
                  <c:v>7.6111111111111125</c:v>
                </c:pt>
                <c:pt idx="8542">
                  <c:v>6.7222222222222232</c:v>
                </c:pt>
                <c:pt idx="8543">
                  <c:v>5.9999999999999982</c:v>
                </c:pt>
                <c:pt idx="8544">
                  <c:v>5.3888888888888902</c:v>
                </c:pt>
                <c:pt idx="8545">
                  <c:v>5.1111111111111125</c:v>
                </c:pt>
                <c:pt idx="8546">
                  <c:v>5</c:v>
                </c:pt>
                <c:pt idx="8547">
                  <c:v>5.7222222222222205</c:v>
                </c:pt>
                <c:pt idx="8548">
                  <c:v>6.6111111111111098</c:v>
                </c:pt>
                <c:pt idx="8549">
                  <c:v>7.2222222222222223</c:v>
                </c:pt>
                <c:pt idx="8550">
                  <c:v>7.8888888888888902</c:v>
                </c:pt>
                <c:pt idx="8551">
                  <c:v>7.8888888888888902</c:v>
                </c:pt>
                <c:pt idx="8552">
                  <c:v>7.7777777777777777</c:v>
                </c:pt>
                <c:pt idx="8553">
                  <c:v>7.7777777777777777</c:v>
                </c:pt>
                <c:pt idx="8554">
                  <c:v>7.2777777777777786</c:v>
                </c:pt>
                <c:pt idx="8555">
                  <c:v>6.2222222222222232</c:v>
                </c:pt>
                <c:pt idx="8556">
                  <c:v>5.6111111111111116</c:v>
                </c:pt>
                <c:pt idx="8557">
                  <c:v>5.2222222222222214</c:v>
                </c:pt>
                <c:pt idx="8558">
                  <c:v>5.6111111111111116</c:v>
                </c:pt>
                <c:pt idx="8559">
                  <c:v>6.2222222222222232</c:v>
                </c:pt>
                <c:pt idx="8560">
                  <c:v>7.3888888888888875</c:v>
                </c:pt>
                <c:pt idx="8561">
                  <c:v>7.8888888888888902</c:v>
                </c:pt>
                <c:pt idx="8562">
                  <c:v>8.3888888888888893</c:v>
                </c:pt>
                <c:pt idx="8563">
                  <c:v>8.6111111111111107</c:v>
                </c:pt>
                <c:pt idx="8564">
                  <c:v>8.6111111111111107</c:v>
                </c:pt>
                <c:pt idx="8565">
                  <c:v>8.3888888888888893</c:v>
                </c:pt>
                <c:pt idx="8566">
                  <c:v>7.7777777777777777</c:v>
                </c:pt>
                <c:pt idx="8567">
                  <c:v>6.7777777777777795</c:v>
                </c:pt>
                <c:pt idx="8568">
                  <c:v>5.9999999999999982</c:v>
                </c:pt>
                <c:pt idx="8569">
                  <c:v>5.4999999999999991</c:v>
                </c:pt>
                <c:pt idx="8570">
                  <c:v>5.1111111111111125</c:v>
                </c:pt>
                <c:pt idx="8571">
                  <c:v>5.2777777777777777</c:v>
                </c:pt>
                <c:pt idx="8572">
                  <c:v>6.2777777777777759</c:v>
                </c:pt>
                <c:pt idx="8573">
                  <c:v>7.0000000000000009</c:v>
                </c:pt>
                <c:pt idx="8574">
                  <c:v>7.7222222222222214</c:v>
                </c:pt>
                <c:pt idx="8575">
                  <c:v>8.2777777777777768</c:v>
                </c:pt>
                <c:pt idx="8576">
                  <c:v>8.3888888888888893</c:v>
                </c:pt>
                <c:pt idx="8577">
                  <c:v>8.2222222222222197</c:v>
                </c:pt>
                <c:pt idx="8578">
                  <c:v>7.9999999999999991</c:v>
                </c:pt>
                <c:pt idx="8579">
                  <c:v>7.2777777777777786</c:v>
                </c:pt>
                <c:pt idx="8580">
                  <c:v>6.2777777777777759</c:v>
                </c:pt>
                <c:pt idx="8581">
                  <c:v>5.7222222222222205</c:v>
                </c:pt>
                <c:pt idx="8582">
                  <c:v>5.3888888888888902</c:v>
                </c:pt>
                <c:pt idx="8583">
                  <c:v>5.7777777777777768</c:v>
                </c:pt>
                <c:pt idx="8584">
                  <c:v>6.7777777777777795</c:v>
                </c:pt>
                <c:pt idx="8585">
                  <c:v>7.5</c:v>
                </c:pt>
                <c:pt idx="8586">
                  <c:v>8.2222222222222197</c:v>
                </c:pt>
                <c:pt idx="8587">
                  <c:v>8.4999999999999982</c:v>
                </c:pt>
                <c:pt idx="8588">
                  <c:v>8.6111111111111107</c:v>
                </c:pt>
                <c:pt idx="8589">
                  <c:v>8.4999999999999982</c:v>
                </c:pt>
                <c:pt idx="8590">
                  <c:v>8.2777777777777768</c:v>
                </c:pt>
                <c:pt idx="8591">
                  <c:v>7.8888888888888902</c:v>
                </c:pt>
                <c:pt idx="8592">
                  <c:v>7.0000000000000009</c:v>
                </c:pt>
                <c:pt idx="8593">
                  <c:v>6.3888888888888884</c:v>
                </c:pt>
                <c:pt idx="8594">
                  <c:v>5.7777777777777768</c:v>
                </c:pt>
                <c:pt idx="8595">
                  <c:v>5.6111111111111116</c:v>
                </c:pt>
                <c:pt idx="8596">
                  <c:v>5.8888888888888893</c:v>
                </c:pt>
                <c:pt idx="8597">
                  <c:v>6.8888888888888875</c:v>
                </c:pt>
                <c:pt idx="8598">
                  <c:v>7.5</c:v>
                </c:pt>
                <c:pt idx="8599">
                  <c:v>7.8888888888888902</c:v>
                </c:pt>
                <c:pt idx="8600">
                  <c:v>8.1111111111111125</c:v>
                </c:pt>
                <c:pt idx="8601">
                  <c:v>8.2777777777777768</c:v>
                </c:pt>
                <c:pt idx="8602">
                  <c:v>8.1111111111111125</c:v>
                </c:pt>
                <c:pt idx="8603">
                  <c:v>7.8888888888888902</c:v>
                </c:pt>
                <c:pt idx="8604">
                  <c:v>7.2777777777777786</c:v>
                </c:pt>
                <c:pt idx="8605">
                  <c:v>6.5000000000000018</c:v>
                </c:pt>
                <c:pt idx="8606">
                  <c:v>5.9999999999999982</c:v>
                </c:pt>
                <c:pt idx="8607">
                  <c:v>5.7777777777777768</c:v>
                </c:pt>
                <c:pt idx="8608">
                  <c:v>6.1111111111111107</c:v>
                </c:pt>
                <c:pt idx="8609">
                  <c:v>6.8888888888888875</c:v>
                </c:pt>
                <c:pt idx="8610">
                  <c:v>7.3888888888888875</c:v>
                </c:pt>
                <c:pt idx="8611">
                  <c:v>8.1111111111111125</c:v>
                </c:pt>
                <c:pt idx="8612">
                  <c:v>8.2777777777777768</c:v>
                </c:pt>
                <c:pt idx="8613">
                  <c:v>8.2777777777777768</c:v>
                </c:pt>
                <c:pt idx="8614">
                  <c:v>8.2222222222222197</c:v>
                </c:pt>
                <c:pt idx="8615">
                  <c:v>8.1111111111111125</c:v>
                </c:pt>
                <c:pt idx="8616">
                  <c:v>7.7222222222222214</c:v>
                </c:pt>
                <c:pt idx="8617">
                  <c:v>6.8888888888888875</c:v>
                </c:pt>
                <c:pt idx="8618">
                  <c:v>6.3888888888888884</c:v>
                </c:pt>
                <c:pt idx="8619">
                  <c:v>5.9999999999999982</c:v>
                </c:pt>
                <c:pt idx="8620">
                  <c:v>5.7777777777777768</c:v>
                </c:pt>
                <c:pt idx="8621">
                  <c:v>6.1111111111111107</c:v>
                </c:pt>
                <c:pt idx="8622">
                  <c:v>6.8888888888888875</c:v>
                </c:pt>
                <c:pt idx="8623">
                  <c:v>7.3888888888888875</c:v>
                </c:pt>
                <c:pt idx="8624">
                  <c:v>8.1111111111111125</c:v>
                </c:pt>
                <c:pt idx="8625">
                  <c:v>8.2222222222222197</c:v>
                </c:pt>
                <c:pt idx="8626">
                  <c:v>8.3888888888888893</c:v>
                </c:pt>
                <c:pt idx="8627">
                  <c:v>8.3888888888888893</c:v>
                </c:pt>
                <c:pt idx="8628">
                  <c:v>8.2222222222222197</c:v>
                </c:pt>
                <c:pt idx="8629">
                  <c:v>7.8888888888888902</c:v>
                </c:pt>
                <c:pt idx="8630">
                  <c:v>7.2777777777777786</c:v>
                </c:pt>
                <c:pt idx="8631">
                  <c:v>6.8888888888888875</c:v>
                </c:pt>
                <c:pt idx="8632">
                  <c:v>6.7222222222222232</c:v>
                </c:pt>
                <c:pt idx="8633">
                  <c:v>7.0000000000000009</c:v>
                </c:pt>
                <c:pt idx="8634">
                  <c:v>7.6111111111111125</c:v>
                </c:pt>
                <c:pt idx="8635">
                  <c:v>7.9999999999999991</c:v>
                </c:pt>
                <c:pt idx="8636">
                  <c:v>8.2777777777777768</c:v>
                </c:pt>
                <c:pt idx="8637">
                  <c:v>8.3888888888888893</c:v>
                </c:pt>
                <c:pt idx="8638">
                  <c:v>8.3888888888888893</c:v>
                </c:pt>
                <c:pt idx="8639">
                  <c:v>8.3888888888888893</c:v>
                </c:pt>
                <c:pt idx="8640">
                  <c:v>8.2777777777777768</c:v>
                </c:pt>
                <c:pt idx="8641">
                  <c:v>7.9999999999999991</c:v>
                </c:pt>
                <c:pt idx="8642">
                  <c:v>7.3888888888888875</c:v>
                </c:pt>
                <c:pt idx="8643">
                  <c:v>7.1111111111111089</c:v>
                </c:pt>
                <c:pt idx="8644">
                  <c:v>6.7777777777777795</c:v>
                </c:pt>
                <c:pt idx="8645">
                  <c:v>6.7222222222222232</c:v>
                </c:pt>
                <c:pt idx="8646">
                  <c:v>6.7222222222222232</c:v>
                </c:pt>
                <c:pt idx="8647">
                  <c:v>7.2222222222222223</c:v>
                </c:pt>
                <c:pt idx="8648">
                  <c:v>7.8888888888888902</c:v>
                </c:pt>
                <c:pt idx="8649">
                  <c:v>8.1111111111111125</c:v>
                </c:pt>
                <c:pt idx="8650">
                  <c:v>8.2777777777777768</c:v>
                </c:pt>
                <c:pt idx="8651">
                  <c:v>8.3888888888888893</c:v>
                </c:pt>
                <c:pt idx="8652">
                  <c:v>8.1111111111111125</c:v>
                </c:pt>
                <c:pt idx="8653">
                  <c:v>7.8888888888888902</c:v>
                </c:pt>
                <c:pt idx="8654">
                  <c:v>7.2777777777777786</c:v>
                </c:pt>
                <c:pt idx="8655">
                  <c:v>7.0000000000000009</c:v>
                </c:pt>
                <c:pt idx="8656">
                  <c:v>6.7777777777777795</c:v>
                </c:pt>
                <c:pt idx="8657">
                  <c:v>6.7222222222222232</c:v>
                </c:pt>
                <c:pt idx="8658">
                  <c:v>6.7777777777777795</c:v>
                </c:pt>
                <c:pt idx="8659">
                  <c:v>7.5</c:v>
                </c:pt>
                <c:pt idx="8660">
                  <c:v>7.9999999999999991</c:v>
                </c:pt>
                <c:pt idx="8661">
                  <c:v>8.3888888888888893</c:v>
                </c:pt>
                <c:pt idx="8662">
                  <c:v>8.2777777777777768</c:v>
                </c:pt>
                <c:pt idx="8663">
                  <c:v>8.2222222222222197</c:v>
                </c:pt>
                <c:pt idx="8664">
                  <c:v>7.9999999999999991</c:v>
                </c:pt>
                <c:pt idx="8665">
                  <c:v>7.7777777777777777</c:v>
                </c:pt>
                <c:pt idx="8666">
                  <c:v>7.3888888888888875</c:v>
                </c:pt>
                <c:pt idx="8667">
                  <c:v>7.1111111111111089</c:v>
                </c:pt>
                <c:pt idx="8668">
                  <c:v>6.8888888888888875</c:v>
                </c:pt>
                <c:pt idx="8669">
                  <c:v>6.7777777777777795</c:v>
                </c:pt>
                <c:pt idx="8670">
                  <c:v>6.7222222222222232</c:v>
                </c:pt>
                <c:pt idx="8671">
                  <c:v>6.7222222222222232</c:v>
                </c:pt>
                <c:pt idx="8672">
                  <c:v>7.7777777777777777</c:v>
                </c:pt>
                <c:pt idx="8673">
                  <c:v>8.2777777777777768</c:v>
                </c:pt>
                <c:pt idx="8674">
                  <c:v>8.3888888888888893</c:v>
                </c:pt>
                <c:pt idx="8675">
                  <c:v>8.4999999999999982</c:v>
                </c:pt>
                <c:pt idx="8676">
                  <c:v>7.8888888888888902</c:v>
                </c:pt>
                <c:pt idx="8677">
                  <c:v>8.2777777777777768</c:v>
                </c:pt>
                <c:pt idx="8678">
                  <c:v>7.7777777777777777</c:v>
                </c:pt>
                <c:pt idx="8679">
                  <c:v>7.2777777777777786</c:v>
                </c:pt>
                <c:pt idx="8680">
                  <c:v>6.8888888888888875</c:v>
                </c:pt>
                <c:pt idx="8681">
                  <c:v>6.7222222222222232</c:v>
                </c:pt>
                <c:pt idx="8682">
                  <c:v>6.6111111111111098</c:v>
                </c:pt>
                <c:pt idx="8683">
                  <c:v>6.6111111111111098</c:v>
                </c:pt>
                <c:pt idx="8684">
                  <c:v>7.0000000000000009</c:v>
                </c:pt>
                <c:pt idx="8685">
                  <c:v>8.2222222222222197</c:v>
                </c:pt>
                <c:pt idx="8686">
                  <c:v>8.2777777777777768</c:v>
                </c:pt>
                <c:pt idx="8687">
                  <c:v>8.2777777777777768</c:v>
                </c:pt>
                <c:pt idx="8688">
                  <c:v>8.2777777777777768</c:v>
                </c:pt>
                <c:pt idx="8689">
                  <c:v>7.9999999999999991</c:v>
                </c:pt>
                <c:pt idx="8690">
                  <c:v>7.9999999999999991</c:v>
                </c:pt>
                <c:pt idx="8691">
                  <c:v>7.3888888888888875</c:v>
                </c:pt>
                <c:pt idx="8692">
                  <c:v>7.0000000000000009</c:v>
                </c:pt>
                <c:pt idx="8693">
                  <c:v>6.6111111111111098</c:v>
                </c:pt>
                <c:pt idx="8694">
                  <c:v>6.3888888888888884</c:v>
                </c:pt>
                <c:pt idx="8695">
                  <c:v>6.2777777777777759</c:v>
                </c:pt>
                <c:pt idx="8696">
                  <c:v>6.6111111111111098</c:v>
                </c:pt>
                <c:pt idx="8697">
                  <c:v>7.8888888888888902</c:v>
                </c:pt>
                <c:pt idx="8698">
                  <c:v>8.1111111111111125</c:v>
                </c:pt>
                <c:pt idx="8699">
                  <c:v>8.2222222222222197</c:v>
                </c:pt>
                <c:pt idx="8700">
                  <c:v>8.2777777777777768</c:v>
                </c:pt>
                <c:pt idx="8701">
                  <c:v>7.5</c:v>
                </c:pt>
                <c:pt idx="8702">
                  <c:v>7.8888888888888902</c:v>
                </c:pt>
                <c:pt idx="8703">
                  <c:v>7.7222222222222214</c:v>
                </c:pt>
                <c:pt idx="8704">
                  <c:v>7.1111111111111089</c:v>
                </c:pt>
                <c:pt idx="8705">
                  <c:v>6.6111111111111098</c:v>
                </c:pt>
                <c:pt idx="8706">
                  <c:v>6.2777777777777759</c:v>
                </c:pt>
                <c:pt idx="8707">
                  <c:v>6.1111111111111107</c:v>
                </c:pt>
                <c:pt idx="8708">
                  <c:v>6.1111111111111107</c:v>
                </c:pt>
                <c:pt idx="8709">
                  <c:v>7.1111111111111089</c:v>
                </c:pt>
                <c:pt idx="8710">
                  <c:v>7.7777777777777777</c:v>
                </c:pt>
                <c:pt idx="8711">
                  <c:v>7.9999999999999991</c:v>
                </c:pt>
                <c:pt idx="8712">
                  <c:v>7.9999999999999991</c:v>
                </c:pt>
                <c:pt idx="8713">
                  <c:v>8.2222222222222197</c:v>
                </c:pt>
                <c:pt idx="8714">
                  <c:v>7.7777777777777777</c:v>
                </c:pt>
                <c:pt idx="8715">
                  <c:v>7.7777777777777777</c:v>
                </c:pt>
                <c:pt idx="8716">
                  <c:v>7.2222222222222223</c:v>
                </c:pt>
                <c:pt idx="8717">
                  <c:v>6.5000000000000018</c:v>
                </c:pt>
                <c:pt idx="8718">
                  <c:v>6.1111111111111107</c:v>
                </c:pt>
                <c:pt idx="8719">
                  <c:v>5.7777777777777768</c:v>
                </c:pt>
                <c:pt idx="8720">
                  <c:v>5.7222222222222205</c:v>
                </c:pt>
                <c:pt idx="8721">
                  <c:v>6.2777777777777759</c:v>
                </c:pt>
                <c:pt idx="8722">
                  <c:v>7.3888888888888875</c:v>
                </c:pt>
                <c:pt idx="8723">
                  <c:v>7.6111111111111125</c:v>
                </c:pt>
                <c:pt idx="8724">
                  <c:v>7.6111111111111125</c:v>
                </c:pt>
                <c:pt idx="8725">
                  <c:v>7.6111111111111125</c:v>
                </c:pt>
                <c:pt idx="8726">
                  <c:v>7.2777777777777786</c:v>
                </c:pt>
                <c:pt idx="8727">
                  <c:v>7.6111111111111125</c:v>
                </c:pt>
                <c:pt idx="8728">
                  <c:v>7.2777777777777786</c:v>
                </c:pt>
                <c:pt idx="8729">
                  <c:v>6.7222222222222232</c:v>
                </c:pt>
                <c:pt idx="8730">
                  <c:v>6.1111111111111107</c:v>
                </c:pt>
                <c:pt idx="8731">
                  <c:v>5.7222222222222205</c:v>
                </c:pt>
                <c:pt idx="8732">
                  <c:v>5.4999999999999991</c:v>
                </c:pt>
                <c:pt idx="8733">
                  <c:v>5.3888888888888902</c:v>
                </c:pt>
                <c:pt idx="8734">
                  <c:v>6.6111111111111098</c:v>
                </c:pt>
                <c:pt idx="8735">
                  <c:v>7.1111111111111089</c:v>
                </c:pt>
                <c:pt idx="8736">
                  <c:v>7.2222222222222223</c:v>
                </c:pt>
                <c:pt idx="8737">
                  <c:v>7.1111111111111089</c:v>
                </c:pt>
                <c:pt idx="8738">
                  <c:v>7.2777777777777786</c:v>
                </c:pt>
                <c:pt idx="8739">
                  <c:v>7.1111111111111089</c:v>
                </c:pt>
                <c:pt idx="8740">
                  <c:v>7.0000000000000009</c:v>
                </c:pt>
                <c:pt idx="8741">
                  <c:v>6.6111111111111098</c:v>
                </c:pt>
                <c:pt idx="8742">
                  <c:v>6.1111111111111107</c:v>
                </c:pt>
                <c:pt idx="8743">
                  <c:v>5.6111111111111116</c:v>
                </c:pt>
                <c:pt idx="8744">
                  <c:v>5.2777777777777777</c:v>
                </c:pt>
                <c:pt idx="8745">
                  <c:v>5.2222222222222214</c:v>
                </c:pt>
                <c:pt idx="8746">
                  <c:v>5.8888888888888893</c:v>
                </c:pt>
                <c:pt idx="8747">
                  <c:v>6.5000000000000018</c:v>
                </c:pt>
                <c:pt idx="8748">
                  <c:v>6.7222222222222232</c:v>
                </c:pt>
                <c:pt idx="8749">
                  <c:v>6.7222222222222232</c:v>
                </c:pt>
                <c:pt idx="8750">
                  <c:v>6.6111111111111098</c:v>
                </c:pt>
                <c:pt idx="8751">
                  <c:v>6.6111111111111098</c:v>
                </c:pt>
                <c:pt idx="8752">
                  <c:v>6.6111111111111098</c:v>
                </c:pt>
                <c:pt idx="8753">
                  <c:v>6.5000000000000018</c:v>
                </c:pt>
                <c:pt idx="8754">
                  <c:v>6.1111111111111107</c:v>
                </c:pt>
                <c:pt idx="8755">
                  <c:v>5.6111111111111116</c:v>
                </c:pt>
                <c:pt idx="8756">
                  <c:v>5.2777777777777777</c:v>
                </c:pt>
                <c:pt idx="8757">
                  <c:v>5</c:v>
                </c:pt>
                <c:pt idx="8758">
                  <c:v>5</c:v>
                </c:pt>
                <c:pt idx="8759">
                  <c:v>5.7777777777777768</c:v>
                </c:pt>
                <c:pt idx="8760">
                  <c:v>6.2222222222222232</c:v>
                </c:pt>
                <c:pt idx="8761">
                  <c:v>6.3888888888888884</c:v>
                </c:pt>
                <c:pt idx="8762">
                  <c:v>6.3888888888888884</c:v>
                </c:pt>
                <c:pt idx="8763">
                  <c:v>6.5000000000000018</c:v>
                </c:pt>
                <c:pt idx="8764">
                  <c:v>6.5000000000000018</c:v>
                </c:pt>
                <c:pt idx="8765">
                  <c:v>6.3888888888888884</c:v>
                </c:pt>
                <c:pt idx="8766">
                  <c:v>6.1111111111111107</c:v>
                </c:pt>
                <c:pt idx="8767">
                  <c:v>5.6111111111111116</c:v>
                </c:pt>
                <c:pt idx="8768">
                  <c:v>5.2222222222222214</c:v>
                </c:pt>
                <c:pt idx="8769">
                  <c:v>5</c:v>
                </c:pt>
                <c:pt idx="8770">
                  <c:v>5</c:v>
                </c:pt>
                <c:pt idx="8771">
                  <c:v>5.4999999999999991</c:v>
                </c:pt>
                <c:pt idx="8772">
                  <c:v>5.9999999999999982</c:v>
                </c:pt>
                <c:pt idx="8773">
                  <c:v>6.3888888888888884</c:v>
                </c:pt>
                <c:pt idx="8774">
                  <c:v>6.7222222222222232</c:v>
                </c:pt>
                <c:pt idx="8775">
                  <c:v>6.7777777777777795</c:v>
                </c:pt>
                <c:pt idx="8776">
                  <c:v>6.7222222222222232</c:v>
                </c:pt>
                <c:pt idx="8777">
                  <c:v>6.7777777777777795</c:v>
                </c:pt>
                <c:pt idx="8778">
                  <c:v>6.5000000000000018</c:v>
                </c:pt>
                <c:pt idx="8779">
                  <c:v>5.8888888888888893</c:v>
                </c:pt>
                <c:pt idx="8780">
                  <c:v>5.4999999999999991</c:v>
                </c:pt>
                <c:pt idx="8781">
                  <c:v>5.1111111111111125</c:v>
                </c:pt>
                <c:pt idx="8782">
                  <c:v>4.8888888888888875</c:v>
                </c:pt>
                <c:pt idx="8783">
                  <c:v>5</c:v>
                </c:pt>
                <c:pt idx="8784">
                  <c:v>5.9999999999999982</c:v>
                </c:pt>
                <c:pt idx="8785">
                  <c:v>6.3888888888888884</c:v>
                </c:pt>
                <c:pt idx="8786">
                  <c:v>6.7777777777777795</c:v>
                </c:pt>
                <c:pt idx="8787">
                  <c:v>6.8888888888888875</c:v>
                </c:pt>
                <c:pt idx="8788">
                  <c:v>7.2777777777777786</c:v>
                </c:pt>
                <c:pt idx="8789">
                  <c:v>6.8888888888888875</c:v>
                </c:pt>
                <c:pt idx="8790">
                  <c:v>7.0000000000000009</c:v>
                </c:pt>
                <c:pt idx="8791">
                  <c:v>6.3888888888888884</c:v>
                </c:pt>
                <c:pt idx="8792">
                  <c:v>5.7777777777777768</c:v>
                </c:pt>
                <c:pt idx="8793">
                  <c:v>5.3888888888888902</c:v>
                </c:pt>
                <c:pt idx="8794">
                  <c:v>5.1111111111111125</c:v>
                </c:pt>
                <c:pt idx="8795">
                  <c:v>5.2777777777777777</c:v>
                </c:pt>
                <c:pt idx="8796">
                  <c:v>5.9999999999999982</c:v>
                </c:pt>
                <c:pt idx="8797">
                  <c:v>6.5000000000000018</c:v>
                </c:pt>
                <c:pt idx="8798">
                  <c:v>6.8888888888888875</c:v>
                </c:pt>
                <c:pt idx="8799">
                  <c:v>7.2222222222222223</c:v>
                </c:pt>
                <c:pt idx="8800">
                  <c:v>7.2222222222222223</c:v>
                </c:pt>
                <c:pt idx="8801">
                  <c:v>7.1111111111111089</c:v>
                </c:pt>
                <c:pt idx="8802">
                  <c:v>7.2222222222222223</c:v>
                </c:pt>
                <c:pt idx="8803">
                  <c:v>6.8888888888888875</c:v>
                </c:pt>
                <c:pt idx="8804">
                  <c:v>6.2777777777777759</c:v>
                </c:pt>
                <c:pt idx="8805">
                  <c:v>5.7777777777777768</c:v>
                </c:pt>
                <c:pt idx="8806">
                  <c:v>5.4999999999999991</c:v>
                </c:pt>
                <c:pt idx="8807">
                  <c:v>5.2777777777777777</c:v>
                </c:pt>
                <c:pt idx="8808">
                  <c:v>5.2777777777777777</c:v>
                </c:pt>
                <c:pt idx="8809">
                  <c:v>5.8888888888888893</c:v>
                </c:pt>
                <c:pt idx="8810">
                  <c:v>6.3888888888888884</c:v>
                </c:pt>
                <c:pt idx="8811">
                  <c:v>6.7222222222222232</c:v>
                </c:pt>
                <c:pt idx="8812">
                  <c:v>6.7777777777777795</c:v>
                </c:pt>
                <c:pt idx="8813">
                  <c:v>7.1111111111111089</c:v>
                </c:pt>
                <c:pt idx="8814">
                  <c:v>6.7777777777777795</c:v>
                </c:pt>
                <c:pt idx="8815">
                  <c:v>6.7222222222222232</c:v>
                </c:pt>
                <c:pt idx="8816">
                  <c:v>6.3888888888888884</c:v>
                </c:pt>
                <c:pt idx="8817">
                  <c:v>5.8888888888888893</c:v>
                </c:pt>
                <c:pt idx="8818">
                  <c:v>5.4999999999999991</c:v>
                </c:pt>
                <c:pt idx="8819">
                  <c:v>5.3888888888888902</c:v>
                </c:pt>
                <c:pt idx="8820">
                  <c:v>5.6111111111111116</c:v>
                </c:pt>
                <c:pt idx="8821">
                  <c:v>6.2222222222222232</c:v>
                </c:pt>
                <c:pt idx="8822">
                  <c:v>6.3888888888888884</c:v>
                </c:pt>
                <c:pt idx="8823">
                  <c:v>6.7777777777777795</c:v>
                </c:pt>
                <c:pt idx="8824">
                  <c:v>6.8888888888888875</c:v>
                </c:pt>
                <c:pt idx="8825">
                  <c:v>7.0000000000000009</c:v>
                </c:pt>
                <c:pt idx="8826">
                  <c:v>7.1111111111111089</c:v>
                </c:pt>
                <c:pt idx="8827">
                  <c:v>7.0000000000000009</c:v>
                </c:pt>
                <c:pt idx="8828">
                  <c:v>6.7222222222222232</c:v>
                </c:pt>
                <c:pt idx="8829">
                  <c:v>6.2222222222222232</c:v>
                </c:pt>
                <c:pt idx="8830">
                  <c:v>5.7777777777777768</c:v>
                </c:pt>
                <c:pt idx="8831">
                  <c:v>5.6111111111111116</c:v>
                </c:pt>
                <c:pt idx="8832">
                  <c:v>5.3888888888888902</c:v>
                </c:pt>
                <c:pt idx="8833">
                  <c:v>5.6111111111111116</c:v>
                </c:pt>
                <c:pt idx="8834">
                  <c:v>6.5000000000000018</c:v>
                </c:pt>
                <c:pt idx="8835">
                  <c:v>6.7777777777777795</c:v>
                </c:pt>
                <c:pt idx="8836">
                  <c:v>6.8888888888888875</c:v>
                </c:pt>
                <c:pt idx="8837">
                  <c:v>7.1111111111111089</c:v>
                </c:pt>
                <c:pt idx="8838">
                  <c:v>7.1111111111111089</c:v>
                </c:pt>
                <c:pt idx="8839">
                  <c:v>7.1111111111111089</c:v>
                </c:pt>
                <c:pt idx="8840">
                  <c:v>7.0000000000000009</c:v>
                </c:pt>
                <c:pt idx="8841">
                  <c:v>6.5000000000000018</c:v>
                </c:pt>
                <c:pt idx="8842">
                  <c:v>6.1111111111111107</c:v>
                </c:pt>
                <c:pt idx="8843">
                  <c:v>5.7777777777777768</c:v>
                </c:pt>
                <c:pt idx="8844">
                  <c:v>5.7222222222222205</c:v>
                </c:pt>
                <c:pt idx="8845">
                  <c:v>5.9999999999999982</c:v>
                </c:pt>
                <c:pt idx="8846">
                  <c:v>6.7222222222222232</c:v>
                </c:pt>
                <c:pt idx="8847">
                  <c:v>7.0000000000000009</c:v>
                </c:pt>
                <c:pt idx="8848">
                  <c:v>7.3888888888888875</c:v>
                </c:pt>
                <c:pt idx="8849">
                  <c:v>7.5</c:v>
                </c:pt>
                <c:pt idx="8850">
                  <c:v>7.6111111111111125</c:v>
                </c:pt>
                <c:pt idx="8851">
                  <c:v>7.6111111111111125</c:v>
                </c:pt>
                <c:pt idx="8852">
                  <c:v>7.3888888888888875</c:v>
                </c:pt>
                <c:pt idx="8853">
                  <c:v>7.0000000000000009</c:v>
                </c:pt>
                <c:pt idx="8854">
                  <c:v>6.5000000000000018</c:v>
                </c:pt>
                <c:pt idx="8855">
                  <c:v>6.2222222222222232</c:v>
                </c:pt>
                <c:pt idx="8856">
                  <c:v>5.8888888888888893</c:v>
                </c:pt>
                <c:pt idx="8857">
                  <c:v>5.7777777777777768</c:v>
                </c:pt>
                <c:pt idx="8858">
                  <c:v>6.1111111111111107</c:v>
                </c:pt>
                <c:pt idx="8859">
                  <c:v>6.8888888888888875</c:v>
                </c:pt>
                <c:pt idx="8860">
                  <c:v>7.1111111111111089</c:v>
                </c:pt>
                <c:pt idx="8861">
                  <c:v>7.2777777777777786</c:v>
                </c:pt>
                <c:pt idx="8862">
                  <c:v>7.3888888888888875</c:v>
                </c:pt>
                <c:pt idx="8863">
                  <c:v>7.3888888888888875</c:v>
                </c:pt>
                <c:pt idx="8864">
                  <c:v>7.2777777777777786</c:v>
                </c:pt>
                <c:pt idx="8865">
                  <c:v>7.1111111111111089</c:v>
                </c:pt>
                <c:pt idx="8866">
                  <c:v>6.7222222222222232</c:v>
                </c:pt>
                <c:pt idx="8867">
                  <c:v>6.2777777777777759</c:v>
                </c:pt>
                <c:pt idx="8868">
                  <c:v>6.1111111111111107</c:v>
                </c:pt>
                <c:pt idx="8869">
                  <c:v>6.1111111111111107</c:v>
                </c:pt>
                <c:pt idx="8870">
                  <c:v>6.5000000000000018</c:v>
                </c:pt>
                <c:pt idx="8871">
                  <c:v>6.7777777777777795</c:v>
                </c:pt>
                <c:pt idx="8872">
                  <c:v>6.8888888888888875</c:v>
                </c:pt>
                <c:pt idx="8873">
                  <c:v>6.8888888888888875</c:v>
                </c:pt>
                <c:pt idx="8874">
                  <c:v>6.8888888888888875</c:v>
                </c:pt>
                <c:pt idx="8875">
                  <c:v>6.7777777777777795</c:v>
                </c:pt>
                <c:pt idx="8876">
                  <c:v>6.8888888888888875</c:v>
                </c:pt>
                <c:pt idx="8877">
                  <c:v>6.7777777777777795</c:v>
                </c:pt>
                <c:pt idx="8878">
                  <c:v>6.6111111111111098</c:v>
                </c:pt>
                <c:pt idx="8879">
                  <c:v>6.3888888888888884</c:v>
                </c:pt>
                <c:pt idx="8880">
                  <c:v>6.2222222222222232</c:v>
                </c:pt>
                <c:pt idx="8881">
                  <c:v>5.9999999999999982</c:v>
                </c:pt>
                <c:pt idx="8882">
                  <c:v>5.9999999999999982</c:v>
                </c:pt>
                <c:pt idx="8883">
                  <c:v>6.2777777777777759</c:v>
                </c:pt>
                <c:pt idx="8884">
                  <c:v>6.5000000000000018</c:v>
                </c:pt>
                <c:pt idx="8885">
                  <c:v>6.5000000000000018</c:v>
                </c:pt>
                <c:pt idx="8886">
                  <c:v>6.5000000000000018</c:v>
                </c:pt>
                <c:pt idx="8887">
                  <c:v>6.5000000000000018</c:v>
                </c:pt>
                <c:pt idx="8888">
                  <c:v>6.5000000000000018</c:v>
                </c:pt>
                <c:pt idx="8889">
                  <c:v>6.5000000000000018</c:v>
                </c:pt>
                <c:pt idx="8890">
                  <c:v>6.5000000000000018</c:v>
                </c:pt>
                <c:pt idx="8891">
                  <c:v>6.2777777777777759</c:v>
                </c:pt>
                <c:pt idx="8892">
                  <c:v>6.1111111111111107</c:v>
                </c:pt>
                <c:pt idx="8893">
                  <c:v>5.9999999999999982</c:v>
                </c:pt>
                <c:pt idx="8894">
                  <c:v>6.1111111111111107</c:v>
                </c:pt>
                <c:pt idx="8895">
                  <c:v>6.2222222222222232</c:v>
                </c:pt>
                <c:pt idx="8896">
                  <c:v>6.3888888888888884</c:v>
                </c:pt>
                <c:pt idx="8897">
                  <c:v>6.3888888888888884</c:v>
                </c:pt>
                <c:pt idx="8898">
                  <c:v>6.3888888888888884</c:v>
                </c:pt>
                <c:pt idx="8899">
                  <c:v>6.3888888888888884</c:v>
                </c:pt>
                <c:pt idx="8900">
                  <c:v>6.3888888888888884</c:v>
                </c:pt>
                <c:pt idx="8901">
                  <c:v>6.3888888888888884</c:v>
                </c:pt>
                <c:pt idx="8902">
                  <c:v>6.3888888888888884</c:v>
                </c:pt>
                <c:pt idx="8903">
                  <c:v>6.2222222222222232</c:v>
                </c:pt>
                <c:pt idx="8904">
                  <c:v>6.1111111111111107</c:v>
                </c:pt>
                <c:pt idx="8905">
                  <c:v>5.9999999999999982</c:v>
                </c:pt>
                <c:pt idx="8906">
                  <c:v>5.8888888888888893</c:v>
                </c:pt>
                <c:pt idx="8907">
                  <c:v>5.8888888888888893</c:v>
                </c:pt>
                <c:pt idx="8908">
                  <c:v>6.1111111111111107</c:v>
                </c:pt>
                <c:pt idx="8909">
                  <c:v>6.2777777777777759</c:v>
                </c:pt>
                <c:pt idx="8910">
                  <c:v>6.2777777777777759</c:v>
                </c:pt>
                <c:pt idx="8911">
                  <c:v>6.2777777777777759</c:v>
                </c:pt>
                <c:pt idx="8912">
                  <c:v>6.2777777777777759</c:v>
                </c:pt>
                <c:pt idx="8913">
                  <c:v>6.2777777777777759</c:v>
                </c:pt>
                <c:pt idx="8914">
                  <c:v>6.2777777777777759</c:v>
                </c:pt>
                <c:pt idx="8915">
                  <c:v>6.2222222222222232</c:v>
                </c:pt>
                <c:pt idx="8916">
                  <c:v>5.9999999999999982</c:v>
                </c:pt>
                <c:pt idx="8917">
                  <c:v>5.8888888888888893</c:v>
                </c:pt>
                <c:pt idx="8918">
                  <c:v>5.7777777777777768</c:v>
                </c:pt>
                <c:pt idx="8919">
                  <c:v>5.8888888888888893</c:v>
                </c:pt>
                <c:pt idx="8920">
                  <c:v>6.1111111111111107</c:v>
                </c:pt>
                <c:pt idx="8921">
                  <c:v>6.2777777777777759</c:v>
                </c:pt>
                <c:pt idx="8922">
                  <c:v>6.3888888888888884</c:v>
                </c:pt>
                <c:pt idx="8923">
                  <c:v>6.5000000000000018</c:v>
                </c:pt>
                <c:pt idx="8924">
                  <c:v>6.5000000000000018</c:v>
                </c:pt>
                <c:pt idx="8925">
                  <c:v>6.5000000000000018</c:v>
                </c:pt>
                <c:pt idx="8926">
                  <c:v>6.3888888888888884</c:v>
                </c:pt>
                <c:pt idx="8927">
                  <c:v>6.2222222222222232</c:v>
                </c:pt>
                <c:pt idx="8928">
                  <c:v>5.9999999999999982</c:v>
                </c:pt>
                <c:pt idx="8929">
                  <c:v>5.8888888888888893</c:v>
                </c:pt>
                <c:pt idx="8930">
                  <c:v>5.7777777777777768</c:v>
                </c:pt>
                <c:pt idx="8931">
                  <c:v>5.7222222222222205</c:v>
                </c:pt>
                <c:pt idx="8932">
                  <c:v>5.7777777777777768</c:v>
                </c:pt>
                <c:pt idx="8933">
                  <c:v>6.2777777777777759</c:v>
                </c:pt>
                <c:pt idx="8934">
                  <c:v>6.5000000000000018</c:v>
                </c:pt>
                <c:pt idx="8935">
                  <c:v>6.6111111111111098</c:v>
                </c:pt>
                <c:pt idx="8936">
                  <c:v>6.7222222222222232</c:v>
                </c:pt>
                <c:pt idx="8937">
                  <c:v>6.2222222222222232</c:v>
                </c:pt>
                <c:pt idx="8938">
                  <c:v>6.5000000000000018</c:v>
                </c:pt>
                <c:pt idx="8939">
                  <c:v>6.2777777777777759</c:v>
                </c:pt>
                <c:pt idx="8940">
                  <c:v>5.9999999999999982</c:v>
                </c:pt>
                <c:pt idx="8941">
                  <c:v>5.7222222222222205</c:v>
                </c:pt>
                <c:pt idx="8942">
                  <c:v>5.6111111111111116</c:v>
                </c:pt>
                <c:pt idx="8943">
                  <c:v>5.6111111111111116</c:v>
                </c:pt>
                <c:pt idx="8944">
                  <c:v>5.7777777777777768</c:v>
                </c:pt>
                <c:pt idx="8945">
                  <c:v>6.2777777777777759</c:v>
                </c:pt>
                <c:pt idx="8946">
                  <c:v>6.3888888888888884</c:v>
                </c:pt>
                <c:pt idx="8947">
                  <c:v>6.5000000000000018</c:v>
                </c:pt>
                <c:pt idx="8948">
                  <c:v>6.6111111111111098</c:v>
                </c:pt>
                <c:pt idx="8949">
                  <c:v>6.6111111111111098</c:v>
                </c:pt>
                <c:pt idx="8950">
                  <c:v>6.5000000000000018</c:v>
                </c:pt>
                <c:pt idx="8951">
                  <c:v>6.3888888888888884</c:v>
                </c:pt>
              </c:numCache>
            </c:numRef>
          </c:yVal>
          <c:smooth val="0"/>
          <c:extLst>
            <c:ext xmlns:c16="http://schemas.microsoft.com/office/drawing/2014/chart" uri="{C3380CC4-5D6E-409C-BE32-E72D297353CC}">
              <c16:uniqueId val="{00000000-BAC9-4AE5-AE8A-6BB7EDB7413C}"/>
            </c:ext>
          </c:extLst>
        </c:ser>
        <c:dLbls>
          <c:showLegendKey val="0"/>
          <c:showVal val="0"/>
          <c:showCatName val="0"/>
          <c:showSerName val="0"/>
          <c:showPercent val="0"/>
          <c:showBubbleSize val="0"/>
        </c:dLbls>
        <c:axId val="1084460120"/>
        <c:axId val="1084460480"/>
      </c:scatterChart>
      <c:valAx>
        <c:axId val="1084460120"/>
        <c:scaling>
          <c:orientation val="minMax"/>
          <c:max val="45300"/>
          <c:min val="4493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4460480"/>
        <c:crosses val="autoZero"/>
        <c:crossBetween val="midCat"/>
      </c:valAx>
      <c:valAx>
        <c:axId val="10844604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4460120"/>
        <c:crossesAt val="44900"/>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fmlaLink="$C$26" lockText="1" noThreeD="1"/>
</file>

<file path=xl/ctrlProps/ctrlProp257.xml><?xml version="1.0" encoding="utf-8"?>
<formControlPr xmlns="http://schemas.microsoft.com/office/spreadsheetml/2009/9/main" objectType="CheckBox" fmlaLink="$C$26" lockText="1" noThreeD="1"/>
</file>

<file path=xl/ctrlProps/ctrlProp258.xml><?xml version="1.0" encoding="utf-8"?>
<formControlPr xmlns="http://schemas.microsoft.com/office/spreadsheetml/2009/9/main" objectType="CheckBox" fmlaLink="$C$38"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3c. Calculator EEM 2-3'!A1"/><Relationship Id="rId2" Type="http://schemas.openxmlformats.org/officeDocument/2006/relationships/hyperlink" Target="#'3b. Calculator - EEM 1'!A1"/><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sv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2.jpeg"/><Relationship Id="rId1" Type="http://schemas.openxmlformats.org/officeDocument/2006/relationships/image" Target="../media/image1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5.xml"/><Relationship Id="rId4" Type="http://schemas.openxmlformats.org/officeDocument/2006/relationships/image" Target="../media/image15.svg"/></Relationships>
</file>

<file path=xl/drawings/_rels/drawing24.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 Id="rId5" Type="http://schemas.openxmlformats.org/officeDocument/2006/relationships/image" Target="../media/image20.emf"/><Relationship Id="rId4"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26</xdr:row>
          <xdr:rowOff>57150</xdr:rowOff>
        </xdr:from>
        <xdr:to>
          <xdr:col>7</xdr:col>
          <xdr:colOff>187325</xdr:colOff>
          <xdr:row>27</xdr:row>
          <xdr:rowOff>0</xdr:rowOff>
        </xdr:to>
        <xdr:grpSp>
          <xdr:nvGrpSpPr>
            <xdr:cNvPr id="3" name="Groupe 11">
              <a:extLst>
                <a:ext uri="{FF2B5EF4-FFF2-40B4-BE49-F238E27FC236}">
                  <a16:creationId xmlns:a16="http://schemas.microsoft.com/office/drawing/2014/main" id="{00000000-0008-0000-0100-000003000000}"/>
                </a:ext>
              </a:extLst>
            </xdr:cNvPr>
            <xdr:cNvGrpSpPr>
              <a:grpSpLocks/>
            </xdr:cNvGrpSpPr>
          </xdr:nvGrpSpPr>
          <xdr:grpSpPr bwMode="auto">
            <a:xfrm>
              <a:off x="4572000" y="3939540"/>
              <a:ext cx="2330450" cy="32385"/>
              <a:chOff x="37657" y="44390"/>
              <a:chExt cx="8642" cy="4582"/>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68</xdr:row>
          <xdr:rowOff>0</xdr:rowOff>
        </xdr:from>
        <xdr:to>
          <xdr:col>10</xdr:col>
          <xdr:colOff>914400</xdr:colOff>
          <xdr:row>69</xdr:row>
          <xdr:rowOff>106680</xdr:rowOff>
        </xdr:to>
        <xdr:sp macro="" textlink="">
          <xdr:nvSpPr>
            <xdr:cNvPr id="235521" name="Group Box 1" hidden="1">
              <a:extLst>
                <a:ext uri="{63B3BB69-23CF-44E3-9099-C40C66FF867C}">
                  <a14:compatExt spid="_x0000_s235521"/>
                </a:ext>
                <a:ext uri="{FF2B5EF4-FFF2-40B4-BE49-F238E27FC236}">
                  <a16:creationId xmlns:a16="http://schemas.microsoft.com/office/drawing/2014/main" id="{00000000-0008-0000-0100-00000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70</xdr:row>
          <xdr:rowOff>76200</xdr:rowOff>
        </xdr:from>
        <xdr:to>
          <xdr:col>10</xdr:col>
          <xdr:colOff>68580</xdr:colOff>
          <xdr:row>71</xdr:row>
          <xdr:rowOff>137160</xdr:rowOff>
        </xdr:to>
        <xdr:sp macro="" textlink="">
          <xdr:nvSpPr>
            <xdr:cNvPr id="235522" name="Group Box 2" hidden="1">
              <a:extLst>
                <a:ext uri="{63B3BB69-23CF-44E3-9099-C40C66FF867C}">
                  <a14:compatExt spid="_x0000_s235522"/>
                </a:ext>
                <a:ext uri="{FF2B5EF4-FFF2-40B4-BE49-F238E27FC236}">
                  <a16:creationId xmlns:a16="http://schemas.microsoft.com/office/drawing/2014/main" id="{00000000-0008-0000-0100-00000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84</xdr:row>
          <xdr:rowOff>0</xdr:rowOff>
        </xdr:from>
        <xdr:to>
          <xdr:col>10</xdr:col>
          <xdr:colOff>914400</xdr:colOff>
          <xdr:row>85</xdr:row>
          <xdr:rowOff>129540</xdr:rowOff>
        </xdr:to>
        <xdr:sp macro="" textlink="">
          <xdr:nvSpPr>
            <xdr:cNvPr id="235523" name="Group Box 3" hidden="1">
              <a:extLst>
                <a:ext uri="{63B3BB69-23CF-44E3-9099-C40C66FF867C}">
                  <a14:compatExt spid="_x0000_s235523"/>
                </a:ext>
                <a:ext uri="{FF2B5EF4-FFF2-40B4-BE49-F238E27FC236}">
                  <a16:creationId xmlns:a16="http://schemas.microsoft.com/office/drawing/2014/main" id="{00000000-0008-0000-0100-00000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84</xdr:row>
          <xdr:rowOff>0</xdr:rowOff>
        </xdr:from>
        <xdr:to>
          <xdr:col>10</xdr:col>
          <xdr:colOff>68580</xdr:colOff>
          <xdr:row>85</xdr:row>
          <xdr:rowOff>106680</xdr:rowOff>
        </xdr:to>
        <xdr:sp macro="" textlink="">
          <xdr:nvSpPr>
            <xdr:cNvPr id="235524" name="Group Box 4" hidden="1">
              <a:extLst>
                <a:ext uri="{63B3BB69-23CF-44E3-9099-C40C66FF867C}">
                  <a14:compatExt spid="_x0000_s235524"/>
                </a:ext>
                <a:ext uri="{FF2B5EF4-FFF2-40B4-BE49-F238E27FC236}">
                  <a16:creationId xmlns:a16="http://schemas.microsoft.com/office/drawing/2014/main" id="{00000000-0008-0000-0100-00000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25" name="Group Box 5" hidden="1">
              <a:extLst>
                <a:ext uri="{63B3BB69-23CF-44E3-9099-C40C66FF867C}">
                  <a14:compatExt spid="_x0000_s235525"/>
                </a:ext>
                <a:ext uri="{FF2B5EF4-FFF2-40B4-BE49-F238E27FC236}">
                  <a16:creationId xmlns:a16="http://schemas.microsoft.com/office/drawing/2014/main" id="{00000000-0008-0000-0100-00000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26" name="Group Box 6" hidden="1">
              <a:extLst>
                <a:ext uri="{63B3BB69-23CF-44E3-9099-C40C66FF867C}">
                  <a14:compatExt spid="_x0000_s235526"/>
                </a:ext>
                <a:ext uri="{FF2B5EF4-FFF2-40B4-BE49-F238E27FC236}">
                  <a16:creationId xmlns:a16="http://schemas.microsoft.com/office/drawing/2014/main" id="{00000000-0008-0000-0100-00000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27" name="Group Box 7" hidden="1">
              <a:extLst>
                <a:ext uri="{63B3BB69-23CF-44E3-9099-C40C66FF867C}">
                  <a14:compatExt spid="_x0000_s235527"/>
                </a:ext>
                <a:ext uri="{FF2B5EF4-FFF2-40B4-BE49-F238E27FC236}">
                  <a16:creationId xmlns:a16="http://schemas.microsoft.com/office/drawing/2014/main" id="{00000000-0008-0000-0100-00000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28" name="Group Box 8" hidden="1">
              <a:extLst>
                <a:ext uri="{63B3BB69-23CF-44E3-9099-C40C66FF867C}">
                  <a14:compatExt spid="_x0000_s235528"/>
                </a:ext>
                <a:ext uri="{FF2B5EF4-FFF2-40B4-BE49-F238E27FC236}">
                  <a16:creationId xmlns:a16="http://schemas.microsoft.com/office/drawing/2014/main" id="{00000000-0008-0000-0100-00000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0</xdr:rowOff>
        </xdr:from>
        <xdr:to>
          <xdr:col>10</xdr:col>
          <xdr:colOff>914400</xdr:colOff>
          <xdr:row>80</xdr:row>
          <xdr:rowOff>106680</xdr:rowOff>
        </xdr:to>
        <xdr:sp macro="" textlink="">
          <xdr:nvSpPr>
            <xdr:cNvPr id="235529" name="Group Box 9" hidden="1">
              <a:extLst>
                <a:ext uri="{63B3BB69-23CF-44E3-9099-C40C66FF867C}">
                  <a14:compatExt spid="_x0000_s235529"/>
                </a:ext>
                <a:ext uri="{FF2B5EF4-FFF2-40B4-BE49-F238E27FC236}">
                  <a16:creationId xmlns:a16="http://schemas.microsoft.com/office/drawing/2014/main" id="{00000000-0008-0000-0100-00000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0" name="Group Box 10" hidden="1">
              <a:extLst>
                <a:ext uri="{63B3BB69-23CF-44E3-9099-C40C66FF867C}">
                  <a14:compatExt spid="_x0000_s235530"/>
                </a:ext>
                <a:ext uri="{FF2B5EF4-FFF2-40B4-BE49-F238E27FC236}">
                  <a16:creationId xmlns:a16="http://schemas.microsoft.com/office/drawing/2014/main" id="{00000000-0008-0000-0100-00000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31" name="Group Box 11" hidden="1">
              <a:extLst>
                <a:ext uri="{63B3BB69-23CF-44E3-9099-C40C66FF867C}">
                  <a14:compatExt spid="_x0000_s235531"/>
                </a:ext>
                <a:ext uri="{FF2B5EF4-FFF2-40B4-BE49-F238E27FC236}">
                  <a16:creationId xmlns:a16="http://schemas.microsoft.com/office/drawing/2014/main" id="{00000000-0008-0000-0100-00000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2" name="Group Box 12" hidden="1">
              <a:extLst>
                <a:ext uri="{63B3BB69-23CF-44E3-9099-C40C66FF867C}">
                  <a14:compatExt spid="_x0000_s235532"/>
                </a:ext>
                <a:ext uri="{FF2B5EF4-FFF2-40B4-BE49-F238E27FC236}">
                  <a16:creationId xmlns:a16="http://schemas.microsoft.com/office/drawing/2014/main" id="{00000000-0008-0000-0100-00000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33" name="Group Box 13" hidden="1">
              <a:extLst>
                <a:ext uri="{63B3BB69-23CF-44E3-9099-C40C66FF867C}">
                  <a14:compatExt spid="_x0000_s235533"/>
                </a:ext>
                <a:ext uri="{FF2B5EF4-FFF2-40B4-BE49-F238E27FC236}">
                  <a16:creationId xmlns:a16="http://schemas.microsoft.com/office/drawing/2014/main" id="{00000000-0008-0000-0100-00000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84</xdr:row>
          <xdr:rowOff>0</xdr:rowOff>
        </xdr:from>
        <xdr:to>
          <xdr:col>10</xdr:col>
          <xdr:colOff>914400</xdr:colOff>
          <xdr:row>85</xdr:row>
          <xdr:rowOff>129540</xdr:rowOff>
        </xdr:to>
        <xdr:sp macro="" textlink="">
          <xdr:nvSpPr>
            <xdr:cNvPr id="235534" name="Group Box 14" hidden="1">
              <a:extLst>
                <a:ext uri="{63B3BB69-23CF-44E3-9099-C40C66FF867C}">
                  <a14:compatExt spid="_x0000_s235534"/>
                </a:ext>
                <a:ext uri="{FF2B5EF4-FFF2-40B4-BE49-F238E27FC236}">
                  <a16:creationId xmlns:a16="http://schemas.microsoft.com/office/drawing/2014/main" id="{00000000-0008-0000-0100-00000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84</xdr:row>
          <xdr:rowOff>0</xdr:rowOff>
        </xdr:from>
        <xdr:to>
          <xdr:col>10</xdr:col>
          <xdr:colOff>68580</xdr:colOff>
          <xdr:row>85</xdr:row>
          <xdr:rowOff>106680</xdr:rowOff>
        </xdr:to>
        <xdr:sp macro="" textlink="">
          <xdr:nvSpPr>
            <xdr:cNvPr id="235535" name="Group Box 15" hidden="1">
              <a:extLst>
                <a:ext uri="{63B3BB69-23CF-44E3-9099-C40C66FF867C}">
                  <a14:compatExt spid="_x0000_s235535"/>
                </a:ext>
                <a:ext uri="{FF2B5EF4-FFF2-40B4-BE49-F238E27FC236}">
                  <a16:creationId xmlns:a16="http://schemas.microsoft.com/office/drawing/2014/main" id="{00000000-0008-0000-0100-00000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0</xdr:rowOff>
        </xdr:from>
        <xdr:to>
          <xdr:col>10</xdr:col>
          <xdr:colOff>914400</xdr:colOff>
          <xdr:row>80</xdr:row>
          <xdr:rowOff>144780</xdr:rowOff>
        </xdr:to>
        <xdr:sp macro="" textlink="">
          <xdr:nvSpPr>
            <xdr:cNvPr id="235536" name="Group Box 16" hidden="1">
              <a:extLst>
                <a:ext uri="{63B3BB69-23CF-44E3-9099-C40C66FF867C}">
                  <a14:compatExt spid="_x0000_s235536"/>
                </a:ext>
                <a:ext uri="{FF2B5EF4-FFF2-40B4-BE49-F238E27FC236}">
                  <a16:creationId xmlns:a16="http://schemas.microsoft.com/office/drawing/2014/main" id="{00000000-0008-0000-0100-00001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79</xdr:row>
          <xdr:rowOff>0</xdr:rowOff>
        </xdr:from>
        <xdr:to>
          <xdr:col>10</xdr:col>
          <xdr:colOff>68580</xdr:colOff>
          <xdr:row>80</xdr:row>
          <xdr:rowOff>114300</xdr:rowOff>
        </xdr:to>
        <xdr:sp macro="" textlink="">
          <xdr:nvSpPr>
            <xdr:cNvPr id="235537" name="Group Box 17" hidden="1">
              <a:extLst>
                <a:ext uri="{63B3BB69-23CF-44E3-9099-C40C66FF867C}">
                  <a14:compatExt spid="_x0000_s235537"/>
                </a:ext>
                <a:ext uri="{FF2B5EF4-FFF2-40B4-BE49-F238E27FC236}">
                  <a16:creationId xmlns:a16="http://schemas.microsoft.com/office/drawing/2014/main" id="{00000000-0008-0000-0100-00001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8" name="Group Box 18" hidden="1">
              <a:extLst>
                <a:ext uri="{63B3BB69-23CF-44E3-9099-C40C66FF867C}">
                  <a14:compatExt spid="_x0000_s235538"/>
                </a:ext>
                <a:ext uri="{FF2B5EF4-FFF2-40B4-BE49-F238E27FC236}">
                  <a16:creationId xmlns:a16="http://schemas.microsoft.com/office/drawing/2014/main" id="{00000000-0008-0000-0100-00001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9" name="Group Box 19" hidden="1">
              <a:extLst>
                <a:ext uri="{63B3BB69-23CF-44E3-9099-C40C66FF867C}">
                  <a14:compatExt spid="_x0000_s235539"/>
                </a:ext>
                <a:ext uri="{FF2B5EF4-FFF2-40B4-BE49-F238E27FC236}">
                  <a16:creationId xmlns:a16="http://schemas.microsoft.com/office/drawing/2014/main" id="{00000000-0008-0000-0100-00001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0" name="Group Box 20" hidden="1">
              <a:extLst>
                <a:ext uri="{63B3BB69-23CF-44E3-9099-C40C66FF867C}">
                  <a14:compatExt spid="_x0000_s235540"/>
                </a:ext>
                <a:ext uri="{FF2B5EF4-FFF2-40B4-BE49-F238E27FC236}">
                  <a16:creationId xmlns:a16="http://schemas.microsoft.com/office/drawing/2014/main" id="{00000000-0008-0000-0100-00001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1" name="Group Box 21" hidden="1">
              <a:extLst>
                <a:ext uri="{63B3BB69-23CF-44E3-9099-C40C66FF867C}">
                  <a14:compatExt spid="_x0000_s235541"/>
                </a:ext>
                <a:ext uri="{FF2B5EF4-FFF2-40B4-BE49-F238E27FC236}">
                  <a16:creationId xmlns:a16="http://schemas.microsoft.com/office/drawing/2014/main" id="{00000000-0008-0000-0100-00001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2" name="Group Box 22" hidden="1">
              <a:extLst>
                <a:ext uri="{63B3BB69-23CF-44E3-9099-C40C66FF867C}">
                  <a14:compatExt spid="_x0000_s235542"/>
                </a:ext>
                <a:ext uri="{FF2B5EF4-FFF2-40B4-BE49-F238E27FC236}">
                  <a16:creationId xmlns:a16="http://schemas.microsoft.com/office/drawing/2014/main" id="{00000000-0008-0000-0100-00001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3" name="Group Box 23" hidden="1">
              <a:extLst>
                <a:ext uri="{63B3BB69-23CF-44E3-9099-C40C66FF867C}">
                  <a14:compatExt spid="_x0000_s235543"/>
                </a:ext>
                <a:ext uri="{FF2B5EF4-FFF2-40B4-BE49-F238E27FC236}">
                  <a16:creationId xmlns:a16="http://schemas.microsoft.com/office/drawing/2014/main" id="{00000000-0008-0000-0100-00001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4" name="Group Box 24" hidden="1">
              <a:extLst>
                <a:ext uri="{63B3BB69-23CF-44E3-9099-C40C66FF867C}">
                  <a14:compatExt spid="_x0000_s235544"/>
                </a:ext>
                <a:ext uri="{FF2B5EF4-FFF2-40B4-BE49-F238E27FC236}">
                  <a16:creationId xmlns:a16="http://schemas.microsoft.com/office/drawing/2014/main" id="{00000000-0008-0000-0100-00001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5" name="Group Box 25" hidden="1">
              <a:extLst>
                <a:ext uri="{63B3BB69-23CF-44E3-9099-C40C66FF867C}">
                  <a14:compatExt spid="_x0000_s235545"/>
                </a:ext>
                <a:ext uri="{FF2B5EF4-FFF2-40B4-BE49-F238E27FC236}">
                  <a16:creationId xmlns:a16="http://schemas.microsoft.com/office/drawing/2014/main" id="{00000000-0008-0000-0100-00001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6" name="Group Box 26" hidden="1">
              <a:extLst>
                <a:ext uri="{63B3BB69-23CF-44E3-9099-C40C66FF867C}">
                  <a14:compatExt spid="_x0000_s235546"/>
                </a:ext>
                <a:ext uri="{FF2B5EF4-FFF2-40B4-BE49-F238E27FC236}">
                  <a16:creationId xmlns:a16="http://schemas.microsoft.com/office/drawing/2014/main" id="{00000000-0008-0000-0100-00001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57150</xdr:rowOff>
        </xdr:from>
        <xdr:to>
          <xdr:col>8</xdr:col>
          <xdr:colOff>187325</xdr:colOff>
          <xdr:row>27</xdr:row>
          <xdr:rowOff>0</xdr:rowOff>
        </xdr:to>
        <xdr:grpSp>
          <xdr:nvGrpSpPr>
            <xdr:cNvPr id="4" name="Groupe 11">
              <a:extLst>
                <a:ext uri="{FF2B5EF4-FFF2-40B4-BE49-F238E27FC236}">
                  <a16:creationId xmlns:a16="http://schemas.microsoft.com/office/drawing/2014/main" id="{00000000-0008-0000-0100-000004000000}"/>
                </a:ext>
              </a:extLst>
            </xdr:cNvPr>
            <xdr:cNvGrpSpPr>
              <a:grpSpLocks/>
            </xdr:cNvGrpSpPr>
          </xdr:nvGrpSpPr>
          <xdr:grpSpPr bwMode="auto">
            <a:xfrm>
              <a:off x="4572000" y="3939540"/>
              <a:ext cx="2520950" cy="32385"/>
              <a:chOff x="37657" y="44390"/>
              <a:chExt cx="8642" cy="4582"/>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47" name="Group Box 27" hidden="1">
              <a:extLst>
                <a:ext uri="{63B3BB69-23CF-44E3-9099-C40C66FF867C}">
                  <a14:compatExt spid="_x0000_s235547"/>
                </a:ext>
                <a:ext uri="{FF2B5EF4-FFF2-40B4-BE49-F238E27FC236}">
                  <a16:creationId xmlns:a16="http://schemas.microsoft.com/office/drawing/2014/main" id="{00000000-0008-0000-0100-00001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8" name="Group Box 28" hidden="1">
              <a:extLst>
                <a:ext uri="{63B3BB69-23CF-44E3-9099-C40C66FF867C}">
                  <a14:compatExt spid="_x0000_s235548"/>
                </a:ext>
                <a:ext uri="{FF2B5EF4-FFF2-40B4-BE49-F238E27FC236}">
                  <a16:creationId xmlns:a16="http://schemas.microsoft.com/office/drawing/2014/main" id="{00000000-0008-0000-0100-00001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49" name="Group Box 29" hidden="1">
              <a:extLst>
                <a:ext uri="{63B3BB69-23CF-44E3-9099-C40C66FF867C}">
                  <a14:compatExt spid="_x0000_s235549"/>
                </a:ext>
                <a:ext uri="{FF2B5EF4-FFF2-40B4-BE49-F238E27FC236}">
                  <a16:creationId xmlns:a16="http://schemas.microsoft.com/office/drawing/2014/main" id="{00000000-0008-0000-0100-00001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0" name="Group Box 30" hidden="1">
              <a:extLst>
                <a:ext uri="{63B3BB69-23CF-44E3-9099-C40C66FF867C}">
                  <a14:compatExt spid="_x0000_s235550"/>
                </a:ext>
                <a:ext uri="{FF2B5EF4-FFF2-40B4-BE49-F238E27FC236}">
                  <a16:creationId xmlns:a16="http://schemas.microsoft.com/office/drawing/2014/main" id="{00000000-0008-0000-0100-00001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51" name="Group Box 31" hidden="1">
              <a:extLst>
                <a:ext uri="{63B3BB69-23CF-44E3-9099-C40C66FF867C}">
                  <a14:compatExt spid="_x0000_s235551"/>
                </a:ext>
                <a:ext uri="{FF2B5EF4-FFF2-40B4-BE49-F238E27FC236}">
                  <a16:creationId xmlns:a16="http://schemas.microsoft.com/office/drawing/2014/main" id="{00000000-0008-0000-0100-00001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2" name="Group Box 32" hidden="1">
              <a:extLst>
                <a:ext uri="{63B3BB69-23CF-44E3-9099-C40C66FF867C}">
                  <a14:compatExt spid="_x0000_s235552"/>
                </a:ext>
                <a:ext uri="{FF2B5EF4-FFF2-40B4-BE49-F238E27FC236}">
                  <a16:creationId xmlns:a16="http://schemas.microsoft.com/office/drawing/2014/main" id="{00000000-0008-0000-0100-00002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53" name="Group Box 33" hidden="1">
              <a:extLst>
                <a:ext uri="{63B3BB69-23CF-44E3-9099-C40C66FF867C}">
                  <a14:compatExt spid="_x0000_s235553"/>
                </a:ext>
                <a:ext uri="{FF2B5EF4-FFF2-40B4-BE49-F238E27FC236}">
                  <a16:creationId xmlns:a16="http://schemas.microsoft.com/office/drawing/2014/main" id="{00000000-0008-0000-0100-00002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4" name="Group Box 34" hidden="1">
              <a:extLst>
                <a:ext uri="{63B3BB69-23CF-44E3-9099-C40C66FF867C}">
                  <a14:compatExt spid="_x0000_s235554"/>
                </a:ext>
                <a:ext uri="{FF2B5EF4-FFF2-40B4-BE49-F238E27FC236}">
                  <a16:creationId xmlns:a16="http://schemas.microsoft.com/office/drawing/2014/main" id="{00000000-0008-0000-0100-00002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55" name="Group Box 35" hidden="1">
              <a:extLst>
                <a:ext uri="{63B3BB69-23CF-44E3-9099-C40C66FF867C}">
                  <a14:compatExt spid="_x0000_s235555"/>
                </a:ext>
                <a:ext uri="{FF2B5EF4-FFF2-40B4-BE49-F238E27FC236}">
                  <a16:creationId xmlns:a16="http://schemas.microsoft.com/office/drawing/2014/main" id="{00000000-0008-0000-0100-00002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6" name="Group Box 36" hidden="1">
              <a:extLst>
                <a:ext uri="{63B3BB69-23CF-44E3-9099-C40C66FF867C}">
                  <a14:compatExt spid="_x0000_s235556"/>
                </a:ext>
                <a:ext uri="{FF2B5EF4-FFF2-40B4-BE49-F238E27FC236}">
                  <a16:creationId xmlns:a16="http://schemas.microsoft.com/office/drawing/2014/main" id="{00000000-0008-0000-0100-00002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57" name="Group Box 37" hidden="1">
              <a:extLst>
                <a:ext uri="{63B3BB69-23CF-44E3-9099-C40C66FF867C}">
                  <a14:compatExt spid="_x0000_s235557"/>
                </a:ext>
                <a:ext uri="{FF2B5EF4-FFF2-40B4-BE49-F238E27FC236}">
                  <a16:creationId xmlns:a16="http://schemas.microsoft.com/office/drawing/2014/main" id="{00000000-0008-0000-0100-00002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8" name="Group Box 38" hidden="1">
              <a:extLst>
                <a:ext uri="{63B3BB69-23CF-44E3-9099-C40C66FF867C}">
                  <a14:compatExt spid="_x0000_s235558"/>
                </a:ext>
                <a:ext uri="{FF2B5EF4-FFF2-40B4-BE49-F238E27FC236}">
                  <a16:creationId xmlns:a16="http://schemas.microsoft.com/office/drawing/2014/main" id="{00000000-0008-0000-0100-00002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59" name="Group Box 39" hidden="1">
              <a:extLst>
                <a:ext uri="{63B3BB69-23CF-44E3-9099-C40C66FF867C}">
                  <a14:compatExt spid="_x0000_s235559"/>
                </a:ext>
                <a:ext uri="{FF2B5EF4-FFF2-40B4-BE49-F238E27FC236}">
                  <a16:creationId xmlns:a16="http://schemas.microsoft.com/office/drawing/2014/main" id="{00000000-0008-0000-0100-00002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0" name="Group Box 40" hidden="1">
              <a:extLst>
                <a:ext uri="{63B3BB69-23CF-44E3-9099-C40C66FF867C}">
                  <a14:compatExt spid="_x0000_s235560"/>
                </a:ext>
                <a:ext uri="{FF2B5EF4-FFF2-40B4-BE49-F238E27FC236}">
                  <a16:creationId xmlns:a16="http://schemas.microsoft.com/office/drawing/2014/main" id="{00000000-0008-0000-0100-00002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61" name="Group Box 41" hidden="1">
              <a:extLst>
                <a:ext uri="{63B3BB69-23CF-44E3-9099-C40C66FF867C}">
                  <a14:compatExt spid="_x0000_s235561"/>
                </a:ext>
                <a:ext uri="{FF2B5EF4-FFF2-40B4-BE49-F238E27FC236}">
                  <a16:creationId xmlns:a16="http://schemas.microsoft.com/office/drawing/2014/main" id="{00000000-0008-0000-0100-00002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2" name="Group Box 42" hidden="1">
              <a:extLst>
                <a:ext uri="{63B3BB69-23CF-44E3-9099-C40C66FF867C}">
                  <a14:compatExt spid="_x0000_s235562"/>
                </a:ext>
                <a:ext uri="{FF2B5EF4-FFF2-40B4-BE49-F238E27FC236}">
                  <a16:creationId xmlns:a16="http://schemas.microsoft.com/office/drawing/2014/main" id="{00000000-0008-0000-0100-00002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63" name="Group Box 43" hidden="1">
              <a:extLst>
                <a:ext uri="{63B3BB69-23CF-44E3-9099-C40C66FF867C}">
                  <a14:compatExt spid="_x0000_s235563"/>
                </a:ext>
                <a:ext uri="{FF2B5EF4-FFF2-40B4-BE49-F238E27FC236}">
                  <a16:creationId xmlns:a16="http://schemas.microsoft.com/office/drawing/2014/main" id="{00000000-0008-0000-0100-00002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4" name="Group Box 44" hidden="1">
              <a:extLst>
                <a:ext uri="{63B3BB69-23CF-44E3-9099-C40C66FF867C}">
                  <a14:compatExt spid="_x0000_s235564"/>
                </a:ext>
                <a:ext uri="{FF2B5EF4-FFF2-40B4-BE49-F238E27FC236}">
                  <a16:creationId xmlns:a16="http://schemas.microsoft.com/office/drawing/2014/main" id="{00000000-0008-0000-0100-00002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65" name="Group Box 45" hidden="1">
              <a:extLst>
                <a:ext uri="{63B3BB69-23CF-44E3-9099-C40C66FF867C}">
                  <a14:compatExt spid="_x0000_s235565"/>
                </a:ext>
                <a:ext uri="{FF2B5EF4-FFF2-40B4-BE49-F238E27FC236}">
                  <a16:creationId xmlns:a16="http://schemas.microsoft.com/office/drawing/2014/main" id="{00000000-0008-0000-0100-00002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6" name="Group Box 46" hidden="1">
              <a:extLst>
                <a:ext uri="{63B3BB69-23CF-44E3-9099-C40C66FF867C}">
                  <a14:compatExt spid="_x0000_s235566"/>
                </a:ext>
                <a:ext uri="{FF2B5EF4-FFF2-40B4-BE49-F238E27FC236}">
                  <a16:creationId xmlns:a16="http://schemas.microsoft.com/office/drawing/2014/main" id="{00000000-0008-0000-0100-00002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67" name="Group Box 47" hidden="1">
              <a:extLst>
                <a:ext uri="{63B3BB69-23CF-44E3-9099-C40C66FF867C}">
                  <a14:compatExt spid="_x0000_s235567"/>
                </a:ext>
                <a:ext uri="{FF2B5EF4-FFF2-40B4-BE49-F238E27FC236}">
                  <a16:creationId xmlns:a16="http://schemas.microsoft.com/office/drawing/2014/main" id="{00000000-0008-0000-0100-00002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8" name="Group Box 48" hidden="1">
              <a:extLst>
                <a:ext uri="{63B3BB69-23CF-44E3-9099-C40C66FF867C}">
                  <a14:compatExt spid="_x0000_s235568"/>
                </a:ext>
                <a:ext uri="{FF2B5EF4-FFF2-40B4-BE49-F238E27FC236}">
                  <a16:creationId xmlns:a16="http://schemas.microsoft.com/office/drawing/2014/main" id="{00000000-0008-0000-0100-00003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69" name="Group Box 49" hidden="1">
              <a:extLst>
                <a:ext uri="{63B3BB69-23CF-44E3-9099-C40C66FF867C}">
                  <a14:compatExt spid="_x0000_s235569"/>
                </a:ext>
                <a:ext uri="{FF2B5EF4-FFF2-40B4-BE49-F238E27FC236}">
                  <a16:creationId xmlns:a16="http://schemas.microsoft.com/office/drawing/2014/main" id="{00000000-0008-0000-0100-00003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0" name="Group Box 50" hidden="1">
              <a:extLst>
                <a:ext uri="{63B3BB69-23CF-44E3-9099-C40C66FF867C}">
                  <a14:compatExt spid="_x0000_s235570"/>
                </a:ext>
                <a:ext uri="{FF2B5EF4-FFF2-40B4-BE49-F238E27FC236}">
                  <a16:creationId xmlns:a16="http://schemas.microsoft.com/office/drawing/2014/main" id="{00000000-0008-0000-0100-00003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71" name="Group Box 51" hidden="1">
              <a:extLst>
                <a:ext uri="{63B3BB69-23CF-44E3-9099-C40C66FF867C}">
                  <a14:compatExt spid="_x0000_s235571"/>
                </a:ext>
                <a:ext uri="{FF2B5EF4-FFF2-40B4-BE49-F238E27FC236}">
                  <a16:creationId xmlns:a16="http://schemas.microsoft.com/office/drawing/2014/main" id="{00000000-0008-0000-0100-00003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2" name="Group Box 52" hidden="1">
              <a:extLst>
                <a:ext uri="{63B3BB69-23CF-44E3-9099-C40C66FF867C}">
                  <a14:compatExt spid="_x0000_s235572"/>
                </a:ext>
                <a:ext uri="{FF2B5EF4-FFF2-40B4-BE49-F238E27FC236}">
                  <a16:creationId xmlns:a16="http://schemas.microsoft.com/office/drawing/2014/main" id="{00000000-0008-0000-0100-00003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73" name="Group Box 53" hidden="1">
              <a:extLst>
                <a:ext uri="{63B3BB69-23CF-44E3-9099-C40C66FF867C}">
                  <a14:compatExt spid="_x0000_s235573"/>
                </a:ext>
                <a:ext uri="{FF2B5EF4-FFF2-40B4-BE49-F238E27FC236}">
                  <a16:creationId xmlns:a16="http://schemas.microsoft.com/office/drawing/2014/main" id="{00000000-0008-0000-0100-00003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4" name="Group Box 54" hidden="1">
              <a:extLst>
                <a:ext uri="{63B3BB69-23CF-44E3-9099-C40C66FF867C}">
                  <a14:compatExt spid="_x0000_s235574"/>
                </a:ext>
                <a:ext uri="{FF2B5EF4-FFF2-40B4-BE49-F238E27FC236}">
                  <a16:creationId xmlns:a16="http://schemas.microsoft.com/office/drawing/2014/main" id="{00000000-0008-0000-0100-00003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75" name="Group Box 55" hidden="1">
              <a:extLst>
                <a:ext uri="{63B3BB69-23CF-44E3-9099-C40C66FF867C}">
                  <a14:compatExt spid="_x0000_s235575"/>
                </a:ext>
                <a:ext uri="{FF2B5EF4-FFF2-40B4-BE49-F238E27FC236}">
                  <a16:creationId xmlns:a16="http://schemas.microsoft.com/office/drawing/2014/main" id="{00000000-0008-0000-0100-00003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6" name="Group Box 56" hidden="1">
              <a:extLst>
                <a:ext uri="{63B3BB69-23CF-44E3-9099-C40C66FF867C}">
                  <a14:compatExt spid="_x0000_s235576"/>
                </a:ext>
                <a:ext uri="{FF2B5EF4-FFF2-40B4-BE49-F238E27FC236}">
                  <a16:creationId xmlns:a16="http://schemas.microsoft.com/office/drawing/2014/main" id="{00000000-0008-0000-0100-00003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77" name="Group Box 57" hidden="1">
              <a:extLst>
                <a:ext uri="{63B3BB69-23CF-44E3-9099-C40C66FF867C}">
                  <a14:compatExt spid="_x0000_s235577"/>
                </a:ext>
                <a:ext uri="{FF2B5EF4-FFF2-40B4-BE49-F238E27FC236}">
                  <a16:creationId xmlns:a16="http://schemas.microsoft.com/office/drawing/2014/main" id="{00000000-0008-0000-0100-00003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8" name="Group Box 58" hidden="1">
              <a:extLst>
                <a:ext uri="{63B3BB69-23CF-44E3-9099-C40C66FF867C}">
                  <a14:compatExt spid="_x0000_s235578"/>
                </a:ext>
                <a:ext uri="{FF2B5EF4-FFF2-40B4-BE49-F238E27FC236}">
                  <a16:creationId xmlns:a16="http://schemas.microsoft.com/office/drawing/2014/main" id="{00000000-0008-0000-0100-00003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79" name="Group Box 59" hidden="1">
              <a:extLst>
                <a:ext uri="{63B3BB69-23CF-44E3-9099-C40C66FF867C}">
                  <a14:compatExt spid="_x0000_s235579"/>
                </a:ext>
                <a:ext uri="{FF2B5EF4-FFF2-40B4-BE49-F238E27FC236}">
                  <a16:creationId xmlns:a16="http://schemas.microsoft.com/office/drawing/2014/main" id="{00000000-0008-0000-0100-00003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0" name="Group Box 60" hidden="1">
              <a:extLst>
                <a:ext uri="{63B3BB69-23CF-44E3-9099-C40C66FF867C}">
                  <a14:compatExt spid="_x0000_s235580"/>
                </a:ext>
                <a:ext uri="{FF2B5EF4-FFF2-40B4-BE49-F238E27FC236}">
                  <a16:creationId xmlns:a16="http://schemas.microsoft.com/office/drawing/2014/main" id="{00000000-0008-0000-0100-00003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81" name="Group Box 61" hidden="1">
              <a:extLst>
                <a:ext uri="{63B3BB69-23CF-44E3-9099-C40C66FF867C}">
                  <a14:compatExt spid="_x0000_s235581"/>
                </a:ext>
                <a:ext uri="{FF2B5EF4-FFF2-40B4-BE49-F238E27FC236}">
                  <a16:creationId xmlns:a16="http://schemas.microsoft.com/office/drawing/2014/main" id="{00000000-0008-0000-0100-00003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2" name="Group Box 62" hidden="1">
              <a:extLst>
                <a:ext uri="{63B3BB69-23CF-44E3-9099-C40C66FF867C}">
                  <a14:compatExt spid="_x0000_s235582"/>
                </a:ext>
                <a:ext uri="{FF2B5EF4-FFF2-40B4-BE49-F238E27FC236}">
                  <a16:creationId xmlns:a16="http://schemas.microsoft.com/office/drawing/2014/main" id="{00000000-0008-0000-0100-00003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83" name="Group Box 63" hidden="1">
              <a:extLst>
                <a:ext uri="{63B3BB69-23CF-44E3-9099-C40C66FF867C}">
                  <a14:compatExt spid="_x0000_s235583"/>
                </a:ext>
                <a:ext uri="{FF2B5EF4-FFF2-40B4-BE49-F238E27FC236}">
                  <a16:creationId xmlns:a16="http://schemas.microsoft.com/office/drawing/2014/main" id="{00000000-0008-0000-0100-00003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4" name="Group Box 64" hidden="1">
              <a:extLst>
                <a:ext uri="{63B3BB69-23CF-44E3-9099-C40C66FF867C}">
                  <a14:compatExt spid="_x0000_s235584"/>
                </a:ext>
                <a:ext uri="{FF2B5EF4-FFF2-40B4-BE49-F238E27FC236}">
                  <a16:creationId xmlns:a16="http://schemas.microsoft.com/office/drawing/2014/main" id="{00000000-0008-0000-0100-00004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85" name="Group Box 65" hidden="1">
              <a:extLst>
                <a:ext uri="{63B3BB69-23CF-44E3-9099-C40C66FF867C}">
                  <a14:compatExt spid="_x0000_s235585"/>
                </a:ext>
                <a:ext uri="{FF2B5EF4-FFF2-40B4-BE49-F238E27FC236}">
                  <a16:creationId xmlns:a16="http://schemas.microsoft.com/office/drawing/2014/main" id="{00000000-0008-0000-0100-00004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6" name="Group Box 66" hidden="1">
              <a:extLst>
                <a:ext uri="{63B3BB69-23CF-44E3-9099-C40C66FF867C}">
                  <a14:compatExt spid="_x0000_s235586"/>
                </a:ext>
                <a:ext uri="{FF2B5EF4-FFF2-40B4-BE49-F238E27FC236}">
                  <a16:creationId xmlns:a16="http://schemas.microsoft.com/office/drawing/2014/main" id="{00000000-0008-0000-0100-00004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87" name="Group Box 67" hidden="1">
              <a:extLst>
                <a:ext uri="{63B3BB69-23CF-44E3-9099-C40C66FF867C}">
                  <a14:compatExt spid="_x0000_s235587"/>
                </a:ext>
                <a:ext uri="{FF2B5EF4-FFF2-40B4-BE49-F238E27FC236}">
                  <a16:creationId xmlns:a16="http://schemas.microsoft.com/office/drawing/2014/main" id="{00000000-0008-0000-0100-00004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8" name="Group Box 68" hidden="1">
              <a:extLst>
                <a:ext uri="{63B3BB69-23CF-44E3-9099-C40C66FF867C}">
                  <a14:compatExt spid="_x0000_s235588"/>
                </a:ext>
                <a:ext uri="{FF2B5EF4-FFF2-40B4-BE49-F238E27FC236}">
                  <a16:creationId xmlns:a16="http://schemas.microsoft.com/office/drawing/2014/main" id="{00000000-0008-0000-0100-00004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89" name="Group Box 69" hidden="1">
              <a:extLst>
                <a:ext uri="{63B3BB69-23CF-44E3-9099-C40C66FF867C}">
                  <a14:compatExt spid="_x0000_s235589"/>
                </a:ext>
                <a:ext uri="{FF2B5EF4-FFF2-40B4-BE49-F238E27FC236}">
                  <a16:creationId xmlns:a16="http://schemas.microsoft.com/office/drawing/2014/main" id="{00000000-0008-0000-0100-00004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0" name="Group Box 70" hidden="1">
              <a:extLst>
                <a:ext uri="{63B3BB69-23CF-44E3-9099-C40C66FF867C}">
                  <a14:compatExt spid="_x0000_s235590"/>
                </a:ext>
                <a:ext uri="{FF2B5EF4-FFF2-40B4-BE49-F238E27FC236}">
                  <a16:creationId xmlns:a16="http://schemas.microsoft.com/office/drawing/2014/main" id="{00000000-0008-0000-0100-00004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91" name="Group Box 71" hidden="1">
              <a:extLst>
                <a:ext uri="{63B3BB69-23CF-44E3-9099-C40C66FF867C}">
                  <a14:compatExt spid="_x0000_s235591"/>
                </a:ext>
                <a:ext uri="{FF2B5EF4-FFF2-40B4-BE49-F238E27FC236}">
                  <a16:creationId xmlns:a16="http://schemas.microsoft.com/office/drawing/2014/main" id="{00000000-0008-0000-0100-00004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2" name="Group Box 72" hidden="1">
              <a:extLst>
                <a:ext uri="{63B3BB69-23CF-44E3-9099-C40C66FF867C}">
                  <a14:compatExt spid="_x0000_s235592"/>
                </a:ext>
                <a:ext uri="{FF2B5EF4-FFF2-40B4-BE49-F238E27FC236}">
                  <a16:creationId xmlns:a16="http://schemas.microsoft.com/office/drawing/2014/main" id="{00000000-0008-0000-0100-00004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93" name="Group Box 73" hidden="1">
              <a:extLst>
                <a:ext uri="{63B3BB69-23CF-44E3-9099-C40C66FF867C}">
                  <a14:compatExt spid="_x0000_s235593"/>
                </a:ext>
                <a:ext uri="{FF2B5EF4-FFF2-40B4-BE49-F238E27FC236}">
                  <a16:creationId xmlns:a16="http://schemas.microsoft.com/office/drawing/2014/main" id="{00000000-0008-0000-0100-00004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4" name="Group Box 74" hidden="1">
              <a:extLst>
                <a:ext uri="{63B3BB69-23CF-44E3-9099-C40C66FF867C}">
                  <a14:compatExt spid="_x0000_s235594"/>
                </a:ext>
                <a:ext uri="{FF2B5EF4-FFF2-40B4-BE49-F238E27FC236}">
                  <a16:creationId xmlns:a16="http://schemas.microsoft.com/office/drawing/2014/main" id="{00000000-0008-0000-0100-00004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95" name="Group Box 75" hidden="1">
              <a:extLst>
                <a:ext uri="{63B3BB69-23CF-44E3-9099-C40C66FF867C}">
                  <a14:compatExt spid="_x0000_s235595"/>
                </a:ext>
                <a:ext uri="{FF2B5EF4-FFF2-40B4-BE49-F238E27FC236}">
                  <a16:creationId xmlns:a16="http://schemas.microsoft.com/office/drawing/2014/main" id="{00000000-0008-0000-0100-00004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6" name="Group Box 76" hidden="1">
              <a:extLst>
                <a:ext uri="{63B3BB69-23CF-44E3-9099-C40C66FF867C}">
                  <a14:compatExt spid="_x0000_s235596"/>
                </a:ext>
                <a:ext uri="{FF2B5EF4-FFF2-40B4-BE49-F238E27FC236}">
                  <a16:creationId xmlns:a16="http://schemas.microsoft.com/office/drawing/2014/main" id="{00000000-0008-0000-0100-00004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97" name="Group Box 77" hidden="1">
              <a:extLst>
                <a:ext uri="{63B3BB69-23CF-44E3-9099-C40C66FF867C}">
                  <a14:compatExt spid="_x0000_s235597"/>
                </a:ext>
                <a:ext uri="{FF2B5EF4-FFF2-40B4-BE49-F238E27FC236}">
                  <a16:creationId xmlns:a16="http://schemas.microsoft.com/office/drawing/2014/main" id="{00000000-0008-0000-0100-00004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8" name="Group Box 78" hidden="1">
              <a:extLst>
                <a:ext uri="{63B3BB69-23CF-44E3-9099-C40C66FF867C}">
                  <a14:compatExt spid="_x0000_s235598"/>
                </a:ext>
                <a:ext uri="{FF2B5EF4-FFF2-40B4-BE49-F238E27FC236}">
                  <a16:creationId xmlns:a16="http://schemas.microsoft.com/office/drawing/2014/main" id="{00000000-0008-0000-0100-00004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99" name="Group Box 79" hidden="1">
              <a:extLst>
                <a:ext uri="{63B3BB69-23CF-44E3-9099-C40C66FF867C}">
                  <a14:compatExt spid="_x0000_s235599"/>
                </a:ext>
                <a:ext uri="{FF2B5EF4-FFF2-40B4-BE49-F238E27FC236}">
                  <a16:creationId xmlns:a16="http://schemas.microsoft.com/office/drawing/2014/main" id="{00000000-0008-0000-0100-00004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0" name="Group Box 80" hidden="1">
              <a:extLst>
                <a:ext uri="{63B3BB69-23CF-44E3-9099-C40C66FF867C}">
                  <a14:compatExt spid="_x0000_s235600"/>
                </a:ext>
                <a:ext uri="{FF2B5EF4-FFF2-40B4-BE49-F238E27FC236}">
                  <a16:creationId xmlns:a16="http://schemas.microsoft.com/office/drawing/2014/main" id="{00000000-0008-0000-0100-00005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01" name="Group Box 81" hidden="1">
              <a:extLst>
                <a:ext uri="{63B3BB69-23CF-44E3-9099-C40C66FF867C}">
                  <a14:compatExt spid="_x0000_s235601"/>
                </a:ext>
                <a:ext uri="{FF2B5EF4-FFF2-40B4-BE49-F238E27FC236}">
                  <a16:creationId xmlns:a16="http://schemas.microsoft.com/office/drawing/2014/main" id="{00000000-0008-0000-0100-00005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2" name="Group Box 82" hidden="1">
              <a:extLst>
                <a:ext uri="{63B3BB69-23CF-44E3-9099-C40C66FF867C}">
                  <a14:compatExt spid="_x0000_s235602"/>
                </a:ext>
                <a:ext uri="{FF2B5EF4-FFF2-40B4-BE49-F238E27FC236}">
                  <a16:creationId xmlns:a16="http://schemas.microsoft.com/office/drawing/2014/main" id="{00000000-0008-0000-0100-00005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03" name="Group Box 83" hidden="1">
              <a:extLst>
                <a:ext uri="{63B3BB69-23CF-44E3-9099-C40C66FF867C}">
                  <a14:compatExt spid="_x0000_s235603"/>
                </a:ext>
                <a:ext uri="{FF2B5EF4-FFF2-40B4-BE49-F238E27FC236}">
                  <a16:creationId xmlns:a16="http://schemas.microsoft.com/office/drawing/2014/main" id="{00000000-0008-0000-0100-00005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4" name="Group Box 84" hidden="1">
              <a:extLst>
                <a:ext uri="{63B3BB69-23CF-44E3-9099-C40C66FF867C}">
                  <a14:compatExt spid="_x0000_s235604"/>
                </a:ext>
                <a:ext uri="{FF2B5EF4-FFF2-40B4-BE49-F238E27FC236}">
                  <a16:creationId xmlns:a16="http://schemas.microsoft.com/office/drawing/2014/main" id="{00000000-0008-0000-0100-00005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05" name="Group Box 85" hidden="1">
              <a:extLst>
                <a:ext uri="{63B3BB69-23CF-44E3-9099-C40C66FF867C}">
                  <a14:compatExt spid="_x0000_s235605"/>
                </a:ext>
                <a:ext uri="{FF2B5EF4-FFF2-40B4-BE49-F238E27FC236}">
                  <a16:creationId xmlns:a16="http://schemas.microsoft.com/office/drawing/2014/main" id="{00000000-0008-0000-0100-00005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6" name="Group Box 86" hidden="1">
              <a:extLst>
                <a:ext uri="{63B3BB69-23CF-44E3-9099-C40C66FF867C}">
                  <a14:compatExt spid="_x0000_s235606"/>
                </a:ext>
                <a:ext uri="{FF2B5EF4-FFF2-40B4-BE49-F238E27FC236}">
                  <a16:creationId xmlns:a16="http://schemas.microsoft.com/office/drawing/2014/main" id="{00000000-0008-0000-0100-00005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07" name="Group Box 87" hidden="1">
              <a:extLst>
                <a:ext uri="{63B3BB69-23CF-44E3-9099-C40C66FF867C}">
                  <a14:compatExt spid="_x0000_s235607"/>
                </a:ext>
                <a:ext uri="{FF2B5EF4-FFF2-40B4-BE49-F238E27FC236}">
                  <a16:creationId xmlns:a16="http://schemas.microsoft.com/office/drawing/2014/main" id="{00000000-0008-0000-0100-00005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8" name="Group Box 88" hidden="1">
              <a:extLst>
                <a:ext uri="{63B3BB69-23CF-44E3-9099-C40C66FF867C}">
                  <a14:compatExt spid="_x0000_s235608"/>
                </a:ext>
                <a:ext uri="{FF2B5EF4-FFF2-40B4-BE49-F238E27FC236}">
                  <a16:creationId xmlns:a16="http://schemas.microsoft.com/office/drawing/2014/main" id="{00000000-0008-0000-0100-00005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09" name="Group Box 89" hidden="1">
              <a:extLst>
                <a:ext uri="{63B3BB69-23CF-44E3-9099-C40C66FF867C}">
                  <a14:compatExt spid="_x0000_s235609"/>
                </a:ext>
                <a:ext uri="{FF2B5EF4-FFF2-40B4-BE49-F238E27FC236}">
                  <a16:creationId xmlns:a16="http://schemas.microsoft.com/office/drawing/2014/main" id="{00000000-0008-0000-0100-00005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0" name="Group Box 90" hidden="1">
              <a:extLst>
                <a:ext uri="{63B3BB69-23CF-44E3-9099-C40C66FF867C}">
                  <a14:compatExt spid="_x0000_s235610"/>
                </a:ext>
                <a:ext uri="{FF2B5EF4-FFF2-40B4-BE49-F238E27FC236}">
                  <a16:creationId xmlns:a16="http://schemas.microsoft.com/office/drawing/2014/main" id="{00000000-0008-0000-0100-00005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11" name="Group Box 91" hidden="1">
              <a:extLst>
                <a:ext uri="{63B3BB69-23CF-44E3-9099-C40C66FF867C}">
                  <a14:compatExt spid="_x0000_s235611"/>
                </a:ext>
                <a:ext uri="{FF2B5EF4-FFF2-40B4-BE49-F238E27FC236}">
                  <a16:creationId xmlns:a16="http://schemas.microsoft.com/office/drawing/2014/main" id="{00000000-0008-0000-0100-00005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2" name="Group Box 92" hidden="1">
              <a:extLst>
                <a:ext uri="{63B3BB69-23CF-44E3-9099-C40C66FF867C}">
                  <a14:compatExt spid="_x0000_s235612"/>
                </a:ext>
                <a:ext uri="{FF2B5EF4-FFF2-40B4-BE49-F238E27FC236}">
                  <a16:creationId xmlns:a16="http://schemas.microsoft.com/office/drawing/2014/main" id="{00000000-0008-0000-0100-00005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13" name="Group Box 93" hidden="1">
              <a:extLst>
                <a:ext uri="{63B3BB69-23CF-44E3-9099-C40C66FF867C}">
                  <a14:compatExt spid="_x0000_s235613"/>
                </a:ext>
                <a:ext uri="{FF2B5EF4-FFF2-40B4-BE49-F238E27FC236}">
                  <a16:creationId xmlns:a16="http://schemas.microsoft.com/office/drawing/2014/main" id="{00000000-0008-0000-0100-00005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4" name="Group Box 94" hidden="1">
              <a:extLst>
                <a:ext uri="{63B3BB69-23CF-44E3-9099-C40C66FF867C}">
                  <a14:compatExt spid="_x0000_s235614"/>
                </a:ext>
                <a:ext uri="{FF2B5EF4-FFF2-40B4-BE49-F238E27FC236}">
                  <a16:creationId xmlns:a16="http://schemas.microsoft.com/office/drawing/2014/main" id="{00000000-0008-0000-0100-00005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15" name="Group Box 95" hidden="1">
              <a:extLst>
                <a:ext uri="{63B3BB69-23CF-44E3-9099-C40C66FF867C}">
                  <a14:compatExt spid="_x0000_s235615"/>
                </a:ext>
                <a:ext uri="{FF2B5EF4-FFF2-40B4-BE49-F238E27FC236}">
                  <a16:creationId xmlns:a16="http://schemas.microsoft.com/office/drawing/2014/main" id="{00000000-0008-0000-0100-00005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6" name="Group Box 96" hidden="1">
              <a:extLst>
                <a:ext uri="{63B3BB69-23CF-44E3-9099-C40C66FF867C}">
                  <a14:compatExt spid="_x0000_s235616"/>
                </a:ext>
                <a:ext uri="{FF2B5EF4-FFF2-40B4-BE49-F238E27FC236}">
                  <a16:creationId xmlns:a16="http://schemas.microsoft.com/office/drawing/2014/main" id="{00000000-0008-0000-0100-00006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17" name="Group Box 97" hidden="1">
              <a:extLst>
                <a:ext uri="{63B3BB69-23CF-44E3-9099-C40C66FF867C}">
                  <a14:compatExt spid="_x0000_s235617"/>
                </a:ext>
                <a:ext uri="{FF2B5EF4-FFF2-40B4-BE49-F238E27FC236}">
                  <a16:creationId xmlns:a16="http://schemas.microsoft.com/office/drawing/2014/main" id="{00000000-0008-0000-0100-00006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8" name="Group Box 98" hidden="1">
              <a:extLst>
                <a:ext uri="{63B3BB69-23CF-44E3-9099-C40C66FF867C}">
                  <a14:compatExt spid="_x0000_s235618"/>
                </a:ext>
                <a:ext uri="{FF2B5EF4-FFF2-40B4-BE49-F238E27FC236}">
                  <a16:creationId xmlns:a16="http://schemas.microsoft.com/office/drawing/2014/main" id="{00000000-0008-0000-0100-00006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19" name="Group Box 99" hidden="1">
              <a:extLst>
                <a:ext uri="{63B3BB69-23CF-44E3-9099-C40C66FF867C}">
                  <a14:compatExt spid="_x0000_s235619"/>
                </a:ext>
                <a:ext uri="{FF2B5EF4-FFF2-40B4-BE49-F238E27FC236}">
                  <a16:creationId xmlns:a16="http://schemas.microsoft.com/office/drawing/2014/main" id="{00000000-0008-0000-0100-00006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0" name="Group Box 100" hidden="1">
              <a:extLst>
                <a:ext uri="{63B3BB69-23CF-44E3-9099-C40C66FF867C}">
                  <a14:compatExt spid="_x0000_s235620"/>
                </a:ext>
                <a:ext uri="{FF2B5EF4-FFF2-40B4-BE49-F238E27FC236}">
                  <a16:creationId xmlns:a16="http://schemas.microsoft.com/office/drawing/2014/main" id="{00000000-0008-0000-0100-00006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21" name="Group Box 101" hidden="1">
              <a:extLst>
                <a:ext uri="{63B3BB69-23CF-44E3-9099-C40C66FF867C}">
                  <a14:compatExt spid="_x0000_s235621"/>
                </a:ext>
                <a:ext uri="{FF2B5EF4-FFF2-40B4-BE49-F238E27FC236}">
                  <a16:creationId xmlns:a16="http://schemas.microsoft.com/office/drawing/2014/main" id="{00000000-0008-0000-0100-00006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2" name="Group Box 102" hidden="1">
              <a:extLst>
                <a:ext uri="{63B3BB69-23CF-44E3-9099-C40C66FF867C}">
                  <a14:compatExt spid="_x0000_s235622"/>
                </a:ext>
                <a:ext uri="{FF2B5EF4-FFF2-40B4-BE49-F238E27FC236}">
                  <a16:creationId xmlns:a16="http://schemas.microsoft.com/office/drawing/2014/main" id="{00000000-0008-0000-0100-00006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23" name="Group Box 103" hidden="1">
              <a:extLst>
                <a:ext uri="{63B3BB69-23CF-44E3-9099-C40C66FF867C}">
                  <a14:compatExt spid="_x0000_s235623"/>
                </a:ext>
                <a:ext uri="{FF2B5EF4-FFF2-40B4-BE49-F238E27FC236}">
                  <a16:creationId xmlns:a16="http://schemas.microsoft.com/office/drawing/2014/main" id="{00000000-0008-0000-0100-00006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4" name="Group Box 104" hidden="1">
              <a:extLst>
                <a:ext uri="{63B3BB69-23CF-44E3-9099-C40C66FF867C}">
                  <a14:compatExt spid="_x0000_s235624"/>
                </a:ext>
                <a:ext uri="{FF2B5EF4-FFF2-40B4-BE49-F238E27FC236}">
                  <a16:creationId xmlns:a16="http://schemas.microsoft.com/office/drawing/2014/main" id="{00000000-0008-0000-0100-00006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25" name="Group Box 105" hidden="1">
              <a:extLst>
                <a:ext uri="{63B3BB69-23CF-44E3-9099-C40C66FF867C}">
                  <a14:compatExt spid="_x0000_s235625"/>
                </a:ext>
                <a:ext uri="{FF2B5EF4-FFF2-40B4-BE49-F238E27FC236}">
                  <a16:creationId xmlns:a16="http://schemas.microsoft.com/office/drawing/2014/main" id="{00000000-0008-0000-0100-00006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6" name="Group Box 106" hidden="1">
              <a:extLst>
                <a:ext uri="{63B3BB69-23CF-44E3-9099-C40C66FF867C}">
                  <a14:compatExt spid="_x0000_s235626"/>
                </a:ext>
                <a:ext uri="{FF2B5EF4-FFF2-40B4-BE49-F238E27FC236}">
                  <a16:creationId xmlns:a16="http://schemas.microsoft.com/office/drawing/2014/main" id="{00000000-0008-0000-0100-00006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27" name="Group Box 107" hidden="1">
              <a:extLst>
                <a:ext uri="{63B3BB69-23CF-44E3-9099-C40C66FF867C}">
                  <a14:compatExt spid="_x0000_s235627"/>
                </a:ext>
                <a:ext uri="{FF2B5EF4-FFF2-40B4-BE49-F238E27FC236}">
                  <a16:creationId xmlns:a16="http://schemas.microsoft.com/office/drawing/2014/main" id="{00000000-0008-0000-0100-00006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8" name="Group Box 108" hidden="1">
              <a:extLst>
                <a:ext uri="{63B3BB69-23CF-44E3-9099-C40C66FF867C}">
                  <a14:compatExt spid="_x0000_s235628"/>
                </a:ext>
                <a:ext uri="{FF2B5EF4-FFF2-40B4-BE49-F238E27FC236}">
                  <a16:creationId xmlns:a16="http://schemas.microsoft.com/office/drawing/2014/main" id="{00000000-0008-0000-0100-00006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29" name="Group Box 109" hidden="1">
              <a:extLst>
                <a:ext uri="{63B3BB69-23CF-44E3-9099-C40C66FF867C}">
                  <a14:compatExt spid="_x0000_s235629"/>
                </a:ext>
                <a:ext uri="{FF2B5EF4-FFF2-40B4-BE49-F238E27FC236}">
                  <a16:creationId xmlns:a16="http://schemas.microsoft.com/office/drawing/2014/main" id="{00000000-0008-0000-0100-00006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0" name="Group Box 110" hidden="1">
              <a:extLst>
                <a:ext uri="{63B3BB69-23CF-44E3-9099-C40C66FF867C}">
                  <a14:compatExt spid="_x0000_s235630"/>
                </a:ext>
                <a:ext uri="{FF2B5EF4-FFF2-40B4-BE49-F238E27FC236}">
                  <a16:creationId xmlns:a16="http://schemas.microsoft.com/office/drawing/2014/main" id="{00000000-0008-0000-0100-00006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31" name="Group Box 111" hidden="1">
              <a:extLst>
                <a:ext uri="{63B3BB69-23CF-44E3-9099-C40C66FF867C}">
                  <a14:compatExt spid="_x0000_s235631"/>
                </a:ext>
                <a:ext uri="{FF2B5EF4-FFF2-40B4-BE49-F238E27FC236}">
                  <a16:creationId xmlns:a16="http://schemas.microsoft.com/office/drawing/2014/main" id="{00000000-0008-0000-0100-00006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2" name="Group Box 112" hidden="1">
              <a:extLst>
                <a:ext uri="{63B3BB69-23CF-44E3-9099-C40C66FF867C}">
                  <a14:compatExt spid="_x0000_s235632"/>
                </a:ext>
                <a:ext uri="{FF2B5EF4-FFF2-40B4-BE49-F238E27FC236}">
                  <a16:creationId xmlns:a16="http://schemas.microsoft.com/office/drawing/2014/main" id="{00000000-0008-0000-0100-00007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33" name="Group Box 113" hidden="1">
              <a:extLst>
                <a:ext uri="{63B3BB69-23CF-44E3-9099-C40C66FF867C}">
                  <a14:compatExt spid="_x0000_s235633"/>
                </a:ext>
                <a:ext uri="{FF2B5EF4-FFF2-40B4-BE49-F238E27FC236}">
                  <a16:creationId xmlns:a16="http://schemas.microsoft.com/office/drawing/2014/main" id="{00000000-0008-0000-0100-00007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4" name="Group Box 114" hidden="1">
              <a:extLst>
                <a:ext uri="{63B3BB69-23CF-44E3-9099-C40C66FF867C}">
                  <a14:compatExt spid="_x0000_s235634"/>
                </a:ext>
                <a:ext uri="{FF2B5EF4-FFF2-40B4-BE49-F238E27FC236}">
                  <a16:creationId xmlns:a16="http://schemas.microsoft.com/office/drawing/2014/main" id="{00000000-0008-0000-0100-00007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35" name="Group Box 115" hidden="1">
              <a:extLst>
                <a:ext uri="{63B3BB69-23CF-44E3-9099-C40C66FF867C}">
                  <a14:compatExt spid="_x0000_s235635"/>
                </a:ext>
                <a:ext uri="{FF2B5EF4-FFF2-40B4-BE49-F238E27FC236}">
                  <a16:creationId xmlns:a16="http://schemas.microsoft.com/office/drawing/2014/main" id="{00000000-0008-0000-0100-00007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6" name="Group Box 116" hidden="1">
              <a:extLst>
                <a:ext uri="{63B3BB69-23CF-44E3-9099-C40C66FF867C}">
                  <a14:compatExt spid="_x0000_s235636"/>
                </a:ext>
                <a:ext uri="{FF2B5EF4-FFF2-40B4-BE49-F238E27FC236}">
                  <a16:creationId xmlns:a16="http://schemas.microsoft.com/office/drawing/2014/main" id="{00000000-0008-0000-0100-00007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37" name="Group Box 117" hidden="1">
              <a:extLst>
                <a:ext uri="{63B3BB69-23CF-44E3-9099-C40C66FF867C}">
                  <a14:compatExt spid="_x0000_s235637"/>
                </a:ext>
                <a:ext uri="{FF2B5EF4-FFF2-40B4-BE49-F238E27FC236}">
                  <a16:creationId xmlns:a16="http://schemas.microsoft.com/office/drawing/2014/main" id="{00000000-0008-0000-0100-00007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8" name="Group Box 118" hidden="1">
              <a:extLst>
                <a:ext uri="{63B3BB69-23CF-44E3-9099-C40C66FF867C}">
                  <a14:compatExt spid="_x0000_s235638"/>
                </a:ext>
                <a:ext uri="{FF2B5EF4-FFF2-40B4-BE49-F238E27FC236}">
                  <a16:creationId xmlns:a16="http://schemas.microsoft.com/office/drawing/2014/main" id="{00000000-0008-0000-0100-00007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39" name="Group Box 119" hidden="1">
              <a:extLst>
                <a:ext uri="{63B3BB69-23CF-44E3-9099-C40C66FF867C}">
                  <a14:compatExt spid="_x0000_s235639"/>
                </a:ext>
                <a:ext uri="{FF2B5EF4-FFF2-40B4-BE49-F238E27FC236}">
                  <a16:creationId xmlns:a16="http://schemas.microsoft.com/office/drawing/2014/main" id="{00000000-0008-0000-0100-00007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0" name="Group Box 120" hidden="1">
              <a:extLst>
                <a:ext uri="{63B3BB69-23CF-44E3-9099-C40C66FF867C}">
                  <a14:compatExt spid="_x0000_s235640"/>
                </a:ext>
                <a:ext uri="{FF2B5EF4-FFF2-40B4-BE49-F238E27FC236}">
                  <a16:creationId xmlns:a16="http://schemas.microsoft.com/office/drawing/2014/main" id="{00000000-0008-0000-0100-00007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41" name="Group Box 121" hidden="1">
              <a:extLst>
                <a:ext uri="{63B3BB69-23CF-44E3-9099-C40C66FF867C}">
                  <a14:compatExt spid="_x0000_s235641"/>
                </a:ext>
                <a:ext uri="{FF2B5EF4-FFF2-40B4-BE49-F238E27FC236}">
                  <a16:creationId xmlns:a16="http://schemas.microsoft.com/office/drawing/2014/main" id="{00000000-0008-0000-0100-00007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2" name="Group Box 122" hidden="1">
              <a:extLst>
                <a:ext uri="{63B3BB69-23CF-44E3-9099-C40C66FF867C}">
                  <a14:compatExt spid="_x0000_s235642"/>
                </a:ext>
                <a:ext uri="{FF2B5EF4-FFF2-40B4-BE49-F238E27FC236}">
                  <a16:creationId xmlns:a16="http://schemas.microsoft.com/office/drawing/2014/main" id="{00000000-0008-0000-0100-00007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43" name="Group Box 123" hidden="1">
              <a:extLst>
                <a:ext uri="{63B3BB69-23CF-44E3-9099-C40C66FF867C}">
                  <a14:compatExt spid="_x0000_s235643"/>
                </a:ext>
                <a:ext uri="{FF2B5EF4-FFF2-40B4-BE49-F238E27FC236}">
                  <a16:creationId xmlns:a16="http://schemas.microsoft.com/office/drawing/2014/main" id="{00000000-0008-0000-0100-00007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4" name="Group Box 124" hidden="1">
              <a:extLst>
                <a:ext uri="{63B3BB69-23CF-44E3-9099-C40C66FF867C}">
                  <a14:compatExt spid="_x0000_s235644"/>
                </a:ext>
                <a:ext uri="{FF2B5EF4-FFF2-40B4-BE49-F238E27FC236}">
                  <a16:creationId xmlns:a16="http://schemas.microsoft.com/office/drawing/2014/main" id="{00000000-0008-0000-0100-00007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45" name="Group Box 125" hidden="1">
              <a:extLst>
                <a:ext uri="{63B3BB69-23CF-44E3-9099-C40C66FF867C}">
                  <a14:compatExt spid="_x0000_s235645"/>
                </a:ext>
                <a:ext uri="{FF2B5EF4-FFF2-40B4-BE49-F238E27FC236}">
                  <a16:creationId xmlns:a16="http://schemas.microsoft.com/office/drawing/2014/main" id="{00000000-0008-0000-0100-00007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6" name="Group Box 126" hidden="1">
              <a:extLst>
                <a:ext uri="{63B3BB69-23CF-44E3-9099-C40C66FF867C}">
                  <a14:compatExt spid="_x0000_s235646"/>
                </a:ext>
                <a:ext uri="{FF2B5EF4-FFF2-40B4-BE49-F238E27FC236}">
                  <a16:creationId xmlns:a16="http://schemas.microsoft.com/office/drawing/2014/main" id="{00000000-0008-0000-0100-00007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47" name="Group Box 127" hidden="1">
              <a:extLst>
                <a:ext uri="{63B3BB69-23CF-44E3-9099-C40C66FF867C}">
                  <a14:compatExt spid="_x0000_s235647"/>
                </a:ext>
                <a:ext uri="{FF2B5EF4-FFF2-40B4-BE49-F238E27FC236}">
                  <a16:creationId xmlns:a16="http://schemas.microsoft.com/office/drawing/2014/main" id="{00000000-0008-0000-0100-00007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8" name="Group Box 128" hidden="1">
              <a:extLst>
                <a:ext uri="{63B3BB69-23CF-44E3-9099-C40C66FF867C}">
                  <a14:compatExt spid="_x0000_s235648"/>
                </a:ext>
                <a:ext uri="{FF2B5EF4-FFF2-40B4-BE49-F238E27FC236}">
                  <a16:creationId xmlns:a16="http://schemas.microsoft.com/office/drawing/2014/main" id="{00000000-0008-0000-0100-00008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49" name="Group Box 129" hidden="1">
              <a:extLst>
                <a:ext uri="{63B3BB69-23CF-44E3-9099-C40C66FF867C}">
                  <a14:compatExt spid="_x0000_s235649"/>
                </a:ext>
                <a:ext uri="{FF2B5EF4-FFF2-40B4-BE49-F238E27FC236}">
                  <a16:creationId xmlns:a16="http://schemas.microsoft.com/office/drawing/2014/main" id="{00000000-0008-0000-0100-00008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0" name="Group Box 130" hidden="1">
              <a:extLst>
                <a:ext uri="{63B3BB69-23CF-44E3-9099-C40C66FF867C}">
                  <a14:compatExt spid="_x0000_s235650"/>
                </a:ext>
                <a:ext uri="{FF2B5EF4-FFF2-40B4-BE49-F238E27FC236}">
                  <a16:creationId xmlns:a16="http://schemas.microsoft.com/office/drawing/2014/main" id="{00000000-0008-0000-0100-00008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51" name="Group Box 131" hidden="1">
              <a:extLst>
                <a:ext uri="{63B3BB69-23CF-44E3-9099-C40C66FF867C}">
                  <a14:compatExt spid="_x0000_s235651"/>
                </a:ext>
                <a:ext uri="{FF2B5EF4-FFF2-40B4-BE49-F238E27FC236}">
                  <a16:creationId xmlns:a16="http://schemas.microsoft.com/office/drawing/2014/main" id="{00000000-0008-0000-0100-00008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2" name="Group Box 132" hidden="1">
              <a:extLst>
                <a:ext uri="{63B3BB69-23CF-44E3-9099-C40C66FF867C}">
                  <a14:compatExt spid="_x0000_s235652"/>
                </a:ext>
                <a:ext uri="{FF2B5EF4-FFF2-40B4-BE49-F238E27FC236}">
                  <a16:creationId xmlns:a16="http://schemas.microsoft.com/office/drawing/2014/main" id="{00000000-0008-0000-0100-00008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53" name="Group Box 133" hidden="1">
              <a:extLst>
                <a:ext uri="{63B3BB69-23CF-44E3-9099-C40C66FF867C}">
                  <a14:compatExt spid="_x0000_s235653"/>
                </a:ext>
                <a:ext uri="{FF2B5EF4-FFF2-40B4-BE49-F238E27FC236}">
                  <a16:creationId xmlns:a16="http://schemas.microsoft.com/office/drawing/2014/main" id="{00000000-0008-0000-0100-00008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4" name="Group Box 134" hidden="1">
              <a:extLst>
                <a:ext uri="{63B3BB69-23CF-44E3-9099-C40C66FF867C}">
                  <a14:compatExt spid="_x0000_s235654"/>
                </a:ext>
                <a:ext uri="{FF2B5EF4-FFF2-40B4-BE49-F238E27FC236}">
                  <a16:creationId xmlns:a16="http://schemas.microsoft.com/office/drawing/2014/main" id="{00000000-0008-0000-0100-00008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55" name="Group Box 135" hidden="1">
              <a:extLst>
                <a:ext uri="{63B3BB69-23CF-44E3-9099-C40C66FF867C}">
                  <a14:compatExt spid="_x0000_s235655"/>
                </a:ext>
                <a:ext uri="{FF2B5EF4-FFF2-40B4-BE49-F238E27FC236}">
                  <a16:creationId xmlns:a16="http://schemas.microsoft.com/office/drawing/2014/main" id="{00000000-0008-0000-0100-00008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6" name="Group Box 136" hidden="1">
              <a:extLst>
                <a:ext uri="{63B3BB69-23CF-44E3-9099-C40C66FF867C}">
                  <a14:compatExt spid="_x0000_s235656"/>
                </a:ext>
                <a:ext uri="{FF2B5EF4-FFF2-40B4-BE49-F238E27FC236}">
                  <a16:creationId xmlns:a16="http://schemas.microsoft.com/office/drawing/2014/main" id="{00000000-0008-0000-0100-00008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57" name="Group Box 137" hidden="1">
              <a:extLst>
                <a:ext uri="{63B3BB69-23CF-44E3-9099-C40C66FF867C}">
                  <a14:compatExt spid="_x0000_s235657"/>
                </a:ext>
                <a:ext uri="{FF2B5EF4-FFF2-40B4-BE49-F238E27FC236}">
                  <a16:creationId xmlns:a16="http://schemas.microsoft.com/office/drawing/2014/main" id="{00000000-0008-0000-0100-00008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8" name="Group Box 138" hidden="1">
              <a:extLst>
                <a:ext uri="{63B3BB69-23CF-44E3-9099-C40C66FF867C}">
                  <a14:compatExt spid="_x0000_s235658"/>
                </a:ext>
                <a:ext uri="{FF2B5EF4-FFF2-40B4-BE49-F238E27FC236}">
                  <a16:creationId xmlns:a16="http://schemas.microsoft.com/office/drawing/2014/main" id="{00000000-0008-0000-0100-00008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59" name="Group Box 139" hidden="1">
              <a:extLst>
                <a:ext uri="{63B3BB69-23CF-44E3-9099-C40C66FF867C}">
                  <a14:compatExt spid="_x0000_s235659"/>
                </a:ext>
                <a:ext uri="{FF2B5EF4-FFF2-40B4-BE49-F238E27FC236}">
                  <a16:creationId xmlns:a16="http://schemas.microsoft.com/office/drawing/2014/main" id="{00000000-0008-0000-0100-00008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0" name="Group Box 140" hidden="1">
              <a:extLst>
                <a:ext uri="{63B3BB69-23CF-44E3-9099-C40C66FF867C}">
                  <a14:compatExt spid="_x0000_s235660"/>
                </a:ext>
                <a:ext uri="{FF2B5EF4-FFF2-40B4-BE49-F238E27FC236}">
                  <a16:creationId xmlns:a16="http://schemas.microsoft.com/office/drawing/2014/main" id="{00000000-0008-0000-0100-00008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61" name="Group Box 141" hidden="1">
              <a:extLst>
                <a:ext uri="{63B3BB69-23CF-44E3-9099-C40C66FF867C}">
                  <a14:compatExt spid="_x0000_s235661"/>
                </a:ext>
                <a:ext uri="{FF2B5EF4-FFF2-40B4-BE49-F238E27FC236}">
                  <a16:creationId xmlns:a16="http://schemas.microsoft.com/office/drawing/2014/main" id="{00000000-0008-0000-0100-00008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2" name="Group Box 142" hidden="1">
              <a:extLst>
                <a:ext uri="{63B3BB69-23CF-44E3-9099-C40C66FF867C}">
                  <a14:compatExt spid="_x0000_s235662"/>
                </a:ext>
                <a:ext uri="{FF2B5EF4-FFF2-40B4-BE49-F238E27FC236}">
                  <a16:creationId xmlns:a16="http://schemas.microsoft.com/office/drawing/2014/main" id="{00000000-0008-0000-0100-00008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63" name="Group Box 143" hidden="1">
              <a:extLst>
                <a:ext uri="{63B3BB69-23CF-44E3-9099-C40C66FF867C}">
                  <a14:compatExt spid="_x0000_s235663"/>
                </a:ext>
                <a:ext uri="{FF2B5EF4-FFF2-40B4-BE49-F238E27FC236}">
                  <a16:creationId xmlns:a16="http://schemas.microsoft.com/office/drawing/2014/main" id="{00000000-0008-0000-0100-00008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4" name="Group Box 144" hidden="1">
              <a:extLst>
                <a:ext uri="{63B3BB69-23CF-44E3-9099-C40C66FF867C}">
                  <a14:compatExt spid="_x0000_s235664"/>
                </a:ext>
                <a:ext uri="{FF2B5EF4-FFF2-40B4-BE49-F238E27FC236}">
                  <a16:creationId xmlns:a16="http://schemas.microsoft.com/office/drawing/2014/main" id="{00000000-0008-0000-0100-00009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65" name="Group Box 145" hidden="1">
              <a:extLst>
                <a:ext uri="{63B3BB69-23CF-44E3-9099-C40C66FF867C}">
                  <a14:compatExt spid="_x0000_s235665"/>
                </a:ext>
                <a:ext uri="{FF2B5EF4-FFF2-40B4-BE49-F238E27FC236}">
                  <a16:creationId xmlns:a16="http://schemas.microsoft.com/office/drawing/2014/main" id="{00000000-0008-0000-0100-00009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6" name="Group Box 146" hidden="1">
              <a:extLst>
                <a:ext uri="{63B3BB69-23CF-44E3-9099-C40C66FF867C}">
                  <a14:compatExt spid="_x0000_s235666"/>
                </a:ext>
                <a:ext uri="{FF2B5EF4-FFF2-40B4-BE49-F238E27FC236}">
                  <a16:creationId xmlns:a16="http://schemas.microsoft.com/office/drawing/2014/main" id="{00000000-0008-0000-0100-00009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67" name="Group Box 147" hidden="1">
              <a:extLst>
                <a:ext uri="{63B3BB69-23CF-44E3-9099-C40C66FF867C}">
                  <a14:compatExt spid="_x0000_s235667"/>
                </a:ext>
                <a:ext uri="{FF2B5EF4-FFF2-40B4-BE49-F238E27FC236}">
                  <a16:creationId xmlns:a16="http://schemas.microsoft.com/office/drawing/2014/main" id="{00000000-0008-0000-0100-00009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8" name="Group Box 148" hidden="1">
              <a:extLst>
                <a:ext uri="{63B3BB69-23CF-44E3-9099-C40C66FF867C}">
                  <a14:compatExt spid="_x0000_s235668"/>
                </a:ext>
                <a:ext uri="{FF2B5EF4-FFF2-40B4-BE49-F238E27FC236}">
                  <a16:creationId xmlns:a16="http://schemas.microsoft.com/office/drawing/2014/main" id="{00000000-0008-0000-0100-00009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69" name="Group Box 149" hidden="1">
              <a:extLst>
                <a:ext uri="{63B3BB69-23CF-44E3-9099-C40C66FF867C}">
                  <a14:compatExt spid="_x0000_s235669"/>
                </a:ext>
                <a:ext uri="{FF2B5EF4-FFF2-40B4-BE49-F238E27FC236}">
                  <a16:creationId xmlns:a16="http://schemas.microsoft.com/office/drawing/2014/main" id="{00000000-0008-0000-0100-00009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0" name="Group Box 150" hidden="1">
              <a:extLst>
                <a:ext uri="{63B3BB69-23CF-44E3-9099-C40C66FF867C}">
                  <a14:compatExt spid="_x0000_s235670"/>
                </a:ext>
                <a:ext uri="{FF2B5EF4-FFF2-40B4-BE49-F238E27FC236}">
                  <a16:creationId xmlns:a16="http://schemas.microsoft.com/office/drawing/2014/main" id="{00000000-0008-0000-0100-00009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71" name="Group Box 151" hidden="1">
              <a:extLst>
                <a:ext uri="{63B3BB69-23CF-44E3-9099-C40C66FF867C}">
                  <a14:compatExt spid="_x0000_s235671"/>
                </a:ext>
                <a:ext uri="{FF2B5EF4-FFF2-40B4-BE49-F238E27FC236}">
                  <a16:creationId xmlns:a16="http://schemas.microsoft.com/office/drawing/2014/main" id="{00000000-0008-0000-0100-00009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2" name="Group Box 152" hidden="1">
              <a:extLst>
                <a:ext uri="{63B3BB69-23CF-44E3-9099-C40C66FF867C}">
                  <a14:compatExt spid="_x0000_s235672"/>
                </a:ext>
                <a:ext uri="{FF2B5EF4-FFF2-40B4-BE49-F238E27FC236}">
                  <a16:creationId xmlns:a16="http://schemas.microsoft.com/office/drawing/2014/main" id="{00000000-0008-0000-0100-00009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73" name="Group Box 153" hidden="1">
              <a:extLst>
                <a:ext uri="{63B3BB69-23CF-44E3-9099-C40C66FF867C}">
                  <a14:compatExt spid="_x0000_s235673"/>
                </a:ext>
                <a:ext uri="{FF2B5EF4-FFF2-40B4-BE49-F238E27FC236}">
                  <a16:creationId xmlns:a16="http://schemas.microsoft.com/office/drawing/2014/main" id="{00000000-0008-0000-0100-00009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4" name="Group Box 154" hidden="1">
              <a:extLst>
                <a:ext uri="{63B3BB69-23CF-44E3-9099-C40C66FF867C}">
                  <a14:compatExt spid="_x0000_s235674"/>
                </a:ext>
                <a:ext uri="{FF2B5EF4-FFF2-40B4-BE49-F238E27FC236}">
                  <a16:creationId xmlns:a16="http://schemas.microsoft.com/office/drawing/2014/main" id="{00000000-0008-0000-0100-00009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75" name="Group Box 155" hidden="1">
              <a:extLst>
                <a:ext uri="{63B3BB69-23CF-44E3-9099-C40C66FF867C}">
                  <a14:compatExt spid="_x0000_s235675"/>
                </a:ext>
                <a:ext uri="{FF2B5EF4-FFF2-40B4-BE49-F238E27FC236}">
                  <a16:creationId xmlns:a16="http://schemas.microsoft.com/office/drawing/2014/main" id="{00000000-0008-0000-0100-00009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6" name="Group Box 156" hidden="1">
              <a:extLst>
                <a:ext uri="{63B3BB69-23CF-44E3-9099-C40C66FF867C}">
                  <a14:compatExt spid="_x0000_s235676"/>
                </a:ext>
                <a:ext uri="{FF2B5EF4-FFF2-40B4-BE49-F238E27FC236}">
                  <a16:creationId xmlns:a16="http://schemas.microsoft.com/office/drawing/2014/main" id="{00000000-0008-0000-0100-00009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77" name="Group Box 157" hidden="1">
              <a:extLst>
                <a:ext uri="{63B3BB69-23CF-44E3-9099-C40C66FF867C}">
                  <a14:compatExt spid="_x0000_s235677"/>
                </a:ext>
                <a:ext uri="{FF2B5EF4-FFF2-40B4-BE49-F238E27FC236}">
                  <a16:creationId xmlns:a16="http://schemas.microsoft.com/office/drawing/2014/main" id="{00000000-0008-0000-0100-00009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8" name="Group Box 158" hidden="1">
              <a:extLst>
                <a:ext uri="{63B3BB69-23CF-44E3-9099-C40C66FF867C}">
                  <a14:compatExt spid="_x0000_s235678"/>
                </a:ext>
                <a:ext uri="{FF2B5EF4-FFF2-40B4-BE49-F238E27FC236}">
                  <a16:creationId xmlns:a16="http://schemas.microsoft.com/office/drawing/2014/main" id="{00000000-0008-0000-0100-00009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79" name="Group Box 159" hidden="1">
              <a:extLst>
                <a:ext uri="{63B3BB69-23CF-44E3-9099-C40C66FF867C}">
                  <a14:compatExt spid="_x0000_s235679"/>
                </a:ext>
                <a:ext uri="{FF2B5EF4-FFF2-40B4-BE49-F238E27FC236}">
                  <a16:creationId xmlns:a16="http://schemas.microsoft.com/office/drawing/2014/main" id="{00000000-0008-0000-0100-00009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0" name="Group Box 160" hidden="1">
              <a:extLst>
                <a:ext uri="{63B3BB69-23CF-44E3-9099-C40C66FF867C}">
                  <a14:compatExt spid="_x0000_s235680"/>
                </a:ext>
                <a:ext uri="{FF2B5EF4-FFF2-40B4-BE49-F238E27FC236}">
                  <a16:creationId xmlns:a16="http://schemas.microsoft.com/office/drawing/2014/main" id="{00000000-0008-0000-0100-0000A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81" name="Group Box 161" hidden="1">
              <a:extLst>
                <a:ext uri="{63B3BB69-23CF-44E3-9099-C40C66FF867C}">
                  <a14:compatExt spid="_x0000_s235681"/>
                </a:ext>
                <a:ext uri="{FF2B5EF4-FFF2-40B4-BE49-F238E27FC236}">
                  <a16:creationId xmlns:a16="http://schemas.microsoft.com/office/drawing/2014/main" id="{00000000-0008-0000-0100-0000A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2" name="Group Box 162" hidden="1">
              <a:extLst>
                <a:ext uri="{63B3BB69-23CF-44E3-9099-C40C66FF867C}">
                  <a14:compatExt spid="_x0000_s235682"/>
                </a:ext>
                <a:ext uri="{FF2B5EF4-FFF2-40B4-BE49-F238E27FC236}">
                  <a16:creationId xmlns:a16="http://schemas.microsoft.com/office/drawing/2014/main" id="{00000000-0008-0000-0100-0000A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83" name="Group Box 163" hidden="1">
              <a:extLst>
                <a:ext uri="{63B3BB69-23CF-44E3-9099-C40C66FF867C}">
                  <a14:compatExt spid="_x0000_s235683"/>
                </a:ext>
                <a:ext uri="{FF2B5EF4-FFF2-40B4-BE49-F238E27FC236}">
                  <a16:creationId xmlns:a16="http://schemas.microsoft.com/office/drawing/2014/main" id="{00000000-0008-0000-0100-0000A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4" name="Group Box 164" hidden="1">
              <a:extLst>
                <a:ext uri="{63B3BB69-23CF-44E3-9099-C40C66FF867C}">
                  <a14:compatExt spid="_x0000_s235684"/>
                </a:ext>
                <a:ext uri="{FF2B5EF4-FFF2-40B4-BE49-F238E27FC236}">
                  <a16:creationId xmlns:a16="http://schemas.microsoft.com/office/drawing/2014/main" id="{00000000-0008-0000-0100-0000A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85" name="Group Box 165" hidden="1">
              <a:extLst>
                <a:ext uri="{63B3BB69-23CF-44E3-9099-C40C66FF867C}">
                  <a14:compatExt spid="_x0000_s235685"/>
                </a:ext>
                <a:ext uri="{FF2B5EF4-FFF2-40B4-BE49-F238E27FC236}">
                  <a16:creationId xmlns:a16="http://schemas.microsoft.com/office/drawing/2014/main" id="{00000000-0008-0000-0100-0000A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6" name="Group Box 166" hidden="1">
              <a:extLst>
                <a:ext uri="{63B3BB69-23CF-44E3-9099-C40C66FF867C}">
                  <a14:compatExt spid="_x0000_s235686"/>
                </a:ext>
                <a:ext uri="{FF2B5EF4-FFF2-40B4-BE49-F238E27FC236}">
                  <a16:creationId xmlns:a16="http://schemas.microsoft.com/office/drawing/2014/main" id="{00000000-0008-0000-0100-0000A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87" name="Group Box 167" hidden="1">
              <a:extLst>
                <a:ext uri="{63B3BB69-23CF-44E3-9099-C40C66FF867C}">
                  <a14:compatExt spid="_x0000_s235687"/>
                </a:ext>
                <a:ext uri="{FF2B5EF4-FFF2-40B4-BE49-F238E27FC236}">
                  <a16:creationId xmlns:a16="http://schemas.microsoft.com/office/drawing/2014/main" id="{00000000-0008-0000-0100-0000A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8" name="Group Box 168" hidden="1">
              <a:extLst>
                <a:ext uri="{63B3BB69-23CF-44E3-9099-C40C66FF867C}">
                  <a14:compatExt spid="_x0000_s235688"/>
                </a:ext>
                <a:ext uri="{FF2B5EF4-FFF2-40B4-BE49-F238E27FC236}">
                  <a16:creationId xmlns:a16="http://schemas.microsoft.com/office/drawing/2014/main" id="{00000000-0008-0000-0100-0000A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89" name="Group Box 169" hidden="1">
              <a:extLst>
                <a:ext uri="{63B3BB69-23CF-44E3-9099-C40C66FF867C}">
                  <a14:compatExt spid="_x0000_s235689"/>
                </a:ext>
                <a:ext uri="{FF2B5EF4-FFF2-40B4-BE49-F238E27FC236}">
                  <a16:creationId xmlns:a16="http://schemas.microsoft.com/office/drawing/2014/main" id="{00000000-0008-0000-0100-0000A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0" name="Group Box 170" hidden="1">
              <a:extLst>
                <a:ext uri="{63B3BB69-23CF-44E3-9099-C40C66FF867C}">
                  <a14:compatExt spid="_x0000_s235690"/>
                </a:ext>
                <a:ext uri="{FF2B5EF4-FFF2-40B4-BE49-F238E27FC236}">
                  <a16:creationId xmlns:a16="http://schemas.microsoft.com/office/drawing/2014/main" id="{00000000-0008-0000-0100-0000A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91" name="Group Box 171" hidden="1">
              <a:extLst>
                <a:ext uri="{63B3BB69-23CF-44E3-9099-C40C66FF867C}">
                  <a14:compatExt spid="_x0000_s235691"/>
                </a:ext>
                <a:ext uri="{FF2B5EF4-FFF2-40B4-BE49-F238E27FC236}">
                  <a16:creationId xmlns:a16="http://schemas.microsoft.com/office/drawing/2014/main" id="{00000000-0008-0000-0100-0000A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2" name="Group Box 172" hidden="1">
              <a:extLst>
                <a:ext uri="{63B3BB69-23CF-44E3-9099-C40C66FF867C}">
                  <a14:compatExt spid="_x0000_s235692"/>
                </a:ext>
                <a:ext uri="{FF2B5EF4-FFF2-40B4-BE49-F238E27FC236}">
                  <a16:creationId xmlns:a16="http://schemas.microsoft.com/office/drawing/2014/main" id="{00000000-0008-0000-0100-0000A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93" name="Group Box 173" hidden="1">
              <a:extLst>
                <a:ext uri="{63B3BB69-23CF-44E3-9099-C40C66FF867C}">
                  <a14:compatExt spid="_x0000_s235693"/>
                </a:ext>
                <a:ext uri="{FF2B5EF4-FFF2-40B4-BE49-F238E27FC236}">
                  <a16:creationId xmlns:a16="http://schemas.microsoft.com/office/drawing/2014/main" id="{00000000-0008-0000-0100-0000A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4" name="Group Box 174" hidden="1">
              <a:extLst>
                <a:ext uri="{63B3BB69-23CF-44E3-9099-C40C66FF867C}">
                  <a14:compatExt spid="_x0000_s235694"/>
                </a:ext>
                <a:ext uri="{FF2B5EF4-FFF2-40B4-BE49-F238E27FC236}">
                  <a16:creationId xmlns:a16="http://schemas.microsoft.com/office/drawing/2014/main" id="{00000000-0008-0000-0100-0000A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95" name="Group Box 175" hidden="1">
              <a:extLst>
                <a:ext uri="{63B3BB69-23CF-44E3-9099-C40C66FF867C}">
                  <a14:compatExt spid="_x0000_s235695"/>
                </a:ext>
                <a:ext uri="{FF2B5EF4-FFF2-40B4-BE49-F238E27FC236}">
                  <a16:creationId xmlns:a16="http://schemas.microsoft.com/office/drawing/2014/main" id="{00000000-0008-0000-0100-0000A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6" name="Group Box 176" hidden="1">
              <a:extLst>
                <a:ext uri="{63B3BB69-23CF-44E3-9099-C40C66FF867C}">
                  <a14:compatExt spid="_x0000_s235696"/>
                </a:ext>
                <a:ext uri="{FF2B5EF4-FFF2-40B4-BE49-F238E27FC236}">
                  <a16:creationId xmlns:a16="http://schemas.microsoft.com/office/drawing/2014/main" id="{00000000-0008-0000-0100-0000B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97" name="Group Box 177" hidden="1">
              <a:extLst>
                <a:ext uri="{63B3BB69-23CF-44E3-9099-C40C66FF867C}">
                  <a14:compatExt spid="_x0000_s235697"/>
                </a:ext>
                <a:ext uri="{FF2B5EF4-FFF2-40B4-BE49-F238E27FC236}">
                  <a16:creationId xmlns:a16="http://schemas.microsoft.com/office/drawing/2014/main" id="{00000000-0008-0000-0100-0000B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8" name="Group Box 178" hidden="1">
              <a:extLst>
                <a:ext uri="{63B3BB69-23CF-44E3-9099-C40C66FF867C}">
                  <a14:compatExt spid="_x0000_s235698"/>
                </a:ext>
                <a:ext uri="{FF2B5EF4-FFF2-40B4-BE49-F238E27FC236}">
                  <a16:creationId xmlns:a16="http://schemas.microsoft.com/office/drawing/2014/main" id="{00000000-0008-0000-0100-0000B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99" name="Group Box 179" hidden="1">
              <a:extLst>
                <a:ext uri="{63B3BB69-23CF-44E3-9099-C40C66FF867C}">
                  <a14:compatExt spid="_x0000_s235699"/>
                </a:ext>
                <a:ext uri="{FF2B5EF4-FFF2-40B4-BE49-F238E27FC236}">
                  <a16:creationId xmlns:a16="http://schemas.microsoft.com/office/drawing/2014/main" id="{00000000-0008-0000-0100-0000B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0" name="Group Box 180" hidden="1">
              <a:extLst>
                <a:ext uri="{63B3BB69-23CF-44E3-9099-C40C66FF867C}">
                  <a14:compatExt spid="_x0000_s235700"/>
                </a:ext>
                <a:ext uri="{FF2B5EF4-FFF2-40B4-BE49-F238E27FC236}">
                  <a16:creationId xmlns:a16="http://schemas.microsoft.com/office/drawing/2014/main" id="{00000000-0008-0000-0100-0000B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01" name="Group Box 181" hidden="1">
              <a:extLst>
                <a:ext uri="{63B3BB69-23CF-44E3-9099-C40C66FF867C}">
                  <a14:compatExt spid="_x0000_s235701"/>
                </a:ext>
                <a:ext uri="{FF2B5EF4-FFF2-40B4-BE49-F238E27FC236}">
                  <a16:creationId xmlns:a16="http://schemas.microsoft.com/office/drawing/2014/main" id="{00000000-0008-0000-0100-0000B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2" name="Group Box 182" hidden="1">
              <a:extLst>
                <a:ext uri="{63B3BB69-23CF-44E3-9099-C40C66FF867C}">
                  <a14:compatExt spid="_x0000_s235702"/>
                </a:ext>
                <a:ext uri="{FF2B5EF4-FFF2-40B4-BE49-F238E27FC236}">
                  <a16:creationId xmlns:a16="http://schemas.microsoft.com/office/drawing/2014/main" id="{00000000-0008-0000-0100-0000B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03" name="Group Box 183" hidden="1">
              <a:extLst>
                <a:ext uri="{63B3BB69-23CF-44E3-9099-C40C66FF867C}">
                  <a14:compatExt spid="_x0000_s235703"/>
                </a:ext>
                <a:ext uri="{FF2B5EF4-FFF2-40B4-BE49-F238E27FC236}">
                  <a16:creationId xmlns:a16="http://schemas.microsoft.com/office/drawing/2014/main" id="{00000000-0008-0000-0100-0000B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4" name="Group Box 184" hidden="1">
              <a:extLst>
                <a:ext uri="{63B3BB69-23CF-44E3-9099-C40C66FF867C}">
                  <a14:compatExt spid="_x0000_s235704"/>
                </a:ext>
                <a:ext uri="{FF2B5EF4-FFF2-40B4-BE49-F238E27FC236}">
                  <a16:creationId xmlns:a16="http://schemas.microsoft.com/office/drawing/2014/main" id="{00000000-0008-0000-0100-0000B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05" name="Group Box 185" hidden="1">
              <a:extLst>
                <a:ext uri="{63B3BB69-23CF-44E3-9099-C40C66FF867C}">
                  <a14:compatExt spid="_x0000_s235705"/>
                </a:ext>
                <a:ext uri="{FF2B5EF4-FFF2-40B4-BE49-F238E27FC236}">
                  <a16:creationId xmlns:a16="http://schemas.microsoft.com/office/drawing/2014/main" id="{00000000-0008-0000-0100-0000B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6" name="Group Box 186" hidden="1">
              <a:extLst>
                <a:ext uri="{63B3BB69-23CF-44E3-9099-C40C66FF867C}">
                  <a14:compatExt spid="_x0000_s235706"/>
                </a:ext>
                <a:ext uri="{FF2B5EF4-FFF2-40B4-BE49-F238E27FC236}">
                  <a16:creationId xmlns:a16="http://schemas.microsoft.com/office/drawing/2014/main" id="{00000000-0008-0000-0100-0000B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07" name="Group Box 187" hidden="1">
              <a:extLst>
                <a:ext uri="{63B3BB69-23CF-44E3-9099-C40C66FF867C}">
                  <a14:compatExt spid="_x0000_s235707"/>
                </a:ext>
                <a:ext uri="{FF2B5EF4-FFF2-40B4-BE49-F238E27FC236}">
                  <a16:creationId xmlns:a16="http://schemas.microsoft.com/office/drawing/2014/main" id="{00000000-0008-0000-0100-0000B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8" name="Group Box 188" hidden="1">
              <a:extLst>
                <a:ext uri="{63B3BB69-23CF-44E3-9099-C40C66FF867C}">
                  <a14:compatExt spid="_x0000_s235708"/>
                </a:ext>
                <a:ext uri="{FF2B5EF4-FFF2-40B4-BE49-F238E27FC236}">
                  <a16:creationId xmlns:a16="http://schemas.microsoft.com/office/drawing/2014/main" id="{00000000-0008-0000-0100-0000B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09" name="Group Box 189" hidden="1">
              <a:extLst>
                <a:ext uri="{63B3BB69-23CF-44E3-9099-C40C66FF867C}">
                  <a14:compatExt spid="_x0000_s235709"/>
                </a:ext>
                <a:ext uri="{FF2B5EF4-FFF2-40B4-BE49-F238E27FC236}">
                  <a16:creationId xmlns:a16="http://schemas.microsoft.com/office/drawing/2014/main" id="{00000000-0008-0000-0100-0000B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0" name="Group Box 190" hidden="1">
              <a:extLst>
                <a:ext uri="{63B3BB69-23CF-44E3-9099-C40C66FF867C}">
                  <a14:compatExt spid="_x0000_s235710"/>
                </a:ext>
                <a:ext uri="{FF2B5EF4-FFF2-40B4-BE49-F238E27FC236}">
                  <a16:creationId xmlns:a16="http://schemas.microsoft.com/office/drawing/2014/main" id="{00000000-0008-0000-0100-0000B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11" name="Group Box 191" hidden="1">
              <a:extLst>
                <a:ext uri="{63B3BB69-23CF-44E3-9099-C40C66FF867C}">
                  <a14:compatExt spid="_x0000_s235711"/>
                </a:ext>
                <a:ext uri="{FF2B5EF4-FFF2-40B4-BE49-F238E27FC236}">
                  <a16:creationId xmlns:a16="http://schemas.microsoft.com/office/drawing/2014/main" id="{00000000-0008-0000-0100-0000B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2" name="Group Box 192" hidden="1">
              <a:extLst>
                <a:ext uri="{63B3BB69-23CF-44E3-9099-C40C66FF867C}">
                  <a14:compatExt spid="_x0000_s235712"/>
                </a:ext>
                <a:ext uri="{FF2B5EF4-FFF2-40B4-BE49-F238E27FC236}">
                  <a16:creationId xmlns:a16="http://schemas.microsoft.com/office/drawing/2014/main" id="{00000000-0008-0000-0100-0000C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13" name="Group Box 193" hidden="1">
              <a:extLst>
                <a:ext uri="{63B3BB69-23CF-44E3-9099-C40C66FF867C}">
                  <a14:compatExt spid="_x0000_s235713"/>
                </a:ext>
                <a:ext uri="{FF2B5EF4-FFF2-40B4-BE49-F238E27FC236}">
                  <a16:creationId xmlns:a16="http://schemas.microsoft.com/office/drawing/2014/main" id="{00000000-0008-0000-0100-0000C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4" name="Group Box 194" hidden="1">
              <a:extLst>
                <a:ext uri="{63B3BB69-23CF-44E3-9099-C40C66FF867C}">
                  <a14:compatExt spid="_x0000_s235714"/>
                </a:ext>
                <a:ext uri="{FF2B5EF4-FFF2-40B4-BE49-F238E27FC236}">
                  <a16:creationId xmlns:a16="http://schemas.microsoft.com/office/drawing/2014/main" id="{00000000-0008-0000-0100-0000C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15" name="Group Box 195" hidden="1">
              <a:extLst>
                <a:ext uri="{63B3BB69-23CF-44E3-9099-C40C66FF867C}">
                  <a14:compatExt spid="_x0000_s235715"/>
                </a:ext>
                <a:ext uri="{FF2B5EF4-FFF2-40B4-BE49-F238E27FC236}">
                  <a16:creationId xmlns:a16="http://schemas.microsoft.com/office/drawing/2014/main" id="{00000000-0008-0000-0100-0000C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6" name="Group Box 196" hidden="1">
              <a:extLst>
                <a:ext uri="{63B3BB69-23CF-44E3-9099-C40C66FF867C}">
                  <a14:compatExt spid="_x0000_s235716"/>
                </a:ext>
                <a:ext uri="{FF2B5EF4-FFF2-40B4-BE49-F238E27FC236}">
                  <a16:creationId xmlns:a16="http://schemas.microsoft.com/office/drawing/2014/main" id="{00000000-0008-0000-0100-0000C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17" name="Group Box 197" hidden="1">
              <a:extLst>
                <a:ext uri="{63B3BB69-23CF-44E3-9099-C40C66FF867C}">
                  <a14:compatExt spid="_x0000_s235717"/>
                </a:ext>
                <a:ext uri="{FF2B5EF4-FFF2-40B4-BE49-F238E27FC236}">
                  <a16:creationId xmlns:a16="http://schemas.microsoft.com/office/drawing/2014/main" id="{00000000-0008-0000-0100-0000C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8" name="Group Box 198" hidden="1">
              <a:extLst>
                <a:ext uri="{63B3BB69-23CF-44E3-9099-C40C66FF867C}">
                  <a14:compatExt spid="_x0000_s235718"/>
                </a:ext>
                <a:ext uri="{FF2B5EF4-FFF2-40B4-BE49-F238E27FC236}">
                  <a16:creationId xmlns:a16="http://schemas.microsoft.com/office/drawing/2014/main" id="{00000000-0008-0000-0100-0000C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19" name="Group Box 199" hidden="1">
              <a:extLst>
                <a:ext uri="{63B3BB69-23CF-44E3-9099-C40C66FF867C}">
                  <a14:compatExt spid="_x0000_s235719"/>
                </a:ext>
                <a:ext uri="{FF2B5EF4-FFF2-40B4-BE49-F238E27FC236}">
                  <a16:creationId xmlns:a16="http://schemas.microsoft.com/office/drawing/2014/main" id="{00000000-0008-0000-0100-0000C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0" name="Group Box 200" hidden="1">
              <a:extLst>
                <a:ext uri="{63B3BB69-23CF-44E3-9099-C40C66FF867C}">
                  <a14:compatExt spid="_x0000_s235720"/>
                </a:ext>
                <a:ext uri="{FF2B5EF4-FFF2-40B4-BE49-F238E27FC236}">
                  <a16:creationId xmlns:a16="http://schemas.microsoft.com/office/drawing/2014/main" id="{00000000-0008-0000-0100-0000C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21" name="Group Box 201" hidden="1">
              <a:extLst>
                <a:ext uri="{63B3BB69-23CF-44E3-9099-C40C66FF867C}">
                  <a14:compatExt spid="_x0000_s235721"/>
                </a:ext>
                <a:ext uri="{FF2B5EF4-FFF2-40B4-BE49-F238E27FC236}">
                  <a16:creationId xmlns:a16="http://schemas.microsoft.com/office/drawing/2014/main" id="{00000000-0008-0000-0100-0000C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2" name="Group Box 202" hidden="1">
              <a:extLst>
                <a:ext uri="{63B3BB69-23CF-44E3-9099-C40C66FF867C}">
                  <a14:compatExt spid="_x0000_s235722"/>
                </a:ext>
                <a:ext uri="{FF2B5EF4-FFF2-40B4-BE49-F238E27FC236}">
                  <a16:creationId xmlns:a16="http://schemas.microsoft.com/office/drawing/2014/main" id="{00000000-0008-0000-0100-0000C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23" name="Group Box 203" hidden="1">
              <a:extLst>
                <a:ext uri="{63B3BB69-23CF-44E3-9099-C40C66FF867C}">
                  <a14:compatExt spid="_x0000_s235723"/>
                </a:ext>
                <a:ext uri="{FF2B5EF4-FFF2-40B4-BE49-F238E27FC236}">
                  <a16:creationId xmlns:a16="http://schemas.microsoft.com/office/drawing/2014/main" id="{00000000-0008-0000-0100-0000C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4" name="Group Box 204" hidden="1">
              <a:extLst>
                <a:ext uri="{63B3BB69-23CF-44E3-9099-C40C66FF867C}">
                  <a14:compatExt spid="_x0000_s235724"/>
                </a:ext>
                <a:ext uri="{FF2B5EF4-FFF2-40B4-BE49-F238E27FC236}">
                  <a16:creationId xmlns:a16="http://schemas.microsoft.com/office/drawing/2014/main" id="{00000000-0008-0000-0100-0000C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25" name="Group Box 205" hidden="1">
              <a:extLst>
                <a:ext uri="{63B3BB69-23CF-44E3-9099-C40C66FF867C}">
                  <a14:compatExt spid="_x0000_s235725"/>
                </a:ext>
                <a:ext uri="{FF2B5EF4-FFF2-40B4-BE49-F238E27FC236}">
                  <a16:creationId xmlns:a16="http://schemas.microsoft.com/office/drawing/2014/main" id="{00000000-0008-0000-0100-0000C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6" name="Group Box 206" hidden="1">
              <a:extLst>
                <a:ext uri="{63B3BB69-23CF-44E3-9099-C40C66FF867C}">
                  <a14:compatExt spid="_x0000_s235726"/>
                </a:ext>
                <a:ext uri="{FF2B5EF4-FFF2-40B4-BE49-F238E27FC236}">
                  <a16:creationId xmlns:a16="http://schemas.microsoft.com/office/drawing/2014/main" id="{00000000-0008-0000-0100-0000C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27" name="Group Box 207" hidden="1">
              <a:extLst>
                <a:ext uri="{63B3BB69-23CF-44E3-9099-C40C66FF867C}">
                  <a14:compatExt spid="_x0000_s235727"/>
                </a:ext>
                <a:ext uri="{FF2B5EF4-FFF2-40B4-BE49-F238E27FC236}">
                  <a16:creationId xmlns:a16="http://schemas.microsoft.com/office/drawing/2014/main" id="{00000000-0008-0000-0100-0000C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8" name="Group Box 208" hidden="1">
              <a:extLst>
                <a:ext uri="{63B3BB69-23CF-44E3-9099-C40C66FF867C}">
                  <a14:compatExt spid="_x0000_s235728"/>
                </a:ext>
                <a:ext uri="{FF2B5EF4-FFF2-40B4-BE49-F238E27FC236}">
                  <a16:creationId xmlns:a16="http://schemas.microsoft.com/office/drawing/2014/main" id="{00000000-0008-0000-0100-0000D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29" name="Group Box 209" hidden="1">
              <a:extLst>
                <a:ext uri="{63B3BB69-23CF-44E3-9099-C40C66FF867C}">
                  <a14:compatExt spid="_x0000_s235729"/>
                </a:ext>
                <a:ext uri="{FF2B5EF4-FFF2-40B4-BE49-F238E27FC236}">
                  <a16:creationId xmlns:a16="http://schemas.microsoft.com/office/drawing/2014/main" id="{00000000-0008-0000-0100-0000D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0" name="Group Box 210" hidden="1">
              <a:extLst>
                <a:ext uri="{63B3BB69-23CF-44E3-9099-C40C66FF867C}">
                  <a14:compatExt spid="_x0000_s235730"/>
                </a:ext>
                <a:ext uri="{FF2B5EF4-FFF2-40B4-BE49-F238E27FC236}">
                  <a16:creationId xmlns:a16="http://schemas.microsoft.com/office/drawing/2014/main" id="{00000000-0008-0000-0100-0000D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31" name="Group Box 211" hidden="1">
              <a:extLst>
                <a:ext uri="{63B3BB69-23CF-44E3-9099-C40C66FF867C}">
                  <a14:compatExt spid="_x0000_s235731"/>
                </a:ext>
                <a:ext uri="{FF2B5EF4-FFF2-40B4-BE49-F238E27FC236}">
                  <a16:creationId xmlns:a16="http://schemas.microsoft.com/office/drawing/2014/main" id="{00000000-0008-0000-0100-0000D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2" name="Group Box 212" hidden="1">
              <a:extLst>
                <a:ext uri="{63B3BB69-23CF-44E3-9099-C40C66FF867C}">
                  <a14:compatExt spid="_x0000_s235732"/>
                </a:ext>
                <a:ext uri="{FF2B5EF4-FFF2-40B4-BE49-F238E27FC236}">
                  <a16:creationId xmlns:a16="http://schemas.microsoft.com/office/drawing/2014/main" id="{00000000-0008-0000-0100-0000D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33" name="Group Box 213" hidden="1">
              <a:extLst>
                <a:ext uri="{63B3BB69-23CF-44E3-9099-C40C66FF867C}">
                  <a14:compatExt spid="_x0000_s235733"/>
                </a:ext>
                <a:ext uri="{FF2B5EF4-FFF2-40B4-BE49-F238E27FC236}">
                  <a16:creationId xmlns:a16="http://schemas.microsoft.com/office/drawing/2014/main" id="{00000000-0008-0000-0100-0000D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4" name="Group Box 214" hidden="1">
              <a:extLst>
                <a:ext uri="{63B3BB69-23CF-44E3-9099-C40C66FF867C}">
                  <a14:compatExt spid="_x0000_s235734"/>
                </a:ext>
                <a:ext uri="{FF2B5EF4-FFF2-40B4-BE49-F238E27FC236}">
                  <a16:creationId xmlns:a16="http://schemas.microsoft.com/office/drawing/2014/main" id="{00000000-0008-0000-0100-0000D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35" name="Group Box 215" hidden="1">
              <a:extLst>
                <a:ext uri="{63B3BB69-23CF-44E3-9099-C40C66FF867C}">
                  <a14:compatExt spid="_x0000_s235735"/>
                </a:ext>
                <a:ext uri="{FF2B5EF4-FFF2-40B4-BE49-F238E27FC236}">
                  <a16:creationId xmlns:a16="http://schemas.microsoft.com/office/drawing/2014/main" id="{00000000-0008-0000-0100-0000D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6" name="Group Box 216" hidden="1">
              <a:extLst>
                <a:ext uri="{63B3BB69-23CF-44E3-9099-C40C66FF867C}">
                  <a14:compatExt spid="_x0000_s235736"/>
                </a:ext>
                <a:ext uri="{FF2B5EF4-FFF2-40B4-BE49-F238E27FC236}">
                  <a16:creationId xmlns:a16="http://schemas.microsoft.com/office/drawing/2014/main" id="{00000000-0008-0000-0100-0000D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37" name="Group Box 217" hidden="1">
              <a:extLst>
                <a:ext uri="{63B3BB69-23CF-44E3-9099-C40C66FF867C}">
                  <a14:compatExt spid="_x0000_s235737"/>
                </a:ext>
                <a:ext uri="{FF2B5EF4-FFF2-40B4-BE49-F238E27FC236}">
                  <a16:creationId xmlns:a16="http://schemas.microsoft.com/office/drawing/2014/main" id="{00000000-0008-0000-0100-0000D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8" name="Group Box 218" hidden="1">
              <a:extLst>
                <a:ext uri="{63B3BB69-23CF-44E3-9099-C40C66FF867C}">
                  <a14:compatExt spid="_x0000_s235738"/>
                </a:ext>
                <a:ext uri="{FF2B5EF4-FFF2-40B4-BE49-F238E27FC236}">
                  <a16:creationId xmlns:a16="http://schemas.microsoft.com/office/drawing/2014/main" id="{00000000-0008-0000-0100-0000D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39" name="Group Box 219" hidden="1">
              <a:extLst>
                <a:ext uri="{63B3BB69-23CF-44E3-9099-C40C66FF867C}">
                  <a14:compatExt spid="_x0000_s235739"/>
                </a:ext>
                <a:ext uri="{FF2B5EF4-FFF2-40B4-BE49-F238E27FC236}">
                  <a16:creationId xmlns:a16="http://schemas.microsoft.com/office/drawing/2014/main" id="{00000000-0008-0000-0100-0000D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0" name="Group Box 220" hidden="1">
              <a:extLst>
                <a:ext uri="{63B3BB69-23CF-44E3-9099-C40C66FF867C}">
                  <a14:compatExt spid="_x0000_s235740"/>
                </a:ext>
                <a:ext uri="{FF2B5EF4-FFF2-40B4-BE49-F238E27FC236}">
                  <a16:creationId xmlns:a16="http://schemas.microsoft.com/office/drawing/2014/main" id="{00000000-0008-0000-0100-0000D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41" name="Group Box 221" hidden="1">
              <a:extLst>
                <a:ext uri="{63B3BB69-23CF-44E3-9099-C40C66FF867C}">
                  <a14:compatExt spid="_x0000_s235741"/>
                </a:ext>
                <a:ext uri="{FF2B5EF4-FFF2-40B4-BE49-F238E27FC236}">
                  <a16:creationId xmlns:a16="http://schemas.microsoft.com/office/drawing/2014/main" id="{00000000-0008-0000-0100-0000D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2" name="Group Box 222" hidden="1">
              <a:extLst>
                <a:ext uri="{63B3BB69-23CF-44E3-9099-C40C66FF867C}">
                  <a14:compatExt spid="_x0000_s235742"/>
                </a:ext>
                <a:ext uri="{FF2B5EF4-FFF2-40B4-BE49-F238E27FC236}">
                  <a16:creationId xmlns:a16="http://schemas.microsoft.com/office/drawing/2014/main" id="{00000000-0008-0000-0100-0000D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43" name="Group Box 223" hidden="1">
              <a:extLst>
                <a:ext uri="{63B3BB69-23CF-44E3-9099-C40C66FF867C}">
                  <a14:compatExt spid="_x0000_s235743"/>
                </a:ext>
                <a:ext uri="{FF2B5EF4-FFF2-40B4-BE49-F238E27FC236}">
                  <a16:creationId xmlns:a16="http://schemas.microsoft.com/office/drawing/2014/main" id="{00000000-0008-0000-0100-0000D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4" name="Group Box 224" hidden="1">
              <a:extLst>
                <a:ext uri="{63B3BB69-23CF-44E3-9099-C40C66FF867C}">
                  <a14:compatExt spid="_x0000_s235744"/>
                </a:ext>
                <a:ext uri="{FF2B5EF4-FFF2-40B4-BE49-F238E27FC236}">
                  <a16:creationId xmlns:a16="http://schemas.microsoft.com/office/drawing/2014/main" id="{00000000-0008-0000-0100-0000E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45" name="Group Box 225" hidden="1">
              <a:extLst>
                <a:ext uri="{63B3BB69-23CF-44E3-9099-C40C66FF867C}">
                  <a14:compatExt spid="_x0000_s235745"/>
                </a:ext>
                <a:ext uri="{FF2B5EF4-FFF2-40B4-BE49-F238E27FC236}">
                  <a16:creationId xmlns:a16="http://schemas.microsoft.com/office/drawing/2014/main" id="{00000000-0008-0000-0100-0000E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6" name="Group Box 226" hidden="1">
              <a:extLst>
                <a:ext uri="{63B3BB69-23CF-44E3-9099-C40C66FF867C}">
                  <a14:compatExt spid="_x0000_s235746"/>
                </a:ext>
                <a:ext uri="{FF2B5EF4-FFF2-40B4-BE49-F238E27FC236}">
                  <a16:creationId xmlns:a16="http://schemas.microsoft.com/office/drawing/2014/main" id="{00000000-0008-0000-0100-0000E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47" name="Group Box 227" hidden="1">
              <a:extLst>
                <a:ext uri="{63B3BB69-23CF-44E3-9099-C40C66FF867C}">
                  <a14:compatExt spid="_x0000_s235747"/>
                </a:ext>
                <a:ext uri="{FF2B5EF4-FFF2-40B4-BE49-F238E27FC236}">
                  <a16:creationId xmlns:a16="http://schemas.microsoft.com/office/drawing/2014/main" id="{00000000-0008-0000-0100-0000E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8" name="Group Box 228" hidden="1">
              <a:extLst>
                <a:ext uri="{63B3BB69-23CF-44E3-9099-C40C66FF867C}">
                  <a14:compatExt spid="_x0000_s235748"/>
                </a:ext>
                <a:ext uri="{FF2B5EF4-FFF2-40B4-BE49-F238E27FC236}">
                  <a16:creationId xmlns:a16="http://schemas.microsoft.com/office/drawing/2014/main" id="{00000000-0008-0000-0100-0000E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49" name="Group Box 229" hidden="1">
              <a:extLst>
                <a:ext uri="{63B3BB69-23CF-44E3-9099-C40C66FF867C}">
                  <a14:compatExt spid="_x0000_s235749"/>
                </a:ext>
                <a:ext uri="{FF2B5EF4-FFF2-40B4-BE49-F238E27FC236}">
                  <a16:creationId xmlns:a16="http://schemas.microsoft.com/office/drawing/2014/main" id="{00000000-0008-0000-0100-0000E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0" name="Group Box 230" hidden="1">
              <a:extLst>
                <a:ext uri="{63B3BB69-23CF-44E3-9099-C40C66FF867C}">
                  <a14:compatExt spid="_x0000_s235750"/>
                </a:ext>
                <a:ext uri="{FF2B5EF4-FFF2-40B4-BE49-F238E27FC236}">
                  <a16:creationId xmlns:a16="http://schemas.microsoft.com/office/drawing/2014/main" id="{00000000-0008-0000-0100-0000E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51" name="Group Box 231" hidden="1">
              <a:extLst>
                <a:ext uri="{63B3BB69-23CF-44E3-9099-C40C66FF867C}">
                  <a14:compatExt spid="_x0000_s235751"/>
                </a:ext>
                <a:ext uri="{FF2B5EF4-FFF2-40B4-BE49-F238E27FC236}">
                  <a16:creationId xmlns:a16="http://schemas.microsoft.com/office/drawing/2014/main" id="{00000000-0008-0000-0100-0000E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2" name="Group Box 232" hidden="1">
              <a:extLst>
                <a:ext uri="{63B3BB69-23CF-44E3-9099-C40C66FF867C}">
                  <a14:compatExt spid="_x0000_s235752"/>
                </a:ext>
                <a:ext uri="{FF2B5EF4-FFF2-40B4-BE49-F238E27FC236}">
                  <a16:creationId xmlns:a16="http://schemas.microsoft.com/office/drawing/2014/main" id="{00000000-0008-0000-0100-0000E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53" name="Group Box 233" hidden="1">
              <a:extLst>
                <a:ext uri="{63B3BB69-23CF-44E3-9099-C40C66FF867C}">
                  <a14:compatExt spid="_x0000_s235753"/>
                </a:ext>
                <a:ext uri="{FF2B5EF4-FFF2-40B4-BE49-F238E27FC236}">
                  <a16:creationId xmlns:a16="http://schemas.microsoft.com/office/drawing/2014/main" id="{00000000-0008-0000-0100-0000E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4" name="Group Box 234" hidden="1">
              <a:extLst>
                <a:ext uri="{63B3BB69-23CF-44E3-9099-C40C66FF867C}">
                  <a14:compatExt spid="_x0000_s235754"/>
                </a:ext>
                <a:ext uri="{FF2B5EF4-FFF2-40B4-BE49-F238E27FC236}">
                  <a16:creationId xmlns:a16="http://schemas.microsoft.com/office/drawing/2014/main" id="{00000000-0008-0000-0100-0000E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55" name="Group Box 235" hidden="1">
              <a:extLst>
                <a:ext uri="{63B3BB69-23CF-44E3-9099-C40C66FF867C}">
                  <a14:compatExt spid="_x0000_s235755"/>
                </a:ext>
                <a:ext uri="{FF2B5EF4-FFF2-40B4-BE49-F238E27FC236}">
                  <a16:creationId xmlns:a16="http://schemas.microsoft.com/office/drawing/2014/main" id="{00000000-0008-0000-0100-0000E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6" name="Group Box 236" hidden="1">
              <a:extLst>
                <a:ext uri="{63B3BB69-23CF-44E3-9099-C40C66FF867C}">
                  <a14:compatExt spid="_x0000_s235756"/>
                </a:ext>
                <a:ext uri="{FF2B5EF4-FFF2-40B4-BE49-F238E27FC236}">
                  <a16:creationId xmlns:a16="http://schemas.microsoft.com/office/drawing/2014/main" id="{00000000-0008-0000-0100-0000E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57" name="Group Box 237" hidden="1">
              <a:extLst>
                <a:ext uri="{63B3BB69-23CF-44E3-9099-C40C66FF867C}">
                  <a14:compatExt spid="_x0000_s235757"/>
                </a:ext>
                <a:ext uri="{FF2B5EF4-FFF2-40B4-BE49-F238E27FC236}">
                  <a16:creationId xmlns:a16="http://schemas.microsoft.com/office/drawing/2014/main" id="{00000000-0008-0000-0100-0000E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8" name="Group Box 238" hidden="1">
              <a:extLst>
                <a:ext uri="{63B3BB69-23CF-44E3-9099-C40C66FF867C}">
                  <a14:compatExt spid="_x0000_s235758"/>
                </a:ext>
                <a:ext uri="{FF2B5EF4-FFF2-40B4-BE49-F238E27FC236}">
                  <a16:creationId xmlns:a16="http://schemas.microsoft.com/office/drawing/2014/main" id="{00000000-0008-0000-0100-0000E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59" name="Group Box 239" hidden="1">
              <a:extLst>
                <a:ext uri="{63B3BB69-23CF-44E3-9099-C40C66FF867C}">
                  <a14:compatExt spid="_x0000_s235759"/>
                </a:ext>
                <a:ext uri="{FF2B5EF4-FFF2-40B4-BE49-F238E27FC236}">
                  <a16:creationId xmlns:a16="http://schemas.microsoft.com/office/drawing/2014/main" id="{00000000-0008-0000-0100-0000E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0" name="Group Box 240" hidden="1">
              <a:extLst>
                <a:ext uri="{63B3BB69-23CF-44E3-9099-C40C66FF867C}">
                  <a14:compatExt spid="_x0000_s235760"/>
                </a:ext>
                <a:ext uri="{FF2B5EF4-FFF2-40B4-BE49-F238E27FC236}">
                  <a16:creationId xmlns:a16="http://schemas.microsoft.com/office/drawing/2014/main" id="{00000000-0008-0000-0100-0000F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61" name="Group Box 241" hidden="1">
              <a:extLst>
                <a:ext uri="{63B3BB69-23CF-44E3-9099-C40C66FF867C}">
                  <a14:compatExt spid="_x0000_s235761"/>
                </a:ext>
                <a:ext uri="{FF2B5EF4-FFF2-40B4-BE49-F238E27FC236}">
                  <a16:creationId xmlns:a16="http://schemas.microsoft.com/office/drawing/2014/main" id="{00000000-0008-0000-0100-0000F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2" name="Group Box 242" hidden="1">
              <a:extLst>
                <a:ext uri="{63B3BB69-23CF-44E3-9099-C40C66FF867C}">
                  <a14:compatExt spid="_x0000_s235762"/>
                </a:ext>
                <a:ext uri="{FF2B5EF4-FFF2-40B4-BE49-F238E27FC236}">
                  <a16:creationId xmlns:a16="http://schemas.microsoft.com/office/drawing/2014/main" id="{00000000-0008-0000-0100-0000F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63" name="Group Box 243" hidden="1">
              <a:extLst>
                <a:ext uri="{63B3BB69-23CF-44E3-9099-C40C66FF867C}">
                  <a14:compatExt spid="_x0000_s235763"/>
                </a:ext>
                <a:ext uri="{FF2B5EF4-FFF2-40B4-BE49-F238E27FC236}">
                  <a16:creationId xmlns:a16="http://schemas.microsoft.com/office/drawing/2014/main" id="{00000000-0008-0000-0100-0000F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4" name="Group Box 244" hidden="1">
              <a:extLst>
                <a:ext uri="{63B3BB69-23CF-44E3-9099-C40C66FF867C}">
                  <a14:compatExt spid="_x0000_s235764"/>
                </a:ext>
                <a:ext uri="{FF2B5EF4-FFF2-40B4-BE49-F238E27FC236}">
                  <a16:creationId xmlns:a16="http://schemas.microsoft.com/office/drawing/2014/main" id="{00000000-0008-0000-0100-0000F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65" name="Group Box 245" hidden="1">
              <a:extLst>
                <a:ext uri="{63B3BB69-23CF-44E3-9099-C40C66FF867C}">
                  <a14:compatExt spid="_x0000_s235765"/>
                </a:ext>
                <a:ext uri="{FF2B5EF4-FFF2-40B4-BE49-F238E27FC236}">
                  <a16:creationId xmlns:a16="http://schemas.microsoft.com/office/drawing/2014/main" id="{00000000-0008-0000-0100-0000F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6" name="Group Box 246" hidden="1">
              <a:extLst>
                <a:ext uri="{63B3BB69-23CF-44E3-9099-C40C66FF867C}">
                  <a14:compatExt spid="_x0000_s235766"/>
                </a:ext>
                <a:ext uri="{FF2B5EF4-FFF2-40B4-BE49-F238E27FC236}">
                  <a16:creationId xmlns:a16="http://schemas.microsoft.com/office/drawing/2014/main" id="{00000000-0008-0000-0100-0000F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67" name="Group Box 247" hidden="1">
              <a:extLst>
                <a:ext uri="{63B3BB69-23CF-44E3-9099-C40C66FF867C}">
                  <a14:compatExt spid="_x0000_s235767"/>
                </a:ext>
                <a:ext uri="{FF2B5EF4-FFF2-40B4-BE49-F238E27FC236}">
                  <a16:creationId xmlns:a16="http://schemas.microsoft.com/office/drawing/2014/main" id="{00000000-0008-0000-0100-0000F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8" name="Group Box 248" hidden="1">
              <a:extLst>
                <a:ext uri="{63B3BB69-23CF-44E3-9099-C40C66FF867C}">
                  <a14:compatExt spid="_x0000_s235768"/>
                </a:ext>
                <a:ext uri="{FF2B5EF4-FFF2-40B4-BE49-F238E27FC236}">
                  <a16:creationId xmlns:a16="http://schemas.microsoft.com/office/drawing/2014/main" id="{00000000-0008-0000-0100-0000F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69" name="Group Box 249" hidden="1">
              <a:extLst>
                <a:ext uri="{63B3BB69-23CF-44E3-9099-C40C66FF867C}">
                  <a14:compatExt spid="_x0000_s235769"/>
                </a:ext>
                <a:ext uri="{FF2B5EF4-FFF2-40B4-BE49-F238E27FC236}">
                  <a16:creationId xmlns:a16="http://schemas.microsoft.com/office/drawing/2014/main" id="{00000000-0008-0000-0100-0000F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70" name="Group Box 250" hidden="1">
              <a:extLst>
                <a:ext uri="{63B3BB69-23CF-44E3-9099-C40C66FF867C}">
                  <a14:compatExt spid="_x0000_s235770"/>
                </a:ext>
                <a:ext uri="{FF2B5EF4-FFF2-40B4-BE49-F238E27FC236}">
                  <a16:creationId xmlns:a16="http://schemas.microsoft.com/office/drawing/2014/main" id="{00000000-0008-0000-0100-0000F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71" name="Group Box 251" hidden="1">
              <a:extLst>
                <a:ext uri="{63B3BB69-23CF-44E3-9099-C40C66FF867C}">
                  <a14:compatExt spid="_x0000_s235771"/>
                </a:ext>
                <a:ext uri="{FF2B5EF4-FFF2-40B4-BE49-F238E27FC236}">
                  <a16:creationId xmlns:a16="http://schemas.microsoft.com/office/drawing/2014/main" id="{00000000-0008-0000-0100-0000F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72" name="Group Box 252" hidden="1">
              <a:extLst>
                <a:ext uri="{63B3BB69-23CF-44E3-9099-C40C66FF867C}">
                  <a14:compatExt spid="_x0000_s235772"/>
                </a:ext>
                <a:ext uri="{FF2B5EF4-FFF2-40B4-BE49-F238E27FC236}">
                  <a16:creationId xmlns:a16="http://schemas.microsoft.com/office/drawing/2014/main" id="{00000000-0008-0000-0100-0000F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73" name="Group Box 253" hidden="1">
              <a:extLst>
                <a:ext uri="{63B3BB69-23CF-44E3-9099-C40C66FF867C}">
                  <a14:compatExt spid="_x0000_s235773"/>
                </a:ext>
                <a:ext uri="{FF2B5EF4-FFF2-40B4-BE49-F238E27FC236}">
                  <a16:creationId xmlns:a16="http://schemas.microsoft.com/office/drawing/2014/main" id="{00000000-0008-0000-0100-0000F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74" name="Group Box 254" hidden="1">
              <a:extLst>
                <a:ext uri="{63B3BB69-23CF-44E3-9099-C40C66FF867C}">
                  <a14:compatExt spid="_x0000_s235774"/>
                </a:ext>
                <a:ext uri="{FF2B5EF4-FFF2-40B4-BE49-F238E27FC236}">
                  <a16:creationId xmlns:a16="http://schemas.microsoft.com/office/drawing/2014/main" id="{00000000-0008-0000-0100-0000F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876300</xdr:colOff>
      <xdr:row>0</xdr:row>
      <xdr:rowOff>0</xdr:rowOff>
    </xdr:from>
    <xdr:to>
      <xdr:col>16</xdr:col>
      <xdr:colOff>35558</xdr:colOff>
      <xdr:row>3</xdr:row>
      <xdr:rowOff>3490</xdr:rowOff>
    </xdr:to>
    <xdr:pic>
      <xdr:nvPicPr>
        <xdr:cNvPr id="5" name="Image 4" descr="https://www.energir.com/~/media/Files/Corporatif/Logos/Energir_2C_PNG.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0"/>
          <a:ext cx="2016758" cy="755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xdr:col>
          <xdr:colOff>1965960</xdr:colOff>
          <xdr:row>45</xdr:row>
          <xdr:rowOff>76200</xdr:rowOff>
        </xdr:from>
        <xdr:to>
          <xdr:col>16</xdr:col>
          <xdr:colOff>190500</xdr:colOff>
          <xdr:row>47</xdr:row>
          <xdr:rowOff>15240</xdr:rowOff>
        </xdr:to>
        <xdr:sp macro="" textlink="">
          <xdr:nvSpPr>
            <xdr:cNvPr id="235775" name="Check Box 255" hidden="1">
              <a:extLst>
                <a:ext uri="{63B3BB69-23CF-44E3-9099-C40C66FF867C}">
                  <a14:compatExt spid="_x0000_s235775"/>
                </a:ext>
                <a:ext uri="{FF2B5EF4-FFF2-40B4-BE49-F238E27FC236}">
                  <a16:creationId xmlns:a16="http://schemas.microsoft.com/office/drawing/2014/main" id="{00000000-0008-0000-0100-0000FF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1123950</xdr:colOff>
      <xdr:row>0</xdr:row>
      <xdr:rowOff>57150</xdr:rowOff>
    </xdr:from>
    <xdr:to>
      <xdr:col>11</xdr:col>
      <xdr:colOff>283208</xdr:colOff>
      <xdr:row>3</xdr:row>
      <xdr:rowOff>41590</xdr:rowOff>
    </xdr:to>
    <xdr:pic>
      <xdr:nvPicPr>
        <xdr:cNvPr id="3" name="Image 2" descr="https://www.energir.com/~/media/Files/Corporatif/Logos/Energir_2C_PNG.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35525" y="57150"/>
          <a:ext cx="2016758" cy="755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602796</xdr:colOff>
      <xdr:row>0</xdr:row>
      <xdr:rowOff>102054</xdr:rowOff>
    </xdr:from>
    <xdr:to>
      <xdr:col>25</xdr:col>
      <xdr:colOff>143948</xdr:colOff>
      <xdr:row>4</xdr:row>
      <xdr:rowOff>14177</xdr:rowOff>
    </xdr:to>
    <xdr:pic>
      <xdr:nvPicPr>
        <xdr:cNvPr id="2" name="Image 1" descr="https://www.energir.com/~/media/Files/Corporatif/Logos/Energir_2C_PNG.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29521" y="102054"/>
          <a:ext cx="2198627" cy="769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2115</xdr:colOff>
      <xdr:row>17</xdr:row>
      <xdr:rowOff>48685</xdr:rowOff>
    </xdr:from>
    <xdr:to>
      <xdr:col>4</xdr:col>
      <xdr:colOff>1874115</xdr:colOff>
      <xdr:row>19</xdr:row>
      <xdr:rowOff>968</xdr:rowOff>
    </xdr:to>
    <xdr:sp macro="" textlink="">
      <xdr:nvSpPr>
        <xdr:cNvPr id="3" name="Rectangle : coins arrondis 2">
          <a:hlinkClick xmlns:r="http://schemas.openxmlformats.org/officeDocument/2006/relationships" r:id="rId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SpPr/>
      </xdr:nvSpPr>
      <xdr:spPr>
        <a:xfrm>
          <a:off x="3345390" y="4211110"/>
          <a:ext cx="1872000" cy="266608"/>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aseline="0">
              <a:solidFill>
                <a:schemeClr val="tx1"/>
              </a:solidFill>
            </a:rPr>
            <a:t>3b. Calculator- EEM 1 </a:t>
          </a:r>
          <a:endParaRPr lang="fr-CA" sz="1100">
            <a:solidFill>
              <a:schemeClr val="tx1"/>
            </a:solidFill>
          </a:endParaRPr>
        </a:p>
      </xdr:txBody>
    </xdr:sp>
    <xdr:clientData/>
  </xdr:twoCellAnchor>
  <xdr:twoCellAnchor>
    <xdr:from>
      <xdr:col>4</xdr:col>
      <xdr:colOff>2115</xdr:colOff>
      <xdr:row>19</xdr:row>
      <xdr:rowOff>48684</xdr:rowOff>
    </xdr:from>
    <xdr:to>
      <xdr:col>4</xdr:col>
      <xdr:colOff>1874115</xdr:colOff>
      <xdr:row>21</xdr:row>
      <xdr:rowOff>1</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SpPr/>
      </xdr:nvSpPr>
      <xdr:spPr>
        <a:xfrm>
          <a:off x="3345390" y="4525434"/>
          <a:ext cx="1872000" cy="265642"/>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aseline="0">
              <a:solidFill>
                <a:schemeClr val="tx1"/>
              </a:solidFill>
            </a:rPr>
            <a:t>3c. Calculator - EEM 2-3 </a:t>
          </a:r>
          <a:endParaRPr lang="fr-CA" sz="1100">
            <a:solidFill>
              <a:schemeClr val="tx1"/>
            </a:solidFill>
          </a:endParaRPr>
        </a:p>
      </xdr:txBody>
    </xdr:sp>
    <xdr:clientData/>
  </xdr:twoCellAnchor>
  <xdr:twoCellAnchor>
    <xdr:from>
      <xdr:col>4</xdr:col>
      <xdr:colOff>2115</xdr:colOff>
      <xdr:row>21</xdr:row>
      <xdr:rowOff>38101</xdr:rowOff>
    </xdr:from>
    <xdr:to>
      <xdr:col>4</xdr:col>
      <xdr:colOff>1874115</xdr:colOff>
      <xdr:row>22</xdr:row>
      <xdr:rowOff>243417</xdr:rowOff>
    </xdr:to>
    <xdr:sp macro="" textlink="">
      <xdr:nvSpPr>
        <xdr:cNvPr id="5" name="Rectangle : coins arrondis 4">
          <a:hlinkClick xmlns:r="http://schemas.openxmlformats.org/officeDocument/2006/relationships" r:id="rId3"/>
          <a:extLst>
            <a:ext uri="{FF2B5EF4-FFF2-40B4-BE49-F238E27FC236}">
              <a16:creationId xmlns:a16="http://schemas.microsoft.com/office/drawing/2014/main" id="{00000000-0008-0000-0300-000005000000}"/>
            </a:ext>
            <a:ext uri="{C183D7F6-B498-43B3-948B-1728B52AA6E4}">
              <adec:decorative xmlns:adec="http://schemas.microsoft.com/office/drawing/2017/decorative" val="1"/>
            </a:ext>
          </a:extLst>
        </xdr:cNvPr>
        <xdr:cNvSpPr/>
      </xdr:nvSpPr>
      <xdr:spPr>
        <a:xfrm>
          <a:off x="3345390" y="4829176"/>
          <a:ext cx="1872000" cy="262466"/>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aseline="0">
              <a:solidFill>
                <a:sysClr val="windowText" lastClr="000000"/>
              </a:solidFill>
              <a:effectLst/>
              <a:latin typeface="+mn-lt"/>
              <a:ea typeface="+mn-ea"/>
              <a:cs typeface="+mn-cs"/>
            </a:rPr>
            <a:t>3c. Calculator - EEM 2-3</a:t>
          </a:r>
          <a:endParaRPr lang="fr-CA">
            <a:solidFill>
              <a:sysClr val="windowText" lastClr="000000"/>
            </a:solidFill>
            <a:effectLst/>
          </a:endParaRPr>
        </a:p>
      </xdr:txBody>
    </xdr:sp>
    <xdr:clientData/>
  </xdr:twoCellAnchor>
  <xdr:twoCellAnchor>
    <xdr:from>
      <xdr:col>1</xdr:col>
      <xdr:colOff>33621</xdr:colOff>
      <xdr:row>13</xdr:row>
      <xdr:rowOff>179296</xdr:rowOff>
    </xdr:from>
    <xdr:to>
      <xdr:col>1</xdr:col>
      <xdr:colOff>274338</xdr:colOff>
      <xdr:row>15</xdr:row>
      <xdr:rowOff>22461</xdr:rowOff>
    </xdr:to>
    <xdr:sp macro="" textlink="">
      <xdr:nvSpPr>
        <xdr:cNvPr id="7" name="Ellipse 6">
          <a:extLst>
            <a:ext uri="{FF2B5EF4-FFF2-40B4-BE49-F238E27FC236}">
              <a16:creationId xmlns:a16="http://schemas.microsoft.com/office/drawing/2014/main" id="{00000000-0008-0000-0300-000007000000}"/>
            </a:ext>
          </a:extLst>
        </xdr:cNvPr>
        <xdr:cNvSpPr>
          <a:spLocks noChangeAspect="1"/>
        </xdr:cNvSpPr>
      </xdr:nvSpPr>
      <xdr:spPr>
        <a:xfrm>
          <a:off x="319371" y="3389221"/>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1</a:t>
          </a:r>
        </a:p>
      </xdr:txBody>
    </xdr:sp>
    <xdr:clientData/>
  </xdr:twoCellAnchor>
  <xdr:twoCellAnchor>
    <xdr:from>
      <xdr:col>1</xdr:col>
      <xdr:colOff>40344</xdr:colOff>
      <xdr:row>29</xdr:row>
      <xdr:rowOff>73961</xdr:rowOff>
    </xdr:from>
    <xdr:to>
      <xdr:col>1</xdr:col>
      <xdr:colOff>281061</xdr:colOff>
      <xdr:row>30</xdr:row>
      <xdr:rowOff>107626</xdr:rowOff>
    </xdr:to>
    <xdr:sp macro="" textlink="">
      <xdr:nvSpPr>
        <xdr:cNvPr id="8" name="Ellipse 7">
          <a:extLst>
            <a:ext uri="{FF2B5EF4-FFF2-40B4-BE49-F238E27FC236}">
              <a16:creationId xmlns:a16="http://schemas.microsoft.com/office/drawing/2014/main" id="{00000000-0008-0000-0300-000008000000}"/>
            </a:ext>
          </a:extLst>
        </xdr:cNvPr>
        <xdr:cNvSpPr>
          <a:spLocks noChangeAspect="1"/>
        </xdr:cNvSpPr>
      </xdr:nvSpPr>
      <xdr:spPr>
        <a:xfrm>
          <a:off x="326094" y="6455711"/>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2</a:t>
          </a:r>
        </a:p>
      </xdr:txBody>
    </xdr:sp>
    <xdr:clientData/>
  </xdr:twoCellAnchor>
  <xdr:twoCellAnchor>
    <xdr:from>
      <xdr:col>1</xdr:col>
      <xdr:colOff>169692</xdr:colOff>
      <xdr:row>39</xdr:row>
      <xdr:rowOff>56030</xdr:rowOff>
    </xdr:from>
    <xdr:to>
      <xdr:col>9</xdr:col>
      <xdr:colOff>414618</xdr:colOff>
      <xdr:row>72</xdr:row>
      <xdr:rowOff>44824</xdr:rowOff>
    </xdr:to>
    <xdr:grpSp>
      <xdr:nvGrpSpPr>
        <xdr:cNvPr id="9" name="Groupe 8">
          <a:extLst>
            <a:ext uri="{FF2B5EF4-FFF2-40B4-BE49-F238E27FC236}">
              <a16:creationId xmlns:a16="http://schemas.microsoft.com/office/drawing/2014/main" id="{00000000-0008-0000-0300-000009000000}"/>
            </a:ext>
          </a:extLst>
        </xdr:cNvPr>
        <xdr:cNvGrpSpPr/>
      </xdr:nvGrpSpPr>
      <xdr:grpSpPr>
        <a:xfrm>
          <a:off x="459252" y="7346465"/>
          <a:ext cx="13336086" cy="6025739"/>
          <a:chOff x="468605" y="8550089"/>
          <a:chExt cx="14311955" cy="7519147"/>
        </a:xfrm>
      </xdr:grpSpPr>
      <xdr:grpSp>
        <xdr:nvGrpSpPr>
          <xdr:cNvPr id="10" name="Groupe 9">
            <a:extLst>
              <a:ext uri="{FF2B5EF4-FFF2-40B4-BE49-F238E27FC236}">
                <a16:creationId xmlns:a16="http://schemas.microsoft.com/office/drawing/2014/main" id="{00000000-0008-0000-0300-00000A000000}"/>
              </a:ext>
            </a:extLst>
          </xdr:cNvPr>
          <xdr:cNvGrpSpPr/>
        </xdr:nvGrpSpPr>
        <xdr:grpSpPr>
          <a:xfrm>
            <a:off x="468605" y="8550089"/>
            <a:ext cx="14311955" cy="7519147"/>
            <a:chOff x="300516" y="8090647"/>
            <a:chExt cx="14311955" cy="7519147"/>
          </a:xfrm>
        </xdr:grpSpPr>
        <xdr:grpSp>
          <xdr:nvGrpSpPr>
            <xdr:cNvPr id="12" name="Groupe 11">
              <a:extLst>
                <a:ext uri="{FF2B5EF4-FFF2-40B4-BE49-F238E27FC236}">
                  <a16:creationId xmlns:a16="http://schemas.microsoft.com/office/drawing/2014/main" id="{00000000-0008-0000-0300-00000C000000}"/>
                </a:ext>
              </a:extLst>
            </xdr:cNvPr>
            <xdr:cNvGrpSpPr/>
          </xdr:nvGrpSpPr>
          <xdr:grpSpPr>
            <a:xfrm>
              <a:off x="300516" y="8157884"/>
              <a:ext cx="13942161" cy="7295027"/>
              <a:chOff x="300516" y="8157884"/>
              <a:chExt cx="13942161" cy="7295027"/>
            </a:xfrm>
          </xdr:grpSpPr>
          <xdr:grpSp>
            <xdr:nvGrpSpPr>
              <xdr:cNvPr id="14" name="Groupe 13">
                <a:extLst>
                  <a:ext uri="{FF2B5EF4-FFF2-40B4-BE49-F238E27FC236}">
                    <a16:creationId xmlns:a16="http://schemas.microsoft.com/office/drawing/2014/main" id="{00000000-0008-0000-0300-00000E000000}"/>
                  </a:ext>
                </a:extLst>
              </xdr:cNvPr>
              <xdr:cNvGrpSpPr/>
            </xdr:nvGrpSpPr>
            <xdr:grpSpPr>
              <a:xfrm>
                <a:off x="300516" y="8157884"/>
                <a:ext cx="13942161" cy="7295027"/>
                <a:chOff x="535839" y="8841442"/>
                <a:chExt cx="13942161" cy="7295027"/>
              </a:xfrm>
            </xdr:grpSpPr>
            <xdr:sp macro="" textlink="">
              <xdr:nvSpPr>
                <xdr:cNvPr id="16" name="Line 13">
                  <a:extLst>
                    <a:ext uri="{FF2B5EF4-FFF2-40B4-BE49-F238E27FC236}">
                      <a16:creationId xmlns:a16="http://schemas.microsoft.com/office/drawing/2014/main" id="{00000000-0008-0000-0300-000010000000}"/>
                    </a:ext>
                  </a:extLst>
                </xdr:cNvPr>
                <xdr:cNvSpPr>
                  <a:spLocks noChangeShapeType="1"/>
                </xdr:cNvSpPr>
              </xdr:nvSpPr>
              <xdr:spPr bwMode="auto">
                <a:xfrm>
                  <a:off x="2420471" y="9244853"/>
                  <a:ext cx="15522" cy="4273366"/>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7" name="Groupe 16">
                  <a:extLst>
                    <a:ext uri="{FF2B5EF4-FFF2-40B4-BE49-F238E27FC236}">
                      <a16:creationId xmlns:a16="http://schemas.microsoft.com/office/drawing/2014/main" id="{00000000-0008-0000-0300-000011000000}"/>
                    </a:ext>
                  </a:extLst>
                </xdr:cNvPr>
                <xdr:cNvGrpSpPr/>
              </xdr:nvGrpSpPr>
              <xdr:grpSpPr>
                <a:xfrm>
                  <a:off x="535839" y="8841442"/>
                  <a:ext cx="13942161" cy="7295027"/>
                  <a:chOff x="535839" y="8841442"/>
                  <a:chExt cx="13942161" cy="7295027"/>
                </a:xfrm>
              </xdr:grpSpPr>
              <xdr:grpSp>
                <xdr:nvGrpSpPr>
                  <xdr:cNvPr id="24" name="Groupe 23">
                    <a:extLst>
                      <a:ext uri="{FF2B5EF4-FFF2-40B4-BE49-F238E27FC236}">
                        <a16:creationId xmlns:a16="http://schemas.microsoft.com/office/drawing/2014/main" id="{00000000-0008-0000-0300-000018000000}"/>
                      </a:ext>
                    </a:extLst>
                  </xdr:cNvPr>
                  <xdr:cNvGrpSpPr/>
                </xdr:nvGrpSpPr>
                <xdr:grpSpPr>
                  <a:xfrm>
                    <a:off x="535839" y="9177618"/>
                    <a:ext cx="13942161" cy="6958851"/>
                    <a:chOff x="222659" y="-148084"/>
                    <a:chExt cx="11865713" cy="5382333"/>
                  </a:xfrm>
                </xdr:grpSpPr>
                <xdr:grpSp>
                  <xdr:nvGrpSpPr>
                    <xdr:cNvPr id="25" name="Groupe 24">
                      <a:extLst>
                        <a:ext uri="{FF2B5EF4-FFF2-40B4-BE49-F238E27FC236}">
                          <a16:creationId xmlns:a16="http://schemas.microsoft.com/office/drawing/2014/main" id="{00000000-0008-0000-0300-000019000000}"/>
                        </a:ext>
                      </a:extLst>
                    </xdr:cNvPr>
                    <xdr:cNvGrpSpPr/>
                  </xdr:nvGrpSpPr>
                  <xdr:grpSpPr>
                    <a:xfrm>
                      <a:off x="222659" y="-148084"/>
                      <a:ext cx="11865713" cy="5382331"/>
                      <a:chOff x="222659" y="-148084"/>
                      <a:chExt cx="11865713" cy="5382331"/>
                    </a:xfrm>
                  </xdr:grpSpPr>
                  <xdr:grpSp>
                    <xdr:nvGrpSpPr>
                      <xdr:cNvPr id="27" name="Groupe 26">
                        <a:extLst>
                          <a:ext uri="{FF2B5EF4-FFF2-40B4-BE49-F238E27FC236}">
                            <a16:creationId xmlns:a16="http://schemas.microsoft.com/office/drawing/2014/main" id="{00000000-0008-0000-0300-00001B000000}"/>
                          </a:ext>
                        </a:extLst>
                      </xdr:cNvPr>
                      <xdr:cNvGrpSpPr/>
                    </xdr:nvGrpSpPr>
                    <xdr:grpSpPr>
                      <a:xfrm>
                        <a:off x="222659" y="458655"/>
                        <a:ext cx="4256776" cy="4624450"/>
                        <a:chOff x="66217" y="278971"/>
                        <a:chExt cx="6322444" cy="6332786"/>
                      </a:xfrm>
                    </xdr:grpSpPr>
                    <xdr:sp macro="" textlink="">
                      <xdr:nvSpPr>
                        <xdr:cNvPr id="91" name="Text Box 60">
                          <a:extLst>
                            <a:ext uri="{FF2B5EF4-FFF2-40B4-BE49-F238E27FC236}">
                              <a16:creationId xmlns:a16="http://schemas.microsoft.com/office/drawing/2014/main" id="{00000000-0008-0000-0300-00005B0000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Natural Gas</a:t>
                          </a:r>
                        </a:p>
                      </xdr:txBody>
                    </xdr:sp>
                    <xdr:grpSp>
                      <xdr:nvGrpSpPr>
                        <xdr:cNvPr id="92" name="Groupe 91">
                          <a:extLst>
                            <a:ext uri="{FF2B5EF4-FFF2-40B4-BE49-F238E27FC236}">
                              <a16:creationId xmlns:a16="http://schemas.microsoft.com/office/drawing/2014/main" id="{00000000-0008-0000-0300-00005C000000}"/>
                            </a:ext>
                          </a:extLst>
                        </xdr:cNvPr>
                        <xdr:cNvGrpSpPr/>
                      </xdr:nvGrpSpPr>
                      <xdr:grpSpPr>
                        <a:xfrm>
                          <a:off x="66217" y="278971"/>
                          <a:ext cx="6322444" cy="6332786"/>
                          <a:chOff x="66217" y="278971"/>
                          <a:chExt cx="6322444" cy="6332786"/>
                        </a:xfrm>
                      </xdr:grpSpPr>
                      <xdr:sp macro="" textlink="">
                        <xdr:nvSpPr>
                          <xdr:cNvPr id="93" name="ZoneTexte 92">
                            <a:extLst>
                              <a:ext uri="{FF2B5EF4-FFF2-40B4-BE49-F238E27FC236}">
                                <a16:creationId xmlns:a16="http://schemas.microsoft.com/office/drawing/2014/main" id="{00000000-0008-0000-0300-00005D000000}"/>
                              </a:ext>
                            </a:extLst>
                          </xdr:cNvPr>
                          <xdr:cNvSpPr txBox="1"/>
                        </xdr:nvSpPr>
                        <xdr:spPr>
                          <a:xfrm>
                            <a:off x="66217" y="3729229"/>
                            <a:ext cx="1278273"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radiation and convection losses</a:t>
                            </a:r>
                          </a:p>
                        </xdr:txBody>
                      </xdr:sp>
                      <xdr:grpSp>
                        <xdr:nvGrpSpPr>
                          <xdr:cNvPr id="96" name="Groupe 95">
                            <a:extLst>
                              <a:ext uri="{FF2B5EF4-FFF2-40B4-BE49-F238E27FC236}">
                                <a16:creationId xmlns:a16="http://schemas.microsoft.com/office/drawing/2014/main" id="{00000000-0008-0000-0300-000060000000}"/>
                              </a:ext>
                            </a:extLst>
                          </xdr:cNvPr>
                          <xdr:cNvGrpSpPr/>
                        </xdr:nvGrpSpPr>
                        <xdr:grpSpPr>
                          <a:xfrm>
                            <a:off x="1181096" y="278971"/>
                            <a:ext cx="5207565" cy="6332786"/>
                            <a:chOff x="1181096" y="278971"/>
                            <a:chExt cx="5207565" cy="6332786"/>
                          </a:xfrm>
                        </xdr:grpSpPr>
                        <xdr:grpSp>
                          <xdr:nvGrpSpPr>
                            <xdr:cNvPr id="97" name="Groupe 96">
                              <a:extLst>
                                <a:ext uri="{FF2B5EF4-FFF2-40B4-BE49-F238E27FC236}">
                                  <a16:creationId xmlns:a16="http://schemas.microsoft.com/office/drawing/2014/main" id="{00000000-0008-0000-0300-000061000000}"/>
                                </a:ext>
                              </a:extLst>
                            </xdr:cNvPr>
                            <xdr:cNvGrpSpPr/>
                          </xdr:nvGrpSpPr>
                          <xdr:grpSpPr>
                            <a:xfrm>
                              <a:off x="1181096" y="278971"/>
                              <a:ext cx="4582682" cy="6332786"/>
                              <a:chOff x="1181100" y="238066"/>
                              <a:chExt cx="3072113" cy="5404214"/>
                            </a:xfrm>
                          </xdr:grpSpPr>
                          <xdr:sp macro="" textlink="">
                            <xdr:nvSpPr>
                              <xdr:cNvPr id="99" name="Text Box 60">
                                <a:extLst>
                                  <a:ext uri="{FF2B5EF4-FFF2-40B4-BE49-F238E27FC236}">
                                    <a16:creationId xmlns:a16="http://schemas.microsoft.com/office/drawing/2014/main" id="{00000000-0008-0000-0300-0000630000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Flue</a:t>
                                </a:r>
                                <a:r>
                                  <a:rPr lang="en-US" sz="1200" b="1" baseline="0">
                                    <a:solidFill>
                                      <a:srgbClr val="000066"/>
                                    </a:solidFill>
                                    <a:latin typeface="Arial" charset="0"/>
                                  </a:rPr>
                                  <a:t> gas</a:t>
                                </a:r>
                                <a:endParaRPr lang="en-US" sz="1200" b="1">
                                  <a:solidFill>
                                    <a:srgbClr val="000066"/>
                                  </a:solidFill>
                                  <a:latin typeface="Arial" charset="0"/>
                                </a:endParaRPr>
                              </a:p>
                            </xdr:txBody>
                          </xdr:sp>
                          <xdr:grpSp>
                            <xdr:nvGrpSpPr>
                              <xdr:cNvPr id="100" name="Groupe 99">
                                <a:extLst>
                                  <a:ext uri="{FF2B5EF4-FFF2-40B4-BE49-F238E27FC236}">
                                    <a16:creationId xmlns:a16="http://schemas.microsoft.com/office/drawing/2014/main" id="{00000000-0008-0000-0300-000064000000}"/>
                                  </a:ext>
                                </a:extLst>
                              </xdr:cNvPr>
                              <xdr:cNvGrpSpPr/>
                            </xdr:nvGrpSpPr>
                            <xdr:grpSpPr>
                              <a:xfrm>
                                <a:off x="1181100" y="511879"/>
                                <a:ext cx="3072113" cy="5130401"/>
                                <a:chOff x="1181100" y="511879"/>
                                <a:chExt cx="3072113" cy="5130401"/>
                              </a:xfrm>
                            </xdr:grpSpPr>
                            <xdr:sp macro="" textlink="">
                              <xdr:nvSpPr>
                                <xdr:cNvPr id="101" name="Line 77">
                                  <a:extLst>
                                    <a:ext uri="{FF2B5EF4-FFF2-40B4-BE49-F238E27FC236}">
                                      <a16:creationId xmlns:a16="http://schemas.microsoft.com/office/drawing/2014/main" id="{00000000-0008-0000-0300-0000650000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02" name="Groupe 101">
                                  <a:extLst>
                                    <a:ext uri="{FF2B5EF4-FFF2-40B4-BE49-F238E27FC236}">
                                      <a16:creationId xmlns:a16="http://schemas.microsoft.com/office/drawing/2014/main" id="{00000000-0008-0000-0300-000066000000}"/>
                                    </a:ext>
                                  </a:extLst>
                                </xdr:cNvPr>
                                <xdr:cNvGrpSpPr/>
                              </xdr:nvGrpSpPr>
                              <xdr:grpSpPr>
                                <a:xfrm>
                                  <a:off x="1181100" y="511879"/>
                                  <a:ext cx="3072113" cy="5130401"/>
                                  <a:chOff x="1181100" y="511879"/>
                                  <a:chExt cx="3072113" cy="5130401"/>
                                </a:xfrm>
                              </xdr:grpSpPr>
                              <xdr:sp macro="" textlink="">
                                <xdr:nvSpPr>
                                  <xdr:cNvPr id="103" name="Text Box 62">
                                    <a:extLst>
                                      <a:ext uri="{FF2B5EF4-FFF2-40B4-BE49-F238E27FC236}">
                                        <a16:creationId xmlns:a16="http://schemas.microsoft.com/office/drawing/2014/main" id="{00000000-0008-0000-0300-000067000000}"/>
                                      </a:ext>
                                    </a:extLst>
                                  </xdr:cNvPr>
                                  <xdr:cNvSpPr txBox="1">
                                    <a:spLocks noChangeArrowheads="1"/>
                                  </xdr:cNvSpPr>
                                </xdr:nvSpPr>
                                <xdr:spPr bwMode="auto">
                                  <a:xfrm>
                                    <a:off x="3221599" y="1450814"/>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Stack</a:t>
                                    </a:r>
                                  </a:p>
                                </xdr:txBody>
                              </xdr:sp>
                              <xdr:grpSp>
                                <xdr:nvGrpSpPr>
                                  <xdr:cNvPr id="104" name="Groupe 103">
                                    <a:extLst>
                                      <a:ext uri="{FF2B5EF4-FFF2-40B4-BE49-F238E27FC236}">
                                        <a16:creationId xmlns:a16="http://schemas.microsoft.com/office/drawing/2014/main" id="{00000000-0008-0000-0300-000068000000}"/>
                                      </a:ext>
                                    </a:extLst>
                                  </xdr:cNvPr>
                                  <xdr:cNvGrpSpPr/>
                                </xdr:nvGrpSpPr>
                                <xdr:grpSpPr>
                                  <a:xfrm>
                                    <a:off x="1181100" y="511879"/>
                                    <a:ext cx="3072113" cy="5130401"/>
                                    <a:chOff x="1181100" y="511879"/>
                                    <a:chExt cx="3072113" cy="5130401"/>
                                  </a:xfrm>
                                </xdr:grpSpPr>
                                <xdr:sp macro="" textlink="">
                                  <xdr:nvSpPr>
                                    <xdr:cNvPr id="105" name="Text Box 54">
                                      <a:extLst>
                                        <a:ext uri="{FF2B5EF4-FFF2-40B4-BE49-F238E27FC236}">
                                          <a16:creationId xmlns:a16="http://schemas.microsoft.com/office/drawing/2014/main" id="{00000000-0008-0000-0300-0000690000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Chemical supply</a:t>
                                      </a:r>
                                    </a:p>
                                  </xdr:txBody>
                                </xdr:sp>
                                <xdr:grpSp>
                                  <xdr:nvGrpSpPr>
                                    <xdr:cNvPr id="106" name="Groupe 105">
                                      <a:extLst>
                                        <a:ext uri="{FF2B5EF4-FFF2-40B4-BE49-F238E27FC236}">
                                          <a16:creationId xmlns:a16="http://schemas.microsoft.com/office/drawing/2014/main" id="{00000000-0008-0000-0300-00006A000000}"/>
                                        </a:ext>
                                      </a:extLst>
                                    </xdr:cNvPr>
                                    <xdr:cNvGrpSpPr/>
                                  </xdr:nvGrpSpPr>
                                  <xdr:grpSpPr>
                                    <a:xfrm>
                                      <a:off x="1181100" y="511879"/>
                                      <a:ext cx="3072113" cy="4718297"/>
                                      <a:chOff x="1181100" y="511879"/>
                                      <a:chExt cx="3072113" cy="4718297"/>
                                    </a:xfrm>
                                  </xdr:grpSpPr>
                                  <xdr:cxnSp macro="">
                                    <xdr:nvCxnSpPr>
                                      <xdr:cNvPr id="108" name="Connecteur droit avec flèche 107">
                                        <a:extLst>
                                          <a:ext uri="{FF2B5EF4-FFF2-40B4-BE49-F238E27FC236}">
                                            <a16:creationId xmlns:a16="http://schemas.microsoft.com/office/drawing/2014/main" id="{00000000-0008-0000-0300-00006C000000}"/>
                                          </a:ext>
                                        </a:extLst>
                                      </xdr:cNvPr>
                                      <xdr:cNvCxnSpPr/>
                                    </xdr:nvCxnSpPr>
                                    <xdr:spPr>
                                      <a:xfrm flipH="1">
                                        <a:off x="1190616" y="3257981"/>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9" name="Connecteur droit avec flèche 108">
                                        <a:extLst>
                                          <a:ext uri="{FF2B5EF4-FFF2-40B4-BE49-F238E27FC236}">
                                            <a16:creationId xmlns:a16="http://schemas.microsoft.com/office/drawing/2014/main" id="{00000000-0008-0000-0300-00006D0000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0" name="Connecteur droit avec flèche 109">
                                        <a:extLst>
                                          <a:ext uri="{FF2B5EF4-FFF2-40B4-BE49-F238E27FC236}">
                                            <a16:creationId xmlns:a16="http://schemas.microsoft.com/office/drawing/2014/main" id="{00000000-0008-0000-0300-00006E0000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1" name="Connecteur droit avec flèche 110">
                                        <a:extLst>
                                          <a:ext uri="{FF2B5EF4-FFF2-40B4-BE49-F238E27FC236}">
                                            <a16:creationId xmlns:a16="http://schemas.microsoft.com/office/drawing/2014/main" id="{00000000-0008-0000-0300-00006F0000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2" name="Rectangle 111">
                                        <a:extLst>
                                          <a:ext uri="{FF2B5EF4-FFF2-40B4-BE49-F238E27FC236}">
                                            <a16:creationId xmlns:a16="http://schemas.microsoft.com/office/drawing/2014/main" id="{00000000-0008-0000-0300-0000700000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Burner</a:t>
                                        </a:r>
                                      </a:p>
                                    </xdr:txBody>
                                  </xdr:sp>
                                  <xdr:sp macro="" textlink="">
                                    <xdr:nvSpPr>
                                      <xdr:cNvPr id="113" name="Oval 24">
                                        <a:extLst>
                                          <a:ext uri="{FF2B5EF4-FFF2-40B4-BE49-F238E27FC236}">
                                            <a16:creationId xmlns:a16="http://schemas.microsoft.com/office/drawing/2014/main" id="{00000000-0008-0000-0300-0000710000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14" name="Oval 25">
                                        <a:extLst>
                                          <a:ext uri="{FF2B5EF4-FFF2-40B4-BE49-F238E27FC236}">
                                            <a16:creationId xmlns:a16="http://schemas.microsoft.com/office/drawing/2014/main" id="{00000000-0008-0000-0300-0000720000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15" name="Line 43">
                                        <a:extLst>
                                          <a:ext uri="{FF2B5EF4-FFF2-40B4-BE49-F238E27FC236}">
                                            <a16:creationId xmlns:a16="http://schemas.microsoft.com/office/drawing/2014/main" id="{00000000-0008-0000-0300-0000730000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16" name="Line 44">
                                        <a:extLst>
                                          <a:ext uri="{FF2B5EF4-FFF2-40B4-BE49-F238E27FC236}">
                                            <a16:creationId xmlns:a16="http://schemas.microsoft.com/office/drawing/2014/main" id="{00000000-0008-0000-0300-0000740000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18" name="Line 59">
                                        <a:extLst>
                                          <a:ext uri="{FF2B5EF4-FFF2-40B4-BE49-F238E27FC236}">
                                            <a16:creationId xmlns:a16="http://schemas.microsoft.com/office/drawing/2014/main" id="{00000000-0008-0000-0300-0000760000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19" name="Rectangle 118">
                                        <a:extLst>
                                          <a:ext uri="{FF2B5EF4-FFF2-40B4-BE49-F238E27FC236}">
                                            <a16:creationId xmlns:a16="http://schemas.microsoft.com/office/drawing/2014/main" id="{00000000-0008-0000-0300-000077000000}"/>
                                          </a:ext>
                                        </a:extLst>
                                      </xdr:cNvPr>
                                      <xdr:cNvSpPr>
                                        <a:spLocks noChangeArrowheads="1"/>
                                      </xdr:cNvSpPr>
                                    </xdr:nvSpPr>
                                    <xdr:spPr bwMode="auto">
                                      <a:xfrm>
                                        <a:off x="3097513" y="999092"/>
                                        <a:ext cx="271140" cy="2193975"/>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20" name="Line 78">
                                        <a:extLst>
                                          <a:ext uri="{FF2B5EF4-FFF2-40B4-BE49-F238E27FC236}">
                                            <a16:creationId xmlns:a16="http://schemas.microsoft.com/office/drawing/2014/main" id="{00000000-0008-0000-0300-0000780000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21" name="Connecteur droit avec flèche 120">
                                        <a:extLst>
                                          <a:ext uri="{FF2B5EF4-FFF2-40B4-BE49-F238E27FC236}">
                                            <a16:creationId xmlns:a16="http://schemas.microsoft.com/office/drawing/2014/main" id="{00000000-0008-0000-0300-000079000000}"/>
                                          </a:ext>
                                        </a:extLst>
                                      </xdr:cNvPr>
                                      <xdr:cNvCxnSpPr/>
                                    </xdr:nvCxnSpPr>
                                    <xdr:spPr>
                                      <a:xfrm>
                                        <a:off x="3713904" y="511879"/>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Rectangle 121">
                                        <a:extLst>
                                          <a:ext uri="{FF2B5EF4-FFF2-40B4-BE49-F238E27FC236}">
                                            <a16:creationId xmlns:a16="http://schemas.microsoft.com/office/drawing/2014/main" id="{00000000-0008-0000-0300-00007A0000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baseline="0">
                                            <a:solidFill>
                                              <a:srgbClr val="000066"/>
                                            </a:solidFill>
                                            <a:latin typeface="Arial" charset="0"/>
                                          </a:rPr>
                                          <a:t>Boiler #2</a:t>
                                        </a:r>
                                        <a:endParaRPr lang="en-US" sz="1800" b="1">
                                          <a:solidFill>
                                            <a:srgbClr val="000066"/>
                                          </a:solidFill>
                                          <a:latin typeface="Arial" charset="0"/>
                                        </a:endParaRPr>
                                      </a:p>
                                    </xdr:txBody>
                                  </xdr:sp>
                                  <xdr:pic>
                                    <xdr:nvPicPr>
                                      <xdr:cNvPr id="124" name="irc_mi">
                                        <a:extLst>
                                          <a:ext uri="{FF2B5EF4-FFF2-40B4-BE49-F238E27FC236}">
                                            <a16:creationId xmlns:a16="http://schemas.microsoft.com/office/drawing/2014/main" id="{00000000-0008-0000-0300-00007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grpSp>
                              </xdr:grpSp>
                            </xdr:grpSp>
                          </xdr:grpSp>
                        </xdr:grpSp>
                        <xdr:sp macro="" textlink="">
                          <xdr:nvSpPr>
                            <xdr:cNvPr id="98" name="ZoneTexte 62">
                              <a:extLst>
                                <a:ext uri="{FF2B5EF4-FFF2-40B4-BE49-F238E27FC236}">
                                  <a16:creationId xmlns:a16="http://schemas.microsoft.com/office/drawing/2014/main" id="{00000000-0008-0000-0300-000062000000}"/>
                                </a:ext>
                              </a:extLst>
                            </xdr:cNvPr>
                            <xdr:cNvSpPr txBox="1"/>
                          </xdr:nvSpPr>
                          <xdr:spPr>
                            <a:xfrm>
                              <a:off x="5363323" y="287111"/>
                              <a:ext cx="1025338" cy="291731"/>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Flue gas losses</a:t>
                              </a:r>
                            </a:p>
                          </xdr:txBody>
                        </xdr:sp>
                      </xdr:grpSp>
                    </xdr:grpSp>
                  </xdr:grpSp>
                  <xdr:grpSp>
                    <xdr:nvGrpSpPr>
                      <xdr:cNvPr id="28" name="Groupe 27">
                        <a:extLst>
                          <a:ext uri="{FF2B5EF4-FFF2-40B4-BE49-F238E27FC236}">
                            <a16:creationId xmlns:a16="http://schemas.microsoft.com/office/drawing/2014/main" id="{00000000-0008-0000-0300-00001C000000}"/>
                          </a:ext>
                        </a:extLst>
                      </xdr:cNvPr>
                      <xdr:cNvGrpSpPr/>
                    </xdr:nvGrpSpPr>
                    <xdr:grpSpPr>
                      <a:xfrm>
                        <a:off x="3344431" y="-148084"/>
                        <a:ext cx="8743941" cy="5382331"/>
                        <a:chOff x="-2311340" y="-594116"/>
                        <a:chExt cx="12987061" cy="7370643"/>
                      </a:xfrm>
                    </xdr:grpSpPr>
                    <xdr:sp macro="" textlink="">
                      <xdr:nvSpPr>
                        <xdr:cNvPr id="29" name="Text Box 60">
                          <a:extLst>
                            <a:ext uri="{FF2B5EF4-FFF2-40B4-BE49-F238E27FC236}">
                              <a16:creationId xmlns:a16="http://schemas.microsoft.com/office/drawing/2014/main" id="{00000000-0008-0000-0300-00001D0000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Natural Gas</a:t>
                          </a:r>
                        </a:p>
                      </xdr:txBody>
                    </xdr:sp>
                    <xdr:grpSp>
                      <xdr:nvGrpSpPr>
                        <xdr:cNvPr id="30" name="Groupe 29">
                          <a:extLst>
                            <a:ext uri="{FF2B5EF4-FFF2-40B4-BE49-F238E27FC236}">
                              <a16:creationId xmlns:a16="http://schemas.microsoft.com/office/drawing/2014/main" id="{00000000-0008-0000-0300-00001E000000}"/>
                            </a:ext>
                          </a:extLst>
                        </xdr:cNvPr>
                        <xdr:cNvGrpSpPr/>
                      </xdr:nvGrpSpPr>
                      <xdr:grpSpPr>
                        <a:xfrm>
                          <a:off x="-2311340" y="-594116"/>
                          <a:ext cx="12987061" cy="7370643"/>
                          <a:chOff x="-2311340" y="-594116"/>
                          <a:chExt cx="12987061" cy="7370643"/>
                        </a:xfrm>
                      </xdr:grpSpPr>
                      <xdr:sp macro="" textlink="">
                        <xdr:nvSpPr>
                          <xdr:cNvPr id="31" name="ZoneTexte 92">
                            <a:extLst>
                              <a:ext uri="{FF2B5EF4-FFF2-40B4-BE49-F238E27FC236}">
                                <a16:creationId xmlns:a16="http://schemas.microsoft.com/office/drawing/2014/main" id="{00000000-0008-0000-0300-00001F000000}"/>
                              </a:ext>
                            </a:extLst>
                          </xdr:cNvPr>
                          <xdr:cNvSpPr txBox="1"/>
                        </xdr:nvSpPr>
                        <xdr:spPr>
                          <a:xfrm>
                            <a:off x="0" y="3743325"/>
                            <a:ext cx="1278274"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radiation and convection losses</a:t>
                            </a:r>
                          </a:p>
                        </xdr:txBody>
                      </xdr:sp>
                      <xdr:grpSp>
                        <xdr:nvGrpSpPr>
                          <xdr:cNvPr id="38" name="Groupe 37">
                            <a:extLst>
                              <a:ext uri="{FF2B5EF4-FFF2-40B4-BE49-F238E27FC236}">
                                <a16:creationId xmlns:a16="http://schemas.microsoft.com/office/drawing/2014/main" id="{00000000-0008-0000-0300-000026000000}"/>
                              </a:ext>
                            </a:extLst>
                          </xdr:cNvPr>
                          <xdr:cNvGrpSpPr/>
                        </xdr:nvGrpSpPr>
                        <xdr:grpSpPr>
                          <a:xfrm>
                            <a:off x="-2311340" y="-594116"/>
                            <a:ext cx="12987061" cy="7370643"/>
                            <a:chOff x="-2311340" y="-594116"/>
                            <a:chExt cx="12987061" cy="7370643"/>
                          </a:xfrm>
                        </xdr:grpSpPr>
                        <xdr:grpSp>
                          <xdr:nvGrpSpPr>
                            <xdr:cNvPr id="39" name="Groupe 38">
                              <a:extLst>
                                <a:ext uri="{FF2B5EF4-FFF2-40B4-BE49-F238E27FC236}">
                                  <a16:creationId xmlns:a16="http://schemas.microsoft.com/office/drawing/2014/main" id="{00000000-0008-0000-0300-000027000000}"/>
                                </a:ext>
                              </a:extLst>
                            </xdr:cNvPr>
                            <xdr:cNvGrpSpPr/>
                          </xdr:nvGrpSpPr>
                          <xdr:grpSpPr>
                            <a:xfrm>
                              <a:off x="-2311340" y="-594116"/>
                              <a:ext cx="12987061" cy="7370643"/>
                              <a:chOff x="-1221294" y="-499536"/>
                              <a:chExt cx="8933589" cy="6197276"/>
                            </a:xfrm>
                          </xdr:grpSpPr>
                          <xdr:grpSp>
                            <xdr:nvGrpSpPr>
                              <xdr:cNvPr id="48" name="Groupe 47">
                                <a:extLst>
                                  <a:ext uri="{FF2B5EF4-FFF2-40B4-BE49-F238E27FC236}">
                                    <a16:creationId xmlns:a16="http://schemas.microsoft.com/office/drawing/2014/main" id="{00000000-0008-0000-0300-000030000000}"/>
                                  </a:ext>
                                </a:extLst>
                              </xdr:cNvPr>
                              <xdr:cNvGrpSpPr/>
                            </xdr:nvGrpSpPr>
                            <xdr:grpSpPr>
                              <a:xfrm>
                                <a:off x="-1221294" y="-499536"/>
                                <a:ext cx="8933589" cy="6197276"/>
                                <a:chOff x="-1160141" y="-507001"/>
                                <a:chExt cx="8706194" cy="6289887"/>
                              </a:xfrm>
                            </xdr:grpSpPr>
                            <xdr:sp macro="" textlink="">
                              <xdr:nvSpPr>
                                <xdr:cNvPr id="49" name="Text Box 53">
                                  <a:extLst>
                                    <a:ext uri="{FF2B5EF4-FFF2-40B4-BE49-F238E27FC236}">
                                      <a16:creationId xmlns:a16="http://schemas.microsoft.com/office/drawing/2014/main" id="{00000000-0008-0000-0300-000031000000}"/>
                                    </a:ext>
                                  </a:extLst>
                                </xdr:cNvPr>
                                <xdr:cNvSpPr txBox="1">
                                  <a:spLocks noChangeArrowheads="1"/>
                                </xdr:cNvSpPr>
                              </xdr:nvSpPr>
                              <xdr:spPr bwMode="auto">
                                <a:xfrm>
                                  <a:off x="6566732" y="2829169"/>
                                  <a:ext cx="979321" cy="26988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Softener</a:t>
                                  </a:r>
                                </a:p>
                              </xdr:txBody>
                            </xdr:sp>
                            <xdr:grpSp>
                              <xdr:nvGrpSpPr>
                                <xdr:cNvPr id="50" name="Groupe 49">
                                  <a:extLst>
                                    <a:ext uri="{FF2B5EF4-FFF2-40B4-BE49-F238E27FC236}">
                                      <a16:creationId xmlns:a16="http://schemas.microsoft.com/office/drawing/2014/main" id="{00000000-0008-0000-0300-000032000000}"/>
                                    </a:ext>
                                  </a:extLst>
                                </xdr:cNvPr>
                                <xdr:cNvGrpSpPr/>
                              </xdr:nvGrpSpPr>
                              <xdr:grpSpPr>
                                <a:xfrm>
                                  <a:off x="-1160141" y="-507001"/>
                                  <a:ext cx="8483259" cy="6289887"/>
                                  <a:chOff x="-1160141" y="-507001"/>
                                  <a:chExt cx="8483259" cy="6289887"/>
                                </a:xfrm>
                              </xdr:grpSpPr>
                              <xdr:sp macro="" textlink="">
                                <xdr:nvSpPr>
                                  <xdr:cNvPr id="51" name="Text Box 60">
                                    <a:extLst>
                                      <a:ext uri="{FF2B5EF4-FFF2-40B4-BE49-F238E27FC236}">
                                        <a16:creationId xmlns:a16="http://schemas.microsoft.com/office/drawing/2014/main" id="{00000000-0008-0000-0300-0000330000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Flue gas</a:t>
                                    </a:r>
                                  </a:p>
                                </xdr:txBody>
                              </xdr:sp>
                              <xdr:grpSp>
                                <xdr:nvGrpSpPr>
                                  <xdr:cNvPr id="52" name="Groupe 51">
                                    <a:extLst>
                                      <a:ext uri="{FF2B5EF4-FFF2-40B4-BE49-F238E27FC236}">
                                        <a16:creationId xmlns:a16="http://schemas.microsoft.com/office/drawing/2014/main" id="{00000000-0008-0000-0300-000034000000}"/>
                                      </a:ext>
                                    </a:extLst>
                                  </xdr:cNvPr>
                                  <xdr:cNvGrpSpPr/>
                                </xdr:nvGrpSpPr>
                                <xdr:grpSpPr>
                                  <a:xfrm>
                                    <a:off x="-1160141" y="-507001"/>
                                    <a:ext cx="8483259" cy="6289887"/>
                                    <a:chOff x="-1160141" y="-507001"/>
                                    <a:chExt cx="8483259" cy="6289887"/>
                                  </a:xfrm>
                                </xdr:grpSpPr>
                                <xdr:sp macro="" textlink="">
                                  <xdr:nvSpPr>
                                    <xdr:cNvPr id="53" name="Line 77">
                                      <a:extLst>
                                        <a:ext uri="{FF2B5EF4-FFF2-40B4-BE49-F238E27FC236}">
                                          <a16:creationId xmlns:a16="http://schemas.microsoft.com/office/drawing/2014/main" id="{00000000-0008-0000-0300-0000350000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54" name="Groupe 53">
                                      <a:extLst>
                                        <a:ext uri="{FF2B5EF4-FFF2-40B4-BE49-F238E27FC236}">
                                          <a16:creationId xmlns:a16="http://schemas.microsoft.com/office/drawing/2014/main" id="{00000000-0008-0000-0300-000036000000}"/>
                                        </a:ext>
                                      </a:extLst>
                                    </xdr:cNvPr>
                                    <xdr:cNvGrpSpPr/>
                                  </xdr:nvGrpSpPr>
                                  <xdr:grpSpPr>
                                    <a:xfrm>
                                      <a:off x="-1160141" y="-507001"/>
                                      <a:ext cx="8483259" cy="6289887"/>
                                      <a:chOff x="-1160141" y="-507001"/>
                                      <a:chExt cx="8483259" cy="6289887"/>
                                    </a:xfrm>
                                  </xdr:grpSpPr>
                                  <xdr:sp macro="" textlink="">
                                    <xdr:nvSpPr>
                                      <xdr:cNvPr id="55" name="Text Box 62">
                                        <a:extLst>
                                          <a:ext uri="{FF2B5EF4-FFF2-40B4-BE49-F238E27FC236}">
                                            <a16:creationId xmlns:a16="http://schemas.microsoft.com/office/drawing/2014/main" id="{00000000-0008-0000-0300-000037000000}"/>
                                          </a:ext>
                                        </a:extLst>
                                      </xdr:cNvPr>
                                      <xdr:cNvSpPr txBox="1">
                                        <a:spLocks noChangeArrowheads="1"/>
                                      </xdr:cNvSpPr>
                                    </xdr:nvSpPr>
                                    <xdr:spPr bwMode="auto">
                                      <a:xfrm>
                                        <a:off x="2315178" y="1469253"/>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eaLnBrk="0" hangingPunct="0">
                                          <a:defRPr/>
                                        </a:pPr>
                                        <a:r>
                                          <a:rPr lang="en-US" sz="1000" b="1">
                                            <a:solidFill>
                                              <a:srgbClr val="000066"/>
                                            </a:solidFill>
                                            <a:latin typeface="Arial" charset="0"/>
                                          </a:rPr>
                                          <a:t>Stack</a:t>
                                        </a:r>
                                      </a:p>
                                    </xdr:txBody>
                                  </xdr:sp>
                                  <xdr:grpSp>
                                    <xdr:nvGrpSpPr>
                                      <xdr:cNvPr id="56" name="Groupe 55">
                                        <a:extLst>
                                          <a:ext uri="{FF2B5EF4-FFF2-40B4-BE49-F238E27FC236}">
                                            <a16:creationId xmlns:a16="http://schemas.microsoft.com/office/drawing/2014/main" id="{00000000-0008-0000-0300-000038000000}"/>
                                          </a:ext>
                                        </a:extLst>
                                      </xdr:cNvPr>
                                      <xdr:cNvGrpSpPr/>
                                    </xdr:nvGrpSpPr>
                                    <xdr:grpSpPr>
                                      <a:xfrm>
                                        <a:off x="-1160141" y="-507001"/>
                                        <a:ext cx="8483259" cy="6289887"/>
                                        <a:chOff x="-1160141" y="-507001"/>
                                        <a:chExt cx="8483259" cy="6289887"/>
                                      </a:xfrm>
                                    </xdr:grpSpPr>
                                    <xdr:sp macro="" textlink="">
                                      <xdr:nvSpPr>
                                        <xdr:cNvPr id="57" name="Text Box 54">
                                          <a:extLst>
                                            <a:ext uri="{FF2B5EF4-FFF2-40B4-BE49-F238E27FC236}">
                                              <a16:creationId xmlns:a16="http://schemas.microsoft.com/office/drawing/2014/main" id="{00000000-0008-0000-0300-0000390000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Chemical</a:t>
                                          </a:r>
                                          <a:r>
                                            <a:rPr lang="en-US" sz="1000" b="1" baseline="0">
                                              <a:solidFill>
                                                <a:srgbClr val="000066"/>
                                              </a:solidFill>
                                              <a:latin typeface="Arial" charset="0"/>
                                            </a:rPr>
                                            <a:t> supply</a:t>
                                          </a:r>
                                          <a:endParaRPr lang="en-US" sz="1000" b="1">
                                            <a:solidFill>
                                              <a:srgbClr val="000066"/>
                                            </a:solidFill>
                                            <a:latin typeface="Arial" charset="0"/>
                                          </a:endParaRPr>
                                        </a:p>
                                      </xdr:txBody>
                                    </xdr:sp>
                                    <xdr:grpSp>
                                      <xdr:nvGrpSpPr>
                                        <xdr:cNvPr id="58" name="Groupe 57">
                                          <a:extLst>
                                            <a:ext uri="{FF2B5EF4-FFF2-40B4-BE49-F238E27FC236}">
                                              <a16:creationId xmlns:a16="http://schemas.microsoft.com/office/drawing/2014/main" id="{00000000-0008-0000-0300-00003A000000}"/>
                                            </a:ext>
                                          </a:extLst>
                                        </xdr:cNvPr>
                                        <xdr:cNvGrpSpPr/>
                                      </xdr:nvGrpSpPr>
                                      <xdr:grpSpPr>
                                        <a:xfrm>
                                          <a:off x="-1160141" y="-507001"/>
                                          <a:ext cx="8483259" cy="6289887"/>
                                          <a:chOff x="-1160141" y="-507001"/>
                                          <a:chExt cx="8483259" cy="6289887"/>
                                        </a:xfrm>
                                      </xdr:grpSpPr>
                                      <xdr:cxnSp macro="">
                                        <xdr:nvCxnSpPr>
                                          <xdr:cNvPr id="60" name="Connecteur droit avec flèche 59">
                                            <a:extLst>
                                              <a:ext uri="{FF2B5EF4-FFF2-40B4-BE49-F238E27FC236}">
                                                <a16:creationId xmlns:a16="http://schemas.microsoft.com/office/drawing/2014/main" id="{00000000-0008-0000-0300-00003C000000}"/>
                                              </a:ext>
                                            </a:extLst>
                                          </xdr:cNvPr>
                                          <xdr:cNvCxnSpPr/>
                                        </xdr:nvCxnSpPr>
                                        <xdr:spPr>
                                          <a:xfrm flipH="1">
                                            <a:off x="1190616" y="3257982"/>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1" name="Connecteur droit avec flèche 60">
                                            <a:extLst>
                                              <a:ext uri="{FF2B5EF4-FFF2-40B4-BE49-F238E27FC236}">
                                                <a16:creationId xmlns:a16="http://schemas.microsoft.com/office/drawing/2014/main" id="{00000000-0008-0000-0300-00003D0000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2" name="Connecteur droit avec flèche 61">
                                            <a:extLst>
                                              <a:ext uri="{FF2B5EF4-FFF2-40B4-BE49-F238E27FC236}">
                                                <a16:creationId xmlns:a16="http://schemas.microsoft.com/office/drawing/2014/main" id="{00000000-0008-0000-0300-00003E0000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Connecteur droit avec flèche 62">
                                            <a:extLst>
                                              <a:ext uri="{FF2B5EF4-FFF2-40B4-BE49-F238E27FC236}">
                                                <a16:creationId xmlns:a16="http://schemas.microsoft.com/office/drawing/2014/main" id="{00000000-0008-0000-0300-00003F0000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4" name="Line 13">
                                            <a:extLst>
                                              <a:ext uri="{FF2B5EF4-FFF2-40B4-BE49-F238E27FC236}">
                                                <a16:creationId xmlns:a16="http://schemas.microsoft.com/office/drawing/2014/main" id="{00000000-0008-0000-0300-000040000000}"/>
                                              </a:ext>
                                            </a:extLst>
                                          </xdr:cNvPr>
                                          <xdr:cNvSpPr>
                                            <a:spLocks noChangeShapeType="1"/>
                                          </xdr:cNvSpPr>
                                        </xdr:nvSpPr>
                                        <xdr:spPr bwMode="auto">
                                          <a:xfrm>
                                            <a:off x="1991019" y="-507001"/>
                                            <a:ext cx="13153" cy="3862563"/>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65" name="Rectangle 64">
                                            <a:extLst>
                                              <a:ext uri="{FF2B5EF4-FFF2-40B4-BE49-F238E27FC236}">
                                                <a16:creationId xmlns:a16="http://schemas.microsoft.com/office/drawing/2014/main" id="{00000000-0008-0000-0300-0000410000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Burner</a:t>
                                            </a:r>
                                          </a:p>
                                        </xdr:txBody>
                                      </xdr:sp>
                                      <xdr:sp macro="" textlink="">
                                        <xdr:nvSpPr>
                                          <xdr:cNvPr id="68" name="Oval 24">
                                            <a:extLst>
                                              <a:ext uri="{FF2B5EF4-FFF2-40B4-BE49-F238E27FC236}">
                                                <a16:creationId xmlns:a16="http://schemas.microsoft.com/office/drawing/2014/main" id="{00000000-0008-0000-0300-0000440000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69" name="Oval 25">
                                            <a:extLst>
                                              <a:ext uri="{FF2B5EF4-FFF2-40B4-BE49-F238E27FC236}">
                                                <a16:creationId xmlns:a16="http://schemas.microsoft.com/office/drawing/2014/main" id="{00000000-0008-0000-0300-0000450000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70" name="Group 26">
                                            <a:extLst>
                                              <a:ext uri="{FF2B5EF4-FFF2-40B4-BE49-F238E27FC236}">
                                                <a16:creationId xmlns:a16="http://schemas.microsoft.com/office/drawing/2014/main" id="{00000000-0008-0000-0300-000046000000}"/>
                                              </a:ext>
                                            </a:extLst>
                                          </xdr:cNvPr>
                                          <xdr:cNvGrpSpPr>
                                            <a:grpSpLocks/>
                                          </xdr:cNvGrpSpPr>
                                        </xdr:nvGrpSpPr>
                                        <xdr:grpSpPr bwMode="auto">
                                          <a:xfrm>
                                            <a:off x="6840273" y="1969684"/>
                                            <a:ext cx="482845" cy="850626"/>
                                            <a:chOff x="6813767" y="1974435"/>
                                            <a:chExt cx="614" cy="988"/>
                                          </a:xfrm>
                                        </xdr:grpSpPr>
                                        <xdr:sp macro="" textlink="">
                                          <xdr:nvSpPr>
                                            <xdr:cNvPr id="86" name="AutoShape 27">
                                              <a:extLst>
                                                <a:ext uri="{FF2B5EF4-FFF2-40B4-BE49-F238E27FC236}">
                                                  <a16:creationId xmlns:a16="http://schemas.microsoft.com/office/drawing/2014/main" id="{00000000-0008-0000-0300-000056000000}"/>
                                                </a:ext>
                                              </a:extLst>
                                            </xdr:cNvPr>
                                            <xdr:cNvSpPr>
                                              <a:spLocks noChangeArrowheads="1"/>
                                            </xdr:cNvSpPr>
                                          </xdr:nvSpPr>
                                          <xdr:spPr bwMode="auto">
                                            <a:xfrm rot="16200000">
                                              <a:off x="6813973" y="1974230"/>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87" name="Rectangle 86">
                                              <a:extLst>
                                                <a:ext uri="{FF2B5EF4-FFF2-40B4-BE49-F238E27FC236}">
                                                  <a16:creationId xmlns:a16="http://schemas.microsoft.com/office/drawing/2014/main" id="{00000000-0008-0000-0300-000057000000}"/>
                                                </a:ext>
                                              </a:extLst>
                                            </xdr:cNvPr>
                                            <xdr:cNvSpPr>
                                              <a:spLocks noChangeArrowheads="1"/>
                                            </xdr:cNvSpPr>
                                          </xdr:nvSpPr>
                                          <xdr:spPr bwMode="auto">
                                            <a:xfrm>
                                              <a:off x="6813767" y="1974649"/>
                                              <a:ext cx="613" cy="585"/>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88" name="AutoShape 29">
                                              <a:extLst>
                                                <a:ext uri="{FF2B5EF4-FFF2-40B4-BE49-F238E27FC236}">
                                                  <a16:creationId xmlns:a16="http://schemas.microsoft.com/office/drawing/2014/main" id="{00000000-0008-0000-0300-000058000000}"/>
                                                </a:ext>
                                              </a:extLst>
                                            </xdr:cNvPr>
                                            <xdr:cNvSpPr>
                                              <a:spLocks noChangeArrowheads="1"/>
                                            </xdr:cNvSpPr>
                                          </xdr:nvSpPr>
                                          <xdr:spPr bwMode="auto">
                                            <a:xfrm rot="16200000" flipH="1" flipV="1">
                                              <a:off x="6813973" y="1975015"/>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71" name="Line 43">
                                            <a:extLst>
                                              <a:ext uri="{FF2B5EF4-FFF2-40B4-BE49-F238E27FC236}">
                                                <a16:creationId xmlns:a16="http://schemas.microsoft.com/office/drawing/2014/main" id="{00000000-0008-0000-0300-0000470000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72" name="Line 44">
                                            <a:extLst>
                                              <a:ext uri="{FF2B5EF4-FFF2-40B4-BE49-F238E27FC236}">
                                                <a16:creationId xmlns:a16="http://schemas.microsoft.com/office/drawing/2014/main" id="{00000000-0008-0000-0300-0000480000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75" name="Line 59">
                                            <a:extLst>
                                              <a:ext uri="{FF2B5EF4-FFF2-40B4-BE49-F238E27FC236}">
                                                <a16:creationId xmlns:a16="http://schemas.microsoft.com/office/drawing/2014/main" id="{00000000-0008-0000-0300-00004B0000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77" name="AutoShape 73">
                                            <a:extLst>
                                              <a:ext uri="{FF2B5EF4-FFF2-40B4-BE49-F238E27FC236}">
                                                <a16:creationId xmlns:a16="http://schemas.microsoft.com/office/drawing/2014/main" id="{00000000-0008-0000-0300-00004D000000}"/>
                                              </a:ext>
                                            </a:extLst>
                                          </xdr:cNvPr>
                                          <xdr:cNvCxnSpPr>
                                            <a:cxnSpLocks noChangeShapeType="1"/>
                                            <a:endCxn id="113" idx="6"/>
                                          </xdr:cNvCxnSpPr>
                                        </xdr:nvCxnSpPr>
                                        <xdr:spPr bwMode="auto">
                                          <a:xfrm rot="10800000">
                                            <a:off x="-1160141" y="5020226"/>
                                            <a:ext cx="1071519" cy="762660"/>
                                          </a:xfrm>
                                          <a:prstGeom prst="bentConnector3">
                                            <a:avLst>
                                              <a:gd name="adj1" fmla="val 50000"/>
                                            </a:avLst>
                                          </a:prstGeom>
                                          <a:noFill/>
                                          <a:ln w="28575">
                                            <a:solidFill>
                                              <a:srgbClr val="000066"/>
                                            </a:solidFill>
                                            <a:miter lim="800000"/>
                                            <a:headEnd/>
                                            <a:tailEnd type="triangle" w="med" len="med"/>
                                          </a:ln>
                                        </xdr:spPr>
                                      </xdr:cxnSp>
                                      <xdr:cxnSp macro="">
                                        <xdr:nvCxnSpPr>
                                          <xdr:cNvPr id="78" name="AutoShape 74">
                                            <a:extLst>
                                              <a:ext uri="{FF2B5EF4-FFF2-40B4-BE49-F238E27FC236}">
                                                <a16:creationId xmlns:a16="http://schemas.microsoft.com/office/drawing/2014/main" id="{00000000-0008-0000-0300-00004E000000}"/>
                                              </a:ext>
                                            </a:extLst>
                                          </xdr:cNvPr>
                                          <xdr:cNvCxnSpPr>
                                            <a:cxnSpLocks noChangeShapeType="1"/>
                                            <a:stCxn id="262" idx="3"/>
                                          </xdr:cNvCxnSpPr>
                                        </xdr:nvCxnSpPr>
                                        <xdr:spPr bwMode="auto">
                                          <a:xfrm rot="5400000">
                                            <a:off x="3148947" y="3168936"/>
                                            <a:ext cx="2309540" cy="1508771"/>
                                          </a:xfrm>
                                          <a:prstGeom prst="bentConnector3">
                                            <a:avLst>
                                              <a:gd name="adj1" fmla="val 99777"/>
                                            </a:avLst>
                                          </a:prstGeom>
                                          <a:noFill/>
                                          <a:ln w="28575">
                                            <a:solidFill>
                                              <a:srgbClr val="000066"/>
                                            </a:solidFill>
                                            <a:miter lim="800000"/>
                                            <a:headEnd/>
                                            <a:tailEnd type="triangle" w="med" len="med"/>
                                          </a:ln>
                                        </xdr:spPr>
                                      </xdr:cxnSp>
                                      <xdr:sp macro="" textlink="">
                                        <xdr:nvSpPr>
                                          <xdr:cNvPr id="79" name="Rectangle 78">
                                            <a:extLst>
                                              <a:ext uri="{FF2B5EF4-FFF2-40B4-BE49-F238E27FC236}">
                                                <a16:creationId xmlns:a16="http://schemas.microsoft.com/office/drawing/2014/main" id="{00000000-0008-0000-0300-00004F0000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Boiler #1</a:t>
                                            </a:r>
                                          </a:p>
                                        </xdr:txBody>
                                      </xdr:sp>
                                      <xdr:sp macro="" textlink="">
                                        <xdr:nvSpPr>
                                          <xdr:cNvPr id="80" name="Line 78">
                                            <a:extLst>
                                              <a:ext uri="{FF2B5EF4-FFF2-40B4-BE49-F238E27FC236}">
                                                <a16:creationId xmlns:a16="http://schemas.microsoft.com/office/drawing/2014/main" id="{00000000-0008-0000-0300-0000500000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81" name="Connecteur droit avec flèche 80">
                                            <a:extLst>
                                              <a:ext uri="{FF2B5EF4-FFF2-40B4-BE49-F238E27FC236}">
                                                <a16:creationId xmlns:a16="http://schemas.microsoft.com/office/drawing/2014/main" id="{00000000-0008-0000-0300-000051000000}"/>
                                              </a:ext>
                                            </a:extLst>
                                          </xdr:cNvPr>
                                          <xdr:cNvCxnSpPr/>
                                        </xdr:nvCxnSpPr>
                                        <xdr:spPr>
                                          <a:xfrm>
                                            <a:off x="3713792" y="491971"/>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84" name="irc_mi">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sp macro="" textlink="">
                                        <xdr:nvSpPr>
                                          <xdr:cNvPr id="85" name="Rectangle 84">
                                            <a:extLst>
                                              <a:ext uri="{FF2B5EF4-FFF2-40B4-BE49-F238E27FC236}">
                                                <a16:creationId xmlns:a16="http://schemas.microsoft.com/office/drawing/2014/main" id="{00000000-0008-0000-0300-000055000000}"/>
                                              </a:ext>
                                            </a:extLst>
                                          </xdr:cNvPr>
                                          <xdr:cNvSpPr>
                                            <a:spLocks noChangeArrowheads="1"/>
                                          </xdr:cNvSpPr>
                                        </xdr:nvSpPr>
                                        <xdr:spPr bwMode="auto">
                                          <a:xfrm>
                                            <a:off x="3097891" y="988801"/>
                                            <a:ext cx="271140" cy="2193976"/>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grpSp>
                                </xdr:grpSp>
                              </xdr:grpSp>
                            </xdr:grpSp>
                          </xdr:grpSp>
                          <xdr:sp macro="" textlink="">
                            <xdr:nvSpPr>
                              <xdr:cNvPr id="44" name="Line 50">
                                <a:extLst>
                                  <a:ext uri="{FF2B5EF4-FFF2-40B4-BE49-F238E27FC236}">
                                    <a16:creationId xmlns:a16="http://schemas.microsoft.com/office/drawing/2014/main" id="{00000000-0008-0000-0300-00002C000000}"/>
                                  </a:ext>
                                </a:extLst>
                              </xdr:cNvPr>
                              <xdr:cNvSpPr>
                                <a:spLocks noChangeShapeType="1"/>
                              </xdr:cNvSpPr>
                            </xdr:nvSpPr>
                            <xdr:spPr bwMode="auto">
                              <a:xfrm flipH="1" flipV="1">
                                <a:off x="5426951" y="2228361"/>
                                <a:ext cx="1552068" cy="3601"/>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41" name="ZoneTexte 62">
                              <a:extLst>
                                <a:ext uri="{FF2B5EF4-FFF2-40B4-BE49-F238E27FC236}">
                                  <a16:creationId xmlns:a16="http://schemas.microsoft.com/office/drawing/2014/main" id="{00000000-0008-0000-0300-000029000000}"/>
                                </a:ext>
                              </a:extLst>
                            </xdr:cNvPr>
                            <xdr:cNvSpPr txBox="1"/>
                          </xdr:nvSpPr>
                          <xdr:spPr>
                            <a:xfrm>
                              <a:off x="5263515" y="257175"/>
                              <a:ext cx="1025338"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Flue gas losses</a:t>
                              </a:r>
                            </a:p>
                          </xdr:txBody>
                        </xdr:sp>
                      </xdr:grpSp>
                    </xdr:grpSp>
                  </xdr:grpSp>
                </xdr:grpSp>
                <xdr:cxnSp macro="">
                  <xdr:nvCxnSpPr>
                    <xdr:cNvPr id="26" name="AutoShape 73">
                      <a:extLst>
                        <a:ext uri="{FF2B5EF4-FFF2-40B4-BE49-F238E27FC236}">
                          <a16:creationId xmlns:a16="http://schemas.microsoft.com/office/drawing/2014/main" id="{00000000-0008-0000-0300-00001A000000}"/>
                        </a:ext>
                      </a:extLst>
                    </xdr:cNvPr>
                    <xdr:cNvCxnSpPr>
                      <a:cxnSpLocks noChangeShapeType="1"/>
                      <a:stCxn id="262" idx="3"/>
                    </xdr:cNvCxnSpPr>
                  </xdr:nvCxnSpPr>
                  <xdr:spPr bwMode="auto">
                    <a:xfrm rot="5400000">
                      <a:off x="5647707" y="1292323"/>
                      <a:ext cx="2579403" cy="5304450"/>
                    </a:xfrm>
                    <a:prstGeom prst="bentConnector2">
                      <a:avLst/>
                    </a:prstGeom>
                    <a:noFill/>
                    <a:ln w="28575">
                      <a:solidFill>
                        <a:srgbClr val="000066"/>
                      </a:solidFill>
                      <a:miter lim="800000"/>
                      <a:headEnd/>
                      <a:tailEnd type="none" w="med" len="med"/>
                    </a:ln>
                  </xdr:spPr>
                </xdr:cxnSp>
              </xdr:grpSp>
              <xdr:grpSp>
                <xdr:nvGrpSpPr>
                  <xdr:cNvPr id="19" name="Groupe 18">
                    <a:extLst>
                      <a:ext uri="{FF2B5EF4-FFF2-40B4-BE49-F238E27FC236}">
                        <a16:creationId xmlns:a16="http://schemas.microsoft.com/office/drawing/2014/main" id="{00000000-0008-0000-0300-000013000000}"/>
                      </a:ext>
                    </a:extLst>
                  </xdr:cNvPr>
                  <xdr:cNvGrpSpPr/>
                </xdr:nvGrpSpPr>
                <xdr:grpSpPr>
                  <a:xfrm>
                    <a:off x="2373290" y="8841442"/>
                    <a:ext cx="8479738" cy="762382"/>
                    <a:chOff x="2373290" y="8841442"/>
                    <a:chExt cx="8479738" cy="762382"/>
                  </a:xfrm>
                </xdr:grpSpPr>
                <xdr:sp macro="" textlink="">
                  <xdr:nvSpPr>
                    <xdr:cNvPr id="20" name="Line 13">
                      <a:extLst>
                        <a:ext uri="{FF2B5EF4-FFF2-40B4-BE49-F238E27FC236}">
                          <a16:creationId xmlns:a16="http://schemas.microsoft.com/office/drawing/2014/main" id="{00000000-0008-0000-0300-000014000000}"/>
                        </a:ext>
                      </a:extLst>
                    </xdr:cNvPr>
                    <xdr:cNvSpPr>
                      <a:spLocks noChangeShapeType="1"/>
                    </xdr:cNvSpPr>
                  </xdr:nvSpPr>
                  <xdr:spPr bwMode="auto">
                    <a:xfrm rot="5400000">
                      <a:off x="5731529" y="5848318"/>
                      <a:ext cx="15522" cy="6732000"/>
                    </a:xfrm>
                    <a:prstGeom prst="line">
                      <a:avLst/>
                    </a:prstGeom>
                    <a:noFill/>
                    <a:ln w="76200">
                      <a:solidFill>
                        <a:srgbClr val="000066"/>
                      </a:solidFill>
                      <a:round/>
                      <a:headEnd type="triangl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1" name="Nuage 20">
                      <a:extLst>
                        <a:ext uri="{FF2B5EF4-FFF2-40B4-BE49-F238E27FC236}">
                          <a16:creationId xmlns:a16="http://schemas.microsoft.com/office/drawing/2014/main" id="{00000000-0008-0000-0300-000015000000}"/>
                        </a:ext>
                      </a:extLst>
                    </xdr:cNvPr>
                    <xdr:cNvSpPr/>
                  </xdr:nvSpPr>
                  <xdr:spPr>
                    <a:xfrm>
                      <a:off x="9221109" y="8841442"/>
                      <a:ext cx="1618837" cy="762382"/>
                    </a:xfrm>
                    <a:prstGeom prst="cloud">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CA"/>
                    </a:p>
                  </xdr:txBody>
                </xdr:sp>
                <xdr:sp macro="" textlink="">
                  <xdr:nvSpPr>
                    <xdr:cNvPr id="22" name="Text Box 61">
                      <a:extLst>
                        <a:ext uri="{FF2B5EF4-FFF2-40B4-BE49-F238E27FC236}">
                          <a16:creationId xmlns:a16="http://schemas.microsoft.com/office/drawing/2014/main" id="{00000000-0008-0000-0300-000016000000}"/>
                        </a:ext>
                      </a:extLst>
                    </xdr:cNvPr>
                    <xdr:cNvSpPr txBox="1">
                      <a:spLocks noChangeArrowheads="1"/>
                    </xdr:cNvSpPr>
                  </xdr:nvSpPr>
                  <xdr:spPr bwMode="auto">
                    <a:xfrm>
                      <a:off x="9188824" y="9019481"/>
                      <a:ext cx="1664204" cy="407825"/>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Hot water</a:t>
                      </a:r>
                      <a:r>
                        <a:rPr lang="en-US" sz="1200" b="1" baseline="0">
                          <a:solidFill>
                            <a:srgbClr val="000066"/>
                          </a:solidFill>
                          <a:latin typeface="Arial" charset="0"/>
                        </a:rPr>
                        <a:t> for use </a:t>
                      </a:r>
                      <a:r>
                        <a:rPr lang="en-US" sz="1200" b="1">
                          <a:solidFill>
                            <a:srgbClr val="000066"/>
                          </a:solidFill>
                          <a:latin typeface="Arial" charset="0"/>
                        </a:rPr>
                        <a:t>"X"</a:t>
                      </a:r>
                    </a:p>
                  </xdr:txBody>
                </xdr:sp>
              </xdr:grpSp>
            </xdr:grpSp>
          </xdr:grpSp>
          <xdr:sp macro="" textlink="">
            <xdr:nvSpPr>
              <xdr:cNvPr id="15" name="Line 59">
                <a:extLst>
                  <a:ext uri="{FF2B5EF4-FFF2-40B4-BE49-F238E27FC236}">
                    <a16:creationId xmlns:a16="http://schemas.microsoft.com/office/drawing/2014/main" id="{00000000-0008-0000-0300-00000F000000}"/>
                  </a:ext>
                </a:extLst>
              </xdr:cNvPr>
              <xdr:cNvSpPr>
                <a:spLocks noChangeShapeType="1"/>
              </xdr:cNvSpPr>
            </xdr:nvSpPr>
            <xdr:spPr bwMode="auto">
              <a:xfrm>
                <a:off x="13672777" y="10774456"/>
                <a:ext cx="0" cy="398332"/>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3" name="Rectangle 12">
              <a:extLst>
                <a:ext uri="{FF2B5EF4-FFF2-40B4-BE49-F238E27FC236}">
                  <a16:creationId xmlns:a16="http://schemas.microsoft.com/office/drawing/2014/main" id="{00000000-0008-0000-0300-00000D000000}"/>
                </a:ext>
              </a:extLst>
            </xdr:cNvPr>
            <xdr:cNvSpPr/>
          </xdr:nvSpPr>
          <xdr:spPr>
            <a:xfrm>
              <a:off x="369794" y="8090647"/>
              <a:ext cx="14242677" cy="7519147"/>
            </a:xfrm>
            <a:prstGeom prst="rect">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grpSp>
      <xdr:sp macro="" textlink="">
        <xdr:nvSpPr>
          <xdr:cNvPr id="11" name="ZoneTexte 10">
            <a:extLst>
              <a:ext uri="{FF2B5EF4-FFF2-40B4-BE49-F238E27FC236}">
                <a16:creationId xmlns:a16="http://schemas.microsoft.com/office/drawing/2014/main" id="{00000000-0008-0000-0300-00000B000000}"/>
              </a:ext>
            </a:extLst>
          </xdr:cNvPr>
          <xdr:cNvSpPr txBox="1"/>
        </xdr:nvSpPr>
        <xdr:spPr>
          <a:xfrm>
            <a:off x="661147" y="8673353"/>
            <a:ext cx="2017059"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solidFill>
                  <a:srgbClr val="FF0000"/>
                </a:solidFill>
              </a:rPr>
              <a:t>HOT WATER SYSTEM #1</a:t>
            </a:r>
          </a:p>
        </xdr:txBody>
      </xdr:sp>
    </xdr:grpSp>
    <xdr:clientData/>
  </xdr:twoCellAnchor>
  <xdr:twoCellAnchor>
    <xdr:from>
      <xdr:col>9</xdr:col>
      <xdr:colOff>483473</xdr:colOff>
      <xdr:row>39</xdr:row>
      <xdr:rowOff>54942</xdr:rowOff>
    </xdr:from>
    <xdr:to>
      <xdr:col>24</xdr:col>
      <xdr:colOff>102471</xdr:colOff>
      <xdr:row>72</xdr:row>
      <xdr:rowOff>49451</xdr:rowOff>
    </xdr:to>
    <xdr:grpSp>
      <xdr:nvGrpSpPr>
        <xdr:cNvPr id="125" name="Groupe 124">
          <a:extLst>
            <a:ext uri="{FF2B5EF4-FFF2-40B4-BE49-F238E27FC236}">
              <a16:creationId xmlns:a16="http://schemas.microsoft.com/office/drawing/2014/main" id="{00000000-0008-0000-0300-00007D000000}"/>
            </a:ext>
          </a:extLst>
        </xdr:cNvPr>
        <xdr:cNvGrpSpPr/>
      </xdr:nvGrpSpPr>
      <xdr:grpSpPr>
        <a:xfrm>
          <a:off x="13862288" y="7345377"/>
          <a:ext cx="12544423" cy="6031454"/>
          <a:chOff x="468605" y="8550089"/>
          <a:chExt cx="14311955" cy="7519147"/>
        </a:xfrm>
      </xdr:grpSpPr>
      <xdr:grpSp>
        <xdr:nvGrpSpPr>
          <xdr:cNvPr id="126" name="Groupe 125">
            <a:extLst>
              <a:ext uri="{FF2B5EF4-FFF2-40B4-BE49-F238E27FC236}">
                <a16:creationId xmlns:a16="http://schemas.microsoft.com/office/drawing/2014/main" id="{00000000-0008-0000-0300-00007E000000}"/>
              </a:ext>
            </a:extLst>
          </xdr:cNvPr>
          <xdr:cNvGrpSpPr/>
        </xdr:nvGrpSpPr>
        <xdr:grpSpPr>
          <a:xfrm>
            <a:off x="468605" y="8550089"/>
            <a:ext cx="14311955" cy="7519147"/>
            <a:chOff x="300516" y="8090647"/>
            <a:chExt cx="14311955" cy="7519147"/>
          </a:xfrm>
        </xdr:grpSpPr>
        <xdr:grpSp>
          <xdr:nvGrpSpPr>
            <xdr:cNvPr id="128" name="Groupe 127">
              <a:extLst>
                <a:ext uri="{FF2B5EF4-FFF2-40B4-BE49-F238E27FC236}">
                  <a16:creationId xmlns:a16="http://schemas.microsoft.com/office/drawing/2014/main" id="{00000000-0008-0000-0300-000080000000}"/>
                </a:ext>
              </a:extLst>
            </xdr:cNvPr>
            <xdr:cNvGrpSpPr/>
          </xdr:nvGrpSpPr>
          <xdr:grpSpPr>
            <a:xfrm>
              <a:off x="300516" y="8157884"/>
              <a:ext cx="13942161" cy="7295027"/>
              <a:chOff x="300516" y="8157884"/>
              <a:chExt cx="13942161" cy="7295027"/>
            </a:xfrm>
          </xdr:grpSpPr>
          <xdr:grpSp>
            <xdr:nvGrpSpPr>
              <xdr:cNvPr id="130" name="Groupe 129">
                <a:extLst>
                  <a:ext uri="{FF2B5EF4-FFF2-40B4-BE49-F238E27FC236}">
                    <a16:creationId xmlns:a16="http://schemas.microsoft.com/office/drawing/2014/main" id="{00000000-0008-0000-0300-000082000000}"/>
                  </a:ext>
                </a:extLst>
              </xdr:cNvPr>
              <xdr:cNvGrpSpPr/>
            </xdr:nvGrpSpPr>
            <xdr:grpSpPr>
              <a:xfrm>
                <a:off x="300516" y="8157884"/>
                <a:ext cx="13942161" cy="7295027"/>
                <a:chOff x="535839" y="8841442"/>
                <a:chExt cx="13942161" cy="7295027"/>
              </a:xfrm>
            </xdr:grpSpPr>
            <xdr:sp macro="" textlink="">
              <xdr:nvSpPr>
                <xdr:cNvPr id="132" name="Line 13">
                  <a:extLst>
                    <a:ext uri="{FF2B5EF4-FFF2-40B4-BE49-F238E27FC236}">
                      <a16:creationId xmlns:a16="http://schemas.microsoft.com/office/drawing/2014/main" id="{00000000-0008-0000-0300-000084000000}"/>
                    </a:ext>
                  </a:extLst>
                </xdr:cNvPr>
                <xdr:cNvSpPr>
                  <a:spLocks noChangeShapeType="1"/>
                </xdr:cNvSpPr>
              </xdr:nvSpPr>
              <xdr:spPr bwMode="auto">
                <a:xfrm>
                  <a:off x="2420471" y="9244853"/>
                  <a:ext cx="15522" cy="4273366"/>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33" name="Groupe 132">
                  <a:extLst>
                    <a:ext uri="{FF2B5EF4-FFF2-40B4-BE49-F238E27FC236}">
                      <a16:creationId xmlns:a16="http://schemas.microsoft.com/office/drawing/2014/main" id="{00000000-0008-0000-0300-000085000000}"/>
                    </a:ext>
                  </a:extLst>
                </xdr:cNvPr>
                <xdr:cNvGrpSpPr/>
              </xdr:nvGrpSpPr>
              <xdr:grpSpPr>
                <a:xfrm>
                  <a:off x="535839" y="8841442"/>
                  <a:ext cx="13942161" cy="7295027"/>
                  <a:chOff x="535839" y="8841442"/>
                  <a:chExt cx="13942161" cy="7295027"/>
                </a:xfrm>
              </xdr:grpSpPr>
              <xdr:grpSp>
                <xdr:nvGrpSpPr>
                  <xdr:cNvPr id="140" name="Groupe 139">
                    <a:extLst>
                      <a:ext uri="{FF2B5EF4-FFF2-40B4-BE49-F238E27FC236}">
                        <a16:creationId xmlns:a16="http://schemas.microsoft.com/office/drawing/2014/main" id="{00000000-0008-0000-0300-00008C000000}"/>
                      </a:ext>
                    </a:extLst>
                  </xdr:cNvPr>
                  <xdr:cNvGrpSpPr/>
                </xdr:nvGrpSpPr>
                <xdr:grpSpPr>
                  <a:xfrm>
                    <a:off x="535839" y="9177618"/>
                    <a:ext cx="13942161" cy="6958851"/>
                    <a:chOff x="222659" y="-148084"/>
                    <a:chExt cx="11865713" cy="5382333"/>
                  </a:xfrm>
                </xdr:grpSpPr>
                <xdr:grpSp>
                  <xdr:nvGrpSpPr>
                    <xdr:cNvPr id="141" name="Groupe 140">
                      <a:extLst>
                        <a:ext uri="{FF2B5EF4-FFF2-40B4-BE49-F238E27FC236}">
                          <a16:creationId xmlns:a16="http://schemas.microsoft.com/office/drawing/2014/main" id="{00000000-0008-0000-0300-00008D000000}"/>
                        </a:ext>
                      </a:extLst>
                    </xdr:cNvPr>
                    <xdr:cNvGrpSpPr/>
                  </xdr:nvGrpSpPr>
                  <xdr:grpSpPr>
                    <a:xfrm>
                      <a:off x="222659" y="-148084"/>
                      <a:ext cx="11865713" cy="5382331"/>
                      <a:chOff x="222659" y="-148084"/>
                      <a:chExt cx="11865713" cy="5382331"/>
                    </a:xfrm>
                  </xdr:grpSpPr>
                  <xdr:grpSp>
                    <xdr:nvGrpSpPr>
                      <xdr:cNvPr id="143" name="Groupe 142">
                        <a:extLst>
                          <a:ext uri="{FF2B5EF4-FFF2-40B4-BE49-F238E27FC236}">
                            <a16:creationId xmlns:a16="http://schemas.microsoft.com/office/drawing/2014/main" id="{00000000-0008-0000-0300-00008F000000}"/>
                          </a:ext>
                        </a:extLst>
                      </xdr:cNvPr>
                      <xdr:cNvGrpSpPr/>
                    </xdr:nvGrpSpPr>
                    <xdr:grpSpPr>
                      <a:xfrm>
                        <a:off x="222659" y="453669"/>
                        <a:ext cx="4237065" cy="4629436"/>
                        <a:chOff x="66217" y="272143"/>
                        <a:chExt cx="6293168" cy="6339614"/>
                      </a:xfrm>
                    </xdr:grpSpPr>
                    <xdr:sp macro="" textlink="">
                      <xdr:nvSpPr>
                        <xdr:cNvPr id="207" name="Text Box 60">
                          <a:extLst>
                            <a:ext uri="{FF2B5EF4-FFF2-40B4-BE49-F238E27FC236}">
                              <a16:creationId xmlns:a16="http://schemas.microsoft.com/office/drawing/2014/main" id="{00000000-0008-0000-0300-0000CF0000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Natural Gas</a:t>
                          </a:r>
                        </a:p>
                      </xdr:txBody>
                    </xdr:sp>
                    <xdr:grpSp>
                      <xdr:nvGrpSpPr>
                        <xdr:cNvPr id="208" name="Groupe 207">
                          <a:extLst>
                            <a:ext uri="{FF2B5EF4-FFF2-40B4-BE49-F238E27FC236}">
                              <a16:creationId xmlns:a16="http://schemas.microsoft.com/office/drawing/2014/main" id="{00000000-0008-0000-0300-0000D0000000}"/>
                            </a:ext>
                          </a:extLst>
                        </xdr:cNvPr>
                        <xdr:cNvGrpSpPr/>
                      </xdr:nvGrpSpPr>
                      <xdr:grpSpPr>
                        <a:xfrm>
                          <a:off x="66217" y="272143"/>
                          <a:ext cx="6293168" cy="6339614"/>
                          <a:chOff x="66217" y="272143"/>
                          <a:chExt cx="6293168" cy="6339614"/>
                        </a:xfrm>
                      </xdr:grpSpPr>
                      <xdr:sp macro="" textlink="">
                        <xdr:nvSpPr>
                          <xdr:cNvPr id="209" name="ZoneTexte 92">
                            <a:extLst>
                              <a:ext uri="{FF2B5EF4-FFF2-40B4-BE49-F238E27FC236}">
                                <a16:creationId xmlns:a16="http://schemas.microsoft.com/office/drawing/2014/main" id="{00000000-0008-0000-0300-0000D1000000}"/>
                              </a:ext>
                            </a:extLst>
                          </xdr:cNvPr>
                          <xdr:cNvSpPr txBox="1"/>
                        </xdr:nvSpPr>
                        <xdr:spPr>
                          <a:xfrm>
                            <a:off x="66217" y="3729229"/>
                            <a:ext cx="1278273"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radiation and convection losses</a:t>
                            </a:r>
                          </a:p>
                        </xdr:txBody>
                      </xdr:sp>
                      <xdr:grpSp>
                        <xdr:nvGrpSpPr>
                          <xdr:cNvPr id="212" name="Groupe 211">
                            <a:extLst>
                              <a:ext uri="{FF2B5EF4-FFF2-40B4-BE49-F238E27FC236}">
                                <a16:creationId xmlns:a16="http://schemas.microsoft.com/office/drawing/2014/main" id="{00000000-0008-0000-0300-0000D4000000}"/>
                              </a:ext>
                            </a:extLst>
                          </xdr:cNvPr>
                          <xdr:cNvGrpSpPr/>
                        </xdr:nvGrpSpPr>
                        <xdr:grpSpPr>
                          <a:xfrm>
                            <a:off x="1181096" y="272143"/>
                            <a:ext cx="5178289" cy="6339614"/>
                            <a:chOff x="1181096" y="272143"/>
                            <a:chExt cx="5178289" cy="6339614"/>
                          </a:xfrm>
                        </xdr:grpSpPr>
                        <xdr:grpSp>
                          <xdr:nvGrpSpPr>
                            <xdr:cNvPr id="213" name="Groupe 212">
                              <a:extLst>
                                <a:ext uri="{FF2B5EF4-FFF2-40B4-BE49-F238E27FC236}">
                                  <a16:creationId xmlns:a16="http://schemas.microsoft.com/office/drawing/2014/main" id="{00000000-0008-0000-0300-0000D5000000}"/>
                                </a:ext>
                              </a:extLst>
                            </xdr:cNvPr>
                            <xdr:cNvGrpSpPr/>
                          </xdr:nvGrpSpPr>
                          <xdr:grpSpPr>
                            <a:xfrm>
                              <a:off x="1181096" y="278971"/>
                              <a:ext cx="4582682" cy="6332786"/>
                              <a:chOff x="1181100" y="238066"/>
                              <a:chExt cx="3072113" cy="5404214"/>
                            </a:xfrm>
                          </xdr:grpSpPr>
                          <xdr:sp macro="" textlink="">
                            <xdr:nvSpPr>
                              <xdr:cNvPr id="215" name="Text Box 60">
                                <a:extLst>
                                  <a:ext uri="{FF2B5EF4-FFF2-40B4-BE49-F238E27FC236}">
                                    <a16:creationId xmlns:a16="http://schemas.microsoft.com/office/drawing/2014/main" id="{00000000-0008-0000-0300-0000D70000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Flue gas</a:t>
                                </a:r>
                              </a:p>
                            </xdr:txBody>
                          </xdr:sp>
                          <xdr:grpSp>
                            <xdr:nvGrpSpPr>
                              <xdr:cNvPr id="216" name="Groupe 215">
                                <a:extLst>
                                  <a:ext uri="{FF2B5EF4-FFF2-40B4-BE49-F238E27FC236}">
                                    <a16:creationId xmlns:a16="http://schemas.microsoft.com/office/drawing/2014/main" id="{00000000-0008-0000-0300-0000D8000000}"/>
                                  </a:ext>
                                </a:extLst>
                              </xdr:cNvPr>
                              <xdr:cNvGrpSpPr/>
                            </xdr:nvGrpSpPr>
                            <xdr:grpSpPr>
                              <a:xfrm>
                                <a:off x="1181100" y="511879"/>
                                <a:ext cx="3072113" cy="5130401"/>
                                <a:chOff x="1181100" y="511879"/>
                                <a:chExt cx="3072113" cy="5130401"/>
                              </a:xfrm>
                            </xdr:grpSpPr>
                            <xdr:sp macro="" textlink="">
                              <xdr:nvSpPr>
                                <xdr:cNvPr id="217" name="Line 77">
                                  <a:extLst>
                                    <a:ext uri="{FF2B5EF4-FFF2-40B4-BE49-F238E27FC236}">
                                      <a16:creationId xmlns:a16="http://schemas.microsoft.com/office/drawing/2014/main" id="{00000000-0008-0000-0300-0000D90000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218" name="Groupe 217">
                                  <a:extLst>
                                    <a:ext uri="{FF2B5EF4-FFF2-40B4-BE49-F238E27FC236}">
                                      <a16:creationId xmlns:a16="http://schemas.microsoft.com/office/drawing/2014/main" id="{00000000-0008-0000-0300-0000DA000000}"/>
                                    </a:ext>
                                  </a:extLst>
                                </xdr:cNvPr>
                                <xdr:cNvGrpSpPr/>
                              </xdr:nvGrpSpPr>
                              <xdr:grpSpPr>
                                <a:xfrm>
                                  <a:off x="1181100" y="511879"/>
                                  <a:ext cx="3072113" cy="5130401"/>
                                  <a:chOff x="1181100" y="511879"/>
                                  <a:chExt cx="3072113" cy="5130401"/>
                                </a:xfrm>
                              </xdr:grpSpPr>
                              <xdr:sp macro="" textlink="">
                                <xdr:nvSpPr>
                                  <xdr:cNvPr id="219" name="Text Box 62">
                                    <a:extLst>
                                      <a:ext uri="{FF2B5EF4-FFF2-40B4-BE49-F238E27FC236}">
                                        <a16:creationId xmlns:a16="http://schemas.microsoft.com/office/drawing/2014/main" id="{00000000-0008-0000-0300-0000DB000000}"/>
                                      </a:ext>
                                    </a:extLst>
                                  </xdr:cNvPr>
                                  <xdr:cNvSpPr txBox="1">
                                    <a:spLocks noChangeArrowheads="1"/>
                                  </xdr:cNvSpPr>
                                </xdr:nvSpPr>
                                <xdr:spPr bwMode="auto">
                                  <a:xfrm>
                                    <a:off x="3355415" y="1463588"/>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eaLnBrk="0" hangingPunct="0">
                                      <a:defRPr/>
                                    </a:pPr>
                                    <a:r>
                                      <a:rPr lang="en-US" sz="1000" b="1">
                                        <a:solidFill>
                                          <a:srgbClr val="000066"/>
                                        </a:solidFill>
                                        <a:latin typeface="Arial" charset="0"/>
                                      </a:rPr>
                                      <a:t>Stack</a:t>
                                    </a:r>
                                  </a:p>
                                </xdr:txBody>
                              </xdr:sp>
                              <xdr:grpSp>
                                <xdr:nvGrpSpPr>
                                  <xdr:cNvPr id="220" name="Groupe 219">
                                    <a:extLst>
                                      <a:ext uri="{FF2B5EF4-FFF2-40B4-BE49-F238E27FC236}">
                                        <a16:creationId xmlns:a16="http://schemas.microsoft.com/office/drawing/2014/main" id="{00000000-0008-0000-0300-0000DC000000}"/>
                                      </a:ext>
                                    </a:extLst>
                                  </xdr:cNvPr>
                                  <xdr:cNvGrpSpPr/>
                                </xdr:nvGrpSpPr>
                                <xdr:grpSpPr>
                                  <a:xfrm>
                                    <a:off x="1181100" y="511879"/>
                                    <a:ext cx="3072113" cy="5130401"/>
                                    <a:chOff x="1181100" y="511879"/>
                                    <a:chExt cx="3072113" cy="5130401"/>
                                  </a:xfrm>
                                </xdr:grpSpPr>
                                <xdr:sp macro="" textlink="">
                                  <xdr:nvSpPr>
                                    <xdr:cNvPr id="221" name="Text Box 54">
                                      <a:extLst>
                                        <a:ext uri="{FF2B5EF4-FFF2-40B4-BE49-F238E27FC236}">
                                          <a16:creationId xmlns:a16="http://schemas.microsoft.com/office/drawing/2014/main" id="{00000000-0008-0000-0300-0000DD0000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Chemical supply</a:t>
                                      </a:r>
                                    </a:p>
                                  </xdr:txBody>
                                </xdr:sp>
                                <xdr:grpSp>
                                  <xdr:nvGrpSpPr>
                                    <xdr:cNvPr id="222" name="Groupe 221">
                                      <a:extLst>
                                        <a:ext uri="{FF2B5EF4-FFF2-40B4-BE49-F238E27FC236}">
                                          <a16:creationId xmlns:a16="http://schemas.microsoft.com/office/drawing/2014/main" id="{00000000-0008-0000-0300-0000DE000000}"/>
                                        </a:ext>
                                      </a:extLst>
                                    </xdr:cNvPr>
                                    <xdr:cNvGrpSpPr/>
                                  </xdr:nvGrpSpPr>
                                  <xdr:grpSpPr>
                                    <a:xfrm>
                                      <a:off x="1181100" y="511879"/>
                                      <a:ext cx="3072113" cy="4718297"/>
                                      <a:chOff x="1181100" y="511879"/>
                                      <a:chExt cx="3072113" cy="4718297"/>
                                    </a:xfrm>
                                  </xdr:grpSpPr>
                                  <xdr:cxnSp macro="">
                                    <xdr:nvCxnSpPr>
                                      <xdr:cNvPr id="224" name="Connecteur droit avec flèche 223">
                                        <a:extLst>
                                          <a:ext uri="{FF2B5EF4-FFF2-40B4-BE49-F238E27FC236}">
                                            <a16:creationId xmlns:a16="http://schemas.microsoft.com/office/drawing/2014/main" id="{00000000-0008-0000-0300-0000E0000000}"/>
                                          </a:ext>
                                        </a:extLst>
                                      </xdr:cNvPr>
                                      <xdr:cNvCxnSpPr/>
                                    </xdr:nvCxnSpPr>
                                    <xdr:spPr>
                                      <a:xfrm flipH="1">
                                        <a:off x="1190616" y="3257981"/>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5" name="Connecteur droit avec flèche 224">
                                        <a:extLst>
                                          <a:ext uri="{FF2B5EF4-FFF2-40B4-BE49-F238E27FC236}">
                                            <a16:creationId xmlns:a16="http://schemas.microsoft.com/office/drawing/2014/main" id="{00000000-0008-0000-0300-0000E10000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6" name="Connecteur droit avec flèche 225">
                                        <a:extLst>
                                          <a:ext uri="{FF2B5EF4-FFF2-40B4-BE49-F238E27FC236}">
                                            <a16:creationId xmlns:a16="http://schemas.microsoft.com/office/drawing/2014/main" id="{00000000-0008-0000-0300-0000E20000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7" name="Connecteur droit avec flèche 226">
                                        <a:extLst>
                                          <a:ext uri="{FF2B5EF4-FFF2-40B4-BE49-F238E27FC236}">
                                            <a16:creationId xmlns:a16="http://schemas.microsoft.com/office/drawing/2014/main" id="{00000000-0008-0000-0300-0000E30000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8" name="Rectangle 227">
                                        <a:extLst>
                                          <a:ext uri="{FF2B5EF4-FFF2-40B4-BE49-F238E27FC236}">
                                            <a16:creationId xmlns:a16="http://schemas.microsoft.com/office/drawing/2014/main" id="{00000000-0008-0000-0300-0000E40000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Burner</a:t>
                                        </a:r>
                                      </a:p>
                                    </xdr:txBody>
                                  </xdr:sp>
                                  <xdr:sp macro="" textlink="">
                                    <xdr:nvSpPr>
                                      <xdr:cNvPr id="229" name="Oval 24">
                                        <a:extLst>
                                          <a:ext uri="{FF2B5EF4-FFF2-40B4-BE49-F238E27FC236}">
                                            <a16:creationId xmlns:a16="http://schemas.microsoft.com/office/drawing/2014/main" id="{00000000-0008-0000-0300-0000E50000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30" name="Oval 25">
                                        <a:extLst>
                                          <a:ext uri="{FF2B5EF4-FFF2-40B4-BE49-F238E27FC236}">
                                            <a16:creationId xmlns:a16="http://schemas.microsoft.com/office/drawing/2014/main" id="{00000000-0008-0000-0300-0000E60000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31" name="Line 43">
                                        <a:extLst>
                                          <a:ext uri="{FF2B5EF4-FFF2-40B4-BE49-F238E27FC236}">
                                            <a16:creationId xmlns:a16="http://schemas.microsoft.com/office/drawing/2014/main" id="{00000000-0008-0000-0300-0000E70000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32" name="Line 44">
                                        <a:extLst>
                                          <a:ext uri="{FF2B5EF4-FFF2-40B4-BE49-F238E27FC236}">
                                            <a16:creationId xmlns:a16="http://schemas.microsoft.com/office/drawing/2014/main" id="{00000000-0008-0000-0300-0000E80000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34" name="Line 59">
                                        <a:extLst>
                                          <a:ext uri="{FF2B5EF4-FFF2-40B4-BE49-F238E27FC236}">
                                            <a16:creationId xmlns:a16="http://schemas.microsoft.com/office/drawing/2014/main" id="{00000000-0008-0000-0300-0000EA0000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35" name="Rectangle 234">
                                        <a:extLst>
                                          <a:ext uri="{FF2B5EF4-FFF2-40B4-BE49-F238E27FC236}">
                                            <a16:creationId xmlns:a16="http://schemas.microsoft.com/office/drawing/2014/main" id="{00000000-0008-0000-0300-0000EB000000}"/>
                                          </a:ext>
                                        </a:extLst>
                                      </xdr:cNvPr>
                                      <xdr:cNvSpPr>
                                        <a:spLocks noChangeArrowheads="1"/>
                                      </xdr:cNvSpPr>
                                    </xdr:nvSpPr>
                                    <xdr:spPr bwMode="auto">
                                      <a:xfrm>
                                        <a:off x="3097513" y="999092"/>
                                        <a:ext cx="271140" cy="2193975"/>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36" name="Line 78">
                                        <a:extLst>
                                          <a:ext uri="{FF2B5EF4-FFF2-40B4-BE49-F238E27FC236}">
                                            <a16:creationId xmlns:a16="http://schemas.microsoft.com/office/drawing/2014/main" id="{00000000-0008-0000-0300-0000EC0000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237" name="Connecteur droit avec flèche 236">
                                        <a:extLst>
                                          <a:ext uri="{FF2B5EF4-FFF2-40B4-BE49-F238E27FC236}">
                                            <a16:creationId xmlns:a16="http://schemas.microsoft.com/office/drawing/2014/main" id="{00000000-0008-0000-0300-0000ED000000}"/>
                                          </a:ext>
                                        </a:extLst>
                                      </xdr:cNvPr>
                                      <xdr:cNvCxnSpPr/>
                                    </xdr:nvCxnSpPr>
                                    <xdr:spPr>
                                      <a:xfrm>
                                        <a:off x="3713904" y="511879"/>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8" name="Rectangle 237">
                                        <a:extLst>
                                          <a:ext uri="{FF2B5EF4-FFF2-40B4-BE49-F238E27FC236}">
                                            <a16:creationId xmlns:a16="http://schemas.microsoft.com/office/drawing/2014/main" id="{00000000-0008-0000-0300-0000EE0000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Boiler #3</a:t>
                                        </a:r>
                                      </a:p>
                                    </xdr:txBody>
                                  </xdr:sp>
                                  <xdr:pic>
                                    <xdr:nvPicPr>
                                      <xdr:cNvPr id="240" name="irc_mi">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grpSp>
                              </xdr:grpSp>
                            </xdr:grpSp>
                          </xdr:grpSp>
                        </xdr:grpSp>
                        <xdr:sp macro="" textlink="">
                          <xdr:nvSpPr>
                            <xdr:cNvPr id="214" name="ZoneTexte 62">
                              <a:extLst>
                                <a:ext uri="{FF2B5EF4-FFF2-40B4-BE49-F238E27FC236}">
                                  <a16:creationId xmlns:a16="http://schemas.microsoft.com/office/drawing/2014/main" id="{00000000-0008-0000-0300-0000D6000000}"/>
                                </a:ext>
                              </a:extLst>
                            </xdr:cNvPr>
                            <xdr:cNvSpPr txBox="1"/>
                          </xdr:nvSpPr>
                          <xdr:spPr>
                            <a:xfrm>
                              <a:off x="5334047" y="272143"/>
                              <a:ext cx="1025338" cy="291731"/>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Flue gas losses</a:t>
                              </a:r>
                            </a:p>
                          </xdr:txBody>
                        </xdr:sp>
                      </xdr:grpSp>
                    </xdr:grpSp>
                  </xdr:grpSp>
                  <xdr:grpSp>
                    <xdr:nvGrpSpPr>
                      <xdr:cNvPr id="144" name="Groupe 143">
                        <a:extLst>
                          <a:ext uri="{FF2B5EF4-FFF2-40B4-BE49-F238E27FC236}">
                            <a16:creationId xmlns:a16="http://schemas.microsoft.com/office/drawing/2014/main" id="{00000000-0008-0000-0300-000090000000}"/>
                          </a:ext>
                        </a:extLst>
                      </xdr:cNvPr>
                      <xdr:cNvGrpSpPr/>
                    </xdr:nvGrpSpPr>
                    <xdr:grpSpPr>
                      <a:xfrm>
                        <a:off x="3344431" y="-148084"/>
                        <a:ext cx="8743941" cy="5382331"/>
                        <a:chOff x="-2311340" y="-594116"/>
                        <a:chExt cx="12987061" cy="7370643"/>
                      </a:xfrm>
                    </xdr:grpSpPr>
                    <xdr:sp macro="" textlink="">
                      <xdr:nvSpPr>
                        <xdr:cNvPr id="145" name="Text Box 60">
                          <a:extLst>
                            <a:ext uri="{FF2B5EF4-FFF2-40B4-BE49-F238E27FC236}">
                              <a16:creationId xmlns:a16="http://schemas.microsoft.com/office/drawing/2014/main" id="{00000000-0008-0000-0300-0000910000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Natural Gas</a:t>
                          </a:r>
                        </a:p>
                      </xdr:txBody>
                    </xdr:sp>
                    <xdr:grpSp>
                      <xdr:nvGrpSpPr>
                        <xdr:cNvPr id="146" name="Groupe 145">
                          <a:extLst>
                            <a:ext uri="{FF2B5EF4-FFF2-40B4-BE49-F238E27FC236}">
                              <a16:creationId xmlns:a16="http://schemas.microsoft.com/office/drawing/2014/main" id="{00000000-0008-0000-0300-000092000000}"/>
                            </a:ext>
                          </a:extLst>
                        </xdr:cNvPr>
                        <xdr:cNvGrpSpPr/>
                      </xdr:nvGrpSpPr>
                      <xdr:grpSpPr>
                        <a:xfrm>
                          <a:off x="-2311340" y="-594116"/>
                          <a:ext cx="12987061" cy="7370643"/>
                          <a:chOff x="-2311340" y="-594116"/>
                          <a:chExt cx="12987061" cy="7370643"/>
                        </a:xfrm>
                      </xdr:grpSpPr>
                      <xdr:sp macro="" textlink="">
                        <xdr:nvSpPr>
                          <xdr:cNvPr id="147" name="ZoneTexte 92">
                            <a:extLst>
                              <a:ext uri="{FF2B5EF4-FFF2-40B4-BE49-F238E27FC236}">
                                <a16:creationId xmlns:a16="http://schemas.microsoft.com/office/drawing/2014/main" id="{00000000-0008-0000-0300-000093000000}"/>
                              </a:ext>
                            </a:extLst>
                          </xdr:cNvPr>
                          <xdr:cNvSpPr txBox="1"/>
                        </xdr:nvSpPr>
                        <xdr:spPr>
                          <a:xfrm>
                            <a:off x="0" y="3743325"/>
                            <a:ext cx="1278274"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radiation and convection losses</a:t>
                            </a:r>
                          </a:p>
                        </xdr:txBody>
                      </xdr:sp>
                      <xdr:grpSp>
                        <xdr:nvGrpSpPr>
                          <xdr:cNvPr id="154" name="Groupe 153">
                            <a:extLst>
                              <a:ext uri="{FF2B5EF4-FFF2-40B4-BE49-F238E27FC236}">
                                <a16:creationId xmlns:a16="http://schemas.microsoft.com/office/drawing/2014/main" id="{00000000-0008-0000-0300-00009A000000}"/>
                              </a:ext>
                            </a:extLst>
                          </xdr:cNvPr>
                          <xdr:cNvGrpSpPr/>
                        </xdr:nvGrpSpPr>
                        <xdr:grpSpPr>
                          <a:xfrm>
                            <a:off x="-2311340" y="-594116"/>
                            <a:ext cx="12987061" cy="7370643"/>
                            <a:chOff x="-2311340" y="-594116"/>
                            <a:chExt cx="12987061" cy="7370643"/>
                          </a:xfrm>
                        </xdr:grpSpPr>
                        <xdr:grpSp>
                          <xdr:nvGrpSpPr>
                            <xdr:cNvPr id="155" name="Groupe 154">
                              <a:extLst>
                                <a:ext uri="{FF2B5EF4-FFF2-40B4-BE49-F238E27FC236}">
                                  <a16:creationId xmlns:a16="http://schemas.microsoft.com/office/drawing/2014/main" id="{00000000-0008-0000-0300-00009B000000}"/>
                                </a:ext>
                              </a:extLst>
                            </xdr:cNvPr>
                            <xdr:cNvGrpSpPr/>
                          </xdr:nvGrpSpPr>
                          <xdr:grpSpPr>
                            <a:xfrm>
                              <a:off x="-2311340" y="-594116"/>
                              <a:ext cx="12987061" cy="7370643"/>
                              <a:chOff x="-1221294" y="-499536"/>
                              <a:chExt cx="8933589" cy="6197276"/>
                            </a:xfrm>
                          </xdr:grpSpPr>
                          <xdr:grpSp>
                            <xdr:nvGrpSpPr>
                              <xdr:cNvPr id="164" name="Groupe 163">
                                <a:extLst>
                                  <a:ext uri="{FF2B5EF4-FFF2-40B4-BE49-F238E27FC236}">
                                    <a16:creationId xmlns:a16="http://schemas.microsoft.com/office/drawing/2014/main" id="{00000000-0008-0000-0300-0000A4000000}"/>
                                  </a:ext>
                                </a:extLst>
                              </xdr:cNvPr>
                              <xdr:cNvGrpSpPr/>
                            </xdr:nvGrpSpPr>
                            <xdr:grpSpPr>
                              <a:xfrm>
                                <a:off x="-1221294" y="-499536"/>
                                <a:ext cx="8933589" cy="6197276"/>
                                <a:chOff x="-1160141" y="-507001"/>
                                <a:chExt cx="8706194" cy="6289887"/>
                              </a:xfrm>
                            </xdr:grpSpPr>
                            <xdr:sp macro="" textlink="">
                              <xdr:nvSpPr>
                                <xdr:cNvPr id="165" name="Text Box 53">
                                  <a:extLst>
                                    <a:ext uri="{FF2B5EF4-FFF2-40B4-BE49-F238E27FC236}">
                                      <a16:creationId xmlns:a16="http://schemas.microsoft.com/office/drawing/2014/main" id="{00000000-0008-0000-0300-0000A5000000}"/>
                                    </a:ext>
                                  </a:extLst>
                                </xdr:cNvPr>
                                <xdr:cNvSpPr txBox="1">
                                  <a:spLocks noChangeArrowheads="1"/>
                                </xdr:cNvSpPr>
                              </xdr:nvSpPr>
                              <xdr:spPr bwMode="auto">
                                <a:xfrm>
                                  <a:off x="6566732" y="2829169"/>
                                  <a:ext cx="979321" cy="26988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Softener</a:t>
                                  </a:r>
                                </a:p>
                              </xdr:txBody>
                            </xdr:sp>
                            <xdr:grpSp>
                              <xdr:nvGrpSpPr>
                                <xdr:cNvPr id="166" name="Groupe 165">
                                  <a:extLst>
                                    <a:ext uri="{FF2B5EF4-FFF2-40B4-BE49-F238E27FC236}">
                                      <a16:creationId xmlns:a16="http://schemas.microsoft.com/office/drawing/2014/main" id="{00000000-0008-0000-0300-0000A6000000}"/>
                                    </a:ext>
                                  </a:extLst>
                                </xdr:cNvPr>
                                <xdr:cNvGrpSpPr/>
                              </xdr:nvGrpSpPr>
                              <xdr:grpSpPr>
                                <a:xfrm>
                                  <a:off x="-1160141" y="-507001"/>
                                  <a:ext cx="8457537" cy="6289887"/>
                                  <a:chOff x="-1160141" y="-507001"/>
                                  <a:chExt cx="8457537" cy="6289887"/>
                                </a:xfrm>
                              </xdr:grpSpPr>
                              <xdr:sp macro="" textlink="">
                                <xdr:nvSpPr>
                                  <xdr:cNvPr id="167" name="Text Box 60">
                                    <a:extLst>
                                      <a:ext uri="{FF2B5EF4-FFF2-40B4-BE49-F238E27FC236}">
                                        <a16:creationId xmlns:a16="http://schemas.microsoft.com/office/drawing/2014/main" id="{00000000-0008-0000-0300-0000A70000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Flue gas</a:t>
                                    </a:r>
                                  </a:p>
                                </xdr:txBody>
                              </xdr:sp>
                              <xdr:grpSp>
                                <xdr:nvGrpSpPr>
                                  <xdr:cNvPr id="168" name="Groupe 167">
                                    <a:extLst>
                                      <a:ext uri="{FF2B5EF4-FFF2-40B4-BE49-F238E27FC236}">
                                        <a16:creationId xmlns:a16="http://schemas.microsoft.com/office/drawing/2014/main" id="{00000000-0008-0000-0300-0000A8000000}"/>
                                      </a:ext>
                                    </a:extLst>
                                  </xdr:cNvPr>
                                  <xdr:cNvGrpSpPr/>
                                </xdr:nvGrpSpPr>
                                <xdr:grpSpPr>
                                  <a:xfrm>
                                    <a:off x="-1160141" y="-507001"/>
                                    <a:ext cx="8457537" cy="6289887"/>
                                    <a:chOff x="-1160141" y="-507001"/>
                                    <a:chExt cx="8457537" cy="6289887"/>
                                  </a:xfrm>
                                </xdr:grpSpPr>
                                <xdr:sp macro="" textlink="">
                                  <xdr:nvSpPr>
                                    <xdr:cNvPr id="169" name="Line 77">
                                      <a:extLst>
                                        <a:ext uri="{FF2B5EF4-FFF2-40B4-BE49-F238E27FC236}">
                                          <a16:creationId xmlns:a16="http://schemas.microsoft.com/office/drawing/2014/main" id="{00000000-0008-0000-0300-0000A90000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70" name="Groupe 169">
                                      <a:extLst>
                                        <a:ext uri="{FF2B5EF4-FFF2-40B4-BE49-F238E27FC236}">
                                          <a16:creationId xmlns:a16="http://schemas.microsoft.com/office/drawing/2014/main" id="{00000000-0008-0000-0300-0000AA000000}"/>
                                        </a:ext>
                                      </a:extLst>
                                    </xdr:cNvPr>
                                    <xdr:cNvGrpSpPr/>
                                  </xdr:nvGrpSpPr>
                                  <xdr:grpSpPr>
                                    <a:xfrm>
                                      <a:off x="-1160141" y="-507001"/>
                                      <a:ext cx="8457537" cy="6289887"/>
                                      <a:chOff x="-1160141" y="-507001"/>
                                      <a:chExt cx="8457537" cy="6289887"/>
                                    </a:xfrm>
                                  </xdr:grpSpPr>
                                  <xdr:sp macro="" textlink="">
                                    <xdr:nvSpPr>
                                      <xdr:cNvPr id="171" name="Text Box 62">
                                        <a:extLst>
                                          <a:ext uri="{FF2B5EF4-FFF2-40B4-BE49-F238E27FC236}">
                                            <a16:creationId xmlns:a16="http://schemas.microsoft.com/office/drawing/2014/main" id="{00000000-0008-0000-0300-0000AB000000}"/>
                                          </a:ext>
                                        </a:extLst>
                                      </xdr:cNvPr>
                                      <xdr:cNvSpPr txBox="1">
                                        <a:spLocks noChangeArrowheads="1"/>
                                      </xdr:cNvSpPr>
                                    </xdr:nvSpPr>
                                    <xdr:spPr bwMode="auto">
                                      <a:xfrm>
                                        <a:off x="2315178" y="1469253"/>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eaLnBrk="0" hangingPunct="0">
                                          <a:defRPr/>
                                        </a:pPr>
                                        <a:r>
                                          <a:rPr lang="en-US" sz="1000" b="1">
                                            <a:solidFill>
                                              <a:srgbClr val="000066"/>
                                            </a:solidFill>
                                            <a:latin typeface="Arial" charset="0"/>
                                          </a:rPr>
                                          <a:t>Stack</a:t>
                                        </a:r>
                                      </a:p>
                                    </xdr:txBody>
                                  </xdr:sp>
                                  <xdr:grpSp>
                                    <xdr:nvGrpSpPr>
                                      <xdr:cNvPr id="172" name="Groupe 171">
                                        <a:extLst>
                                          <a:ext uri="{FF2B5EF4-FFF2-40B4-BE49-F238E27FC236}">
                                            <a16:creationId xmlns:a16="http://schemas.microsoft.com/office/drawing/2014/main" id="{00000000-0008-0000-0300-0000AC000000}"/>
                                          </a:ext>
                                        </a:extLst>
                                      </xdr:cNvPr>
                                      <xdr:cNvGrpSpPr/>
                                    </xdr:nvGrpSpPr>
                                    <xdr:grpSpPr>
                                      <a:xfrm>
                                        <a:off x="-1160141" y="-507001"/>
                                        <a:ext cx="8457537" cy="6289887"/>
                                        <a:chOff x="-1160141" y="-507001"/>
                                        <a:chExt cx="8457537" cy="6289887"/>
                                      </a:xfrm>
                                    </xdr:grpSpPr>
                                    <xdr:sp macro="" textlink="">
                                      <xdr:nvSpPr>
                                        <xdr:cNvPr id="173" name="Text Box 54">
                                          <a:extLst>
                                            <a:ext uri="{FF2B5EF4-FFF2-40B4-BE49-F238E27FC236}">
                                              <a16:creationId xmlns:a16="http://schemas.microsoft.com/office/drawing/2014/main" id="{00000000-0008-0000-0300-0000AD0000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Chemical supply</a:t>
                                          </a:r>
                                        </a:p>
                                      </xdr:txBody>
                                    </xdr:sp>
                                    <xdr:grpSp>
                                      <xdr:nvGrpSpPr>
                                        <xdr:cNvPr id="174" name="Groupe 173">
                                          <a:extLst>
                                            <a:ext uri="{FF2B5EF4-FFF2-40B4-BE49-F238E27FC236}">
                                              <a16:creationId xmlns:a16="http://schemas.microsoft.com/office/drawing/2014/main" id="{00000000-0008-0000-0300-0000AE000000}"/>
                                            </a:ext>
                                          </a:extLst>
                                        </xdr:cNvPr>
                                        <xdr:cNvGrpSpPr/>
                                      </xdr:nvGrpSpPr>
                                      <xdr:grpSpPr>
                                        <a:xfrm>
                                          <a:off x="-1160141" y="-507001"/>
                                          <a:ext cx="8457537" cy="6289887"/>
                                          <a:chOff x="-1160141" y="-507001"/>
                                          <a:chExt cx="8457537" cy="6289887"/>
                                        </a:xfrm>
                                      </xdr:grpSpPr>
                                      <xdr:cxnSp macro="">
                                        <xdr:nvCxnSpPr>
                                          <xdr:cNvPr id="176" name="Connecteur droit avec flèche 175">
                                            <a:extLst>
                                              <a:ext uri="{FF2B5EF4-FFF2-40B4-BE49-F238E27FC236}">
                                                <a16:creationId xmlns:a16="http://schemas.microsoft.com/office/drawing/2014/main" id="{00000000-0008-0000-0300-0000B0000000}"/>
                                              </a:ext>
                                            </a:extLst>
                                          </xdr:cNvPr>
                                          <xdr:cNvCxnSpPr/>
                                        </xdr:nvCxnSpPr>
                                        <xdr:spPr>
                                          <a:xfrm flipH="1">
                                            <a:off x="1190616" y="3257982"/>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7" name="Connecteur droit avec flèche 176">
                                            <a:extLst>
                                              <a:ext uri="{FF2B5EF4-FFF2-40B4-BE49-F238E27FC236}">
                                                <a16:creationId xmlns:a16="http://schemas.microsoft.com/office/drawing/2014/main" id="{00000000-0008-0000-0300-0000B10000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8" name="Connecteur droit avec flèche 177">
                                            <a:extLst>
                                              <a:ext uri="{FF2B5EF4-FFF2-40B4-BE49-F238E27FC236}">
                                                <a16:creationId xmlns:a16="http://schemas.microsoft.com/office/drawing/2014/main" id="{00000000-0008-0000-0300-0000B20000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9" name="Connecteur droit avec flèche 178">
                                            <a:extLst>
                                              <a:ext uri="{FF2B5EF4-FFF2-40B4-BE49-F238E27FC236}">
                                                <a16:creationId xmlns:a16="http://schemas.microsoft.com/office/drawing/2014/main" id="{00000000-0008-0000-0300-0000B30000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0" name="Line 13">
                                            <a:extLst>
                                              <a:ext uri="{FF2B5EF4-FFF2-40B4-BE49-F238E27FC236}">
                                                <a16:creationId xmlns:a16="http://schemas.microsoft.com/office/drawing/2014/main" id="{00000000-0008-0000-0300-0000B4000000}"/>
                                              </a:ext>
                                            </a:extLst>
                                          </xdr:cNvPr>
                                          <xdr:cNvSpPr>
                                            <a:spLocks noChangeShapeType="1"/>
                                          </xdr:cNvSpPr>
                                        </xdr:nvSpPr>
                                        <xdr:spPr bwMode="auto">
                                          <a:xfrm>
                                            <a:off x="1991019" y="-507001"/>
                                            <a:ext cx="13153" cy="3862563"/>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 name="Rectangle 180">
                                            <a:extLst>
                                              <a:ext uri="{FF2B5EF4-FFF2-40B4-BE49-F238E27FC236}">
                                                <a16:creationId xmlns:a16="http://schemas.microsoft.com/office/drawing/2014/main" id="{00000000-0008-0000-0300-0000B50000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Burner</a:t>
                                            </a:r>
                                          </a:p>
                                        </xdr:txBody>
                                      </xdr:sp>
                                      <xdr:sp macro="" textlink="">
                                        <xdr:nvSpPr>
                                          <xdr:cNvPr id="184" name="Oval 24">
                                            <a:extLst>
                                              <a:ext uri="{FF2B5EF4-FFF2-40B4-BE49-F238E27FC236}">
                                                <a16:creationId xmlns:a16="http://schemas.microsoft.com/office/drawing/2014/main" id="{00000000-0008-0000-0300-0000B80000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5" name="Oval 25">
                                            <a:extLst>
                                              <a:ext uri="{FF2B5EF4-FFF2-40B4-BE49-F238E27FC236}">
                                                <a16:creationId xmlns:a16="http://schemas.microsoft.com/office/drawing/2014/main" id="{00000000-0008-0000-0300-0000B90000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6" name="Group 26">
                                            <a:extLst>
                                              <a:ext uri="{FF2B5EF4-FFF2-40B4-BE49-F238E27FC236}">
                                                <a16:creationId xmlns:a16="http://schemas.microsoft.com/office/drawing/2014/main" id="{00000000-0008-0000-0300-0000BA000000}"/>
                                              </a:ext>
                                            </a:extLst>
                                          </xdr:cNvPr>
                                          <xdr:cNvGrpSpPr>
                                            <a:grpSpLocks/>
                                          </xdr:cNvGrpSpPr>
                                        </xdr:nvGrpSpPr>
                                        <xdr:grpSpPr bwMode="auto">
                                          <a:xfrm>
                                            <a:off x="6813767" y="1978503"/>
                                            <a:ext cx="483629" cy="838571"/>
                                            <a:chOff x="6813767" y="1974449"/>
                                            <a:chExt cx="615" cy="974"/>
                                          </a:xfrm>
                                        </xdr:grpSpPr>
                                        <xdr:sp macro="" textlink="">
                                          <xdr:nvSpPr>
                                            <xdr:cNvPr id="202" name="AutoShape 27">
                                              <a:extLst>
                                                <a:ext uri="{FF2B5EF4-FFF2-40B4-BE49-F238E27FC236}">
                                                  <a16:creationId xmlns:a16="http://schemas.microsoft.com/office/drawing/2014/main" id="{00000000-0008-0000-0300-0000CA000000}"/>
                                                </a:ext>
                                              </a:extLst>
                                            </xdr:cNvPr>
                                            <xdr:cNvSpPr>
                                              <a:spLocks noChangeArrowheads="1"/>
                                            </xdr:cNvSpPr>
                                          </xdr:nvSpPr>
                                          <xdr:spPr bwMode="auto">
                                            <a:xfrm rot="16200000">
                                              <a:off x="6813974" y="1974244"/>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03" name="Rectangle 202">
                                              <a:extLst>
                                                <a:ext uri="{FF2B5EF4-FFF2-40B4-BE49-F238E27FC236}">
                                                  <a16:creationId xmlns:a16="http://schemas.microsoft.com/office/drawing/2014/main" id="{00000000-0008-0000-0300-0000CB000000}"/>
                                                </a:ext>
                                              </a:extLst>
                                            </xdr:cNvPr>
                                            <xdr:cNvSpPr>
                                              <a:spLocks noChangeArrowheads="1"/>
                                            </xdr:cNvSpPr>
                                          </xdr:nvSpPr>
                                          <xdr:spPr bwMode="auto">
                                            <a:xfrm>
                                              <a:off x="6813767" y="1974649"/>
                                              <a:ext cx="613" cy="585"/>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204" name="AutoShape 29">
                                              <a:extLst>
                                                <a:ext uri="{FF2B5EF4-FFF2-40B4-BE49-F238E27FC236}">
                                                  <a16:creationId xmlns:a16="http://schemas.microsoft.com/office/drawing/2014/main" id="{00000000-0008-0000-0300-0000CC000000}"/>
                                                </a:ext>
                                              </a:extLst>
                                            </xdr:cNvPr>
                                            <xdr:cNvSpPr>
                                              <a:spLocks noChangeArrowheads="1"/>
                                            </xdr:cNvSpPr>
                                          </xdr:nvSpPr>
                                          <xdr:spPr bwMode="auto">
                                            <a:xfrm rot="16200000" flipH="1" flipV="1">
                                              <a:off x="6813973" y="1975015"/>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87" name="Line 43">
                                            <a:extLst>
                                              <a:ext uri="{FF2B5EF4-FFF2-40B4-BE49-F238E27FC236}">
                                                <a16:creationId xmlns:a16="http://schemas.microsoft.com/office/drawing/2014/main" id="{00000000-0008-0000-0300-0000BB0000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8" name="Line 44">
                                            <a:extLst>
                                              <a:ext uri="{FF2B5EF4-FFF2-40B4-BE49-F238E27FC236}">
                                                <a16:creationId xmlns:a16="http://schemas.microsoft.com/office/drawing/2014/main" id="{00000000-0008-0000-0300-0000BC0000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91" name="Line 59">
                                            <a:extLst>
                                              <a:ext uri="{FF2B5EF4-FFF2-40B4-BE49-F238E27FC236}">
                                                <a16:creationId xmlns:a16="http://schemas.microsoft.com/office/drawing/2014/main" id="{00000000-0008-0000-0300-0000BF0000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93" name="AutoShape 73">
                                            <a:extLst>
                                              <a:ext uri="{FF2B5EF4-FFF2-40B4-BE49-F238E27FC236}">
                                                <a16:creationId xmlns:a16="http://schemas.microsoft.com/office/drawing/2014/main" id="{00000000-0008-0000-0300-0000C1000000}"/>
                                              </a:ext>
                                            </a:extLst>
                                          </xdr:cNvPr>
                                          <xdr:cNvCxnSpPr>
                                            <a:cxnSpLocks noChangeShapeType="1"/>
                                            <a:endCxn id="229" idx="6"/>
                                          </xdr:cNvCxnSpPr>
                                        </xdr:nvCxnSpPr>
                                        <xdr:spPr bwMode="auto">
                                          <a:xfrm rot="10800000">
                                            <a:off x="-1160141" y="5020226"/>
                                            <a:ext cx="1071519" cy="762660"/>
                                          </a:xfrm>
                                          <a:prstGeom prst="bentConnector3">
                                            <a:avLst>
                                              <a:gd name="adj1" fmla="val 50000"/>
                                            </a:avLst>
                                          </a:prstGeom>
                                          <a:noFill/>
                                          <a:ln w="28575">
                                            <a:solidFill>
                                              <a:srgbClr val="000066"/>
                                            </a:solidFill>
                                            <a:miter lim="800000"/>
                                            <a:headEnd/>
                                            <a:tailEnd type="triangle" w="med" len="med"/>
                                          </a:ln>
                                        </xdr:spPr>
                                      </xdr:cxnSp>
                                      <xdr:cxnSp macro="">
                                        <xdr:nvCxnSpPr>
                                          <xdr:cNvPr id="194" name="AutoShape 74">
                                            <a:extLst>
                                              <a:ext uri="{FF2B5EF4-FFF2-40B4-BE49-F238E27FC236}">
                                                <a16:creationId xmlns:a16="http://schemas.microsoft.com/office/drawing/2014/main" id="{00000000-0008-0000-0300-0000C2000000}"/>
                                              </a:ext>
                                            </a:extLst>
                                          </xdr:cNvPr>
                                          <xdr:cNvCxnSpPr>
                                            <a:cxnSpLocks noChangeShapeType="1"/>
                                            <a:stCxn id="270" idx="3"/>
                                          </xdr:cNvCxnSpPr>
                                        </xdr:nvCxnSpPr>
                                        <xdr:spPr bwMode="auto">
                                          <a:xfrm rot="5400000">
                                            <a:off x="3165196" y="3175314"/>
                                            <a:ext cx="2286914" cy="1518642"/>
                                          </a:xfrm>
                                          <a:prstGeom prst="bentConnector3">
                                            <a:avLst>
                                              <a:gd name="adj1" fmla="val 100270"/>
                                            </a:avLst>
                                          </a:prstGeom>
                                          <a:noFill/>
                                          <a:ln w="28575">
                                            <a:solidFill>
                                              <a:srgbClr val="000066"/>
                                            </a:solidFill>
                                            <a:miter lim="800000"/>
                                            <a:headEnd/>
                                            <a:tailEnd type="triangle" w="med" len="med"/>
                                          </a:ln>
                                        </xdr:spPr>
                                      </xdr:cxnSp>
                                      <xdr:sp macro="" textlink="">
                                        <xdr:nvSpPr>
                                          <xdr:cNvPr id="195" name="Rectangle 194">
                                            <a:extLst>
                                              <a:ext uri="{FF2B5EF4-FFF2-40B4-BE49-F238E27FC236}">
                                                <a16:creationId xmlns:a16="http://schemas.microsoft.com/office/drawing/2014/main" id="{00000000-0008-0000-0300-0000C30000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Boiler #4</a:t>
                                            </a:r>
                                          </a:p>
                                        </xdr:txBody>
                                      </xdr:sp>
                                      <xdr:sp macro="" textlink="">
                                        <xdr:nvSpPr>
                                          <xdr:cNvPr id="196" name="Line 78">
                                            <a:extLst>
                                              <a:ext uri="{FF2B5EF4-FFF2-40B4-BE49-F238E27FC236}">
                                                <a16:creationId xmlns:a16="http://schemas.microsoft.com/office/drawing/2014/main" id="{00000000-0008-0000-0300-0000C40000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97" name="Connecteur droit avec flèche 196">
                                            <a:extLst>
                                              <a:ext uri="{FF2B5EF4-FFF2-40B4-BE49-F238E27FC236}">
                                                <a16:creationId xmlns:a16="http://schemas.microsoft.com/office/drawing/2014/main" id="{00000000-0008-0000-0300-0000C5000000}"/>
                                              </a:ext>
                                            </a:extLst>
                                          </xdr:cNvPr>
                                          <xdr:cNvCxnSpPr/>
                                        </xdr:nvCxnSpPr>
                                        <xdr:spPr>
                                          <a:xfrm>
                                            <a:off x="3713792" y="491971"/>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200" name="irc_mi">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sp macro="" textlink="">
                                        <xdr:nvSpPr>
                                          <xdr:cNvPr id="201" name="Rectangle 200">
                                            <a:extLst>
                                              <a:ext uri="{FF2B5EF4-FFF2-40B4-BE49-F238E27FC236}">
                                                <a16:creationId xmlns:a16="http://schemas.microsoft.com/office/drawing/2014/main" id="{00000000-0008-0000-0300-0000C9000000}"/>
                                              </a:ext>
                                            </a:extLst>
                                          </xdr:cNvPr>
                                          <xdr:cNvSpPr>
                                            <a:spLocks noChangeArrowheads="1"/>
                                          </xdr:cNvSpPr>
                                        </xdr:nvSpPr>
                                        <xdr:spPr bwMode="auto">
                                          <a:xfrm>
                                            <a:off x="3097891" y="988801"/>
                                            <a:ext cx="271140" cy="2193976"/>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grpSp>
                                </xdr:grpSp>
                              </xdr:grpSp>
                            </xdr:grpSp>
                          </xdr:grpSp>
                          <xdr:sp macro="" textlink="">
                            <xdr:nvSpPr>
                              <xdr:cNvPr id="160" name="Line 50">
                                <a:extLst>
                                  <a:ext uri="{FF2B5EF4-FFF2-40B4-BE49-F238E27FC236}">
                                    <a16:creationId xmlns:a16="http://schemas.microsoft.com/office/drawing/2014/main" id="{00000000-0008-0000-0300-0000A0000000}"/>
                                  </a:ext>
                                </a:extLst>
                              </xdr:cNvPr>
                              <xdr:cNvSpPr>
                                <a:spLocks noChangeShapeType="1"/>
                              </xdr:cNvSpPr>
                            </xdr:nvSpPr>
                            <xdr:spPr bwMode="auto">
                              <a:xfrm flipH="1">
                                <a:off x="5392495" y="2231963"/>
                                <a:ext cx="1586525" cy="6108"/>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57" name="ZoneTexte 62">
                              <a:extLst>
                                <a:ext uri="{FF2B5EF4-FFF2-40B4-BE49-F238E27FC236}">
                                  <a16:creationId xmlns:a16="http://schemas.microsoft.com/office/drawing/2014/main" id="{00000000-0008-0000-0300-00009D000000}"/>
                                </a:ext>
                              </a:extLst>
                            </xdr:cNvPr>
                            <xdr:cNvSpPr txBox="1"/>
                          </xdr:nvSpPr>
                          <xdr:spPr>
                            <a:xfrm>
                              <a:off x="5351678" y="287112"/>
                              <a:ext cx="1025339"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Flue gas losses</a:t>
                              </a:r>
                            </a:p>
                          </xdr:txBody>
                        </xdr:sp>
                      </xdr:grpSp>
                    </xdr:grpSp>
                  </xdr:grpSp>
                </xdr:grpSp>
                <xdr:cxnSp macro="">
                  <xdr:nvCxnSpPr>
                    <xdr:cNvPr id="142" name="AutoShape 73">
                      <a:extLst>
                        <a:ext uri="{FF2B5EF4-FFF2-40B4-BE49-F238E27FC236}">
                          <a16:creationId xmlns:a16="http://schemas.microsoft.com/office/drawing/2014/main" id="{00000000-0008-0000-0300-00008E000000}"/>
                        </a:ext>
                      </a:extLst>
                    </xdr:cNvPr>
                    <xdr:cNvCxnSpPr>
                      <a:cxnSpLocks noChangeShapeType="1"/>
                      <a:stCxn id="270" idx="3"/>
                    </xdr:cNvCxnSpPr>
                  </xdr:nvCxnSpPr>
                  <xdr:spPr bwMode="auto">
                    <a:xfrm rot="5400000">
                      <a:off x="5662346" y="1297046"/>
                      <a:ext cx="2560041" cy="5314365"/>
                    </a:xfrm>
                    <a:prstGeom prst="bentConnector2">
                      <a:avLst/>
                    </a:prstGeom>
                    <a:noFill/>
                    <a:ln w="28575">
                      <a:solidFill>
                        <a:srgbClr val="000066"/>
                      </a:solidFill>
                      <a:miter lim="800000"/>
                      <a:headEnd/>
                      <a:tailEnd type="none" w="med" len="med"/>
                    </a:ln>
                  </xdr:spPr>
                </xdr:cxnSp>
              </xdr:grpSp>
              <xdr:grpSp>
                <xdr:nvGrpSpPr>
                  <xdr:cNvPr id="135" name="Groupe 134">
                    <a:extLst>
                      <a:ext uri="{FF2B5EF4-FFF2-40B4-BE49-F238E27FC236}">
                        <a16:creationId xmlns:a16="http://schemas.microsoft.com/office/drawing/2014/main" id="{00000000-0008-0000-0300-000087000000}"/>
                      </a:ext>
                    </a:extLst>
                  </xdr:cNvPr>
                  <xdr:cNvGrpSpPr/>
                </xdr:nvGrpSpPr>
                <xdr:grpSpPr>
                  <a:xfrm>
                    <a:off x="2373290" y="8841442"/>
                    <a:ext cx="8479738" cy="762382"/>
                    <a:chOff x="2373290" y="8841442"/>
                    <a:chExt cx="8479738" cy="762382"/>
                  </a:xfrm>
                </xdr:grpSpPr>
                <xdr:sp macro="" textlink="">
                  <xdr:nvSpPr>
                    <xdr:cNvPr id="136" name="Line 13">
                      <a:extLst>
                        <a:ext uri="{FF2B5EF4-FFF2-40B4-BE49-F238E27FC236}">
                          <a16:creationId xmlns:a16="http://schemas.microsoft.com/office/drawing/2014/main" id="{00000000-0008-0000-0300-000088000000}"/>
                        </a:ext>
                      </a:extLst>
                    </xdr:cNvPr>
                    <xdr:cNvSpPr>
                      <a:spLocks noChangeShapeType="1"/>
                    </xdr:cNvSpPr>
                  </xdr:nvSpPr>
                  <xdr:spPr bwMode="auto">
                    <a:xfrm rot="5400000">
                      <a:off x="5731529" y="5848318"/>
                      <a:ext cx="15522" cy="6732000"/>
                    </a:xfrm>
                    <a:prstGeom prst="line">
                      <a:avLst/>
                    </a:prstGeom>
                    <a:noFill/>
                    <a:ln w="76200">
                      <a:solidFill>
                        <a:srgbClr val="000066"/>
                      </a:solidFill>
                      <a:round/>
                      <a:headEnd type="triangl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37" name="Nuage 136">
                      <a:extLst>
                        <a:ext uri="{FF2B5EF4-FFF2-40B4-BE49-F238E27FC236}">
                          <a16:creationId xmlns:a16="http://schemas.microsoft.com/office/drawing/2014/main" id="{00000000-0008-0000-0300-000089000000}"/>
                        </a:ext>
                      </a:extLst>
                    </xdr:cNvPr>
                    <xdr:cNvSpPr/>
                  </xdr:nvSpPr>
                  <xdr:spPr>
                    <a:xfrm>
                      <a:off x="9221109" y="8841442"/>
                      <a:ext cx="1618837" cy="762382"/>
                    </a:xfrm>
                    <a:prstGeom prst="cloud">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CA"/>
                    </a:p>
                  </xdr:txBody>
                </xdr:sp>
                <xdr:sp macro="" textlink="">
                  <xdr:nvSpPr>
                    <xdr:cNvPr id="138" name="Text Box 61">
                      <a:extLst>
                        <a:ext uri="{FF2B5EF4-FFF2-40B4-BE49-F238E27FC236}">
                          <a16:creationId xmlns:a16="http://schemas.microsoft.com/office/drawing/2014/main" id="{00000000-0008-0000-0300-00008A000000}"/>
                        </a:ext>
                      </a:extLst>
                    </xdr:cNvPr>
                    <xdr:cNvSpPr txBox="1">
                      <a:spLocks noChangeArrowheads="1"/>
                    </xdr:cNvSpPr>
                  </xdr:nvSpPr>
                  <xdr:spPr bwMode="auto">
                    <a:xfrm>
                      <a:off x="9188824" y="9019481"/>
                      <a:ext cx="1664204" cy="407825"/>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Hot water for use "Y"</a:t>
                      </a:r>
                    </a:p>
                  </xdr:txBody>
                </xdr:sp>
              </xdr:grpSp>
            </xdr:grpSp>
          </xdr:grpSp>
          <xdr:sp macro="" textlink="">
            <xdr:nvSpPr>
              <xdr:cNvPr id="131" name="Line 59">
                <a:extLst>
                  <a:ext uri="{FF2B5EF4-FFF2-40B4-BE49-F238E27FC236}">
                    <a16:creationId xmlns:a16="http://schemas.microsoft.com/office/drawing/2014/main" id="{00000000-0008-0000-0300-000083000000}"/>
                  </a:ext>
                </a:extLst>
              </xdr:cNvPr>
              <xdr:cNvSpPr>
                <a:spLocks noChangeShapeType="1"/>
              </xdr:cNvSpPr>
            </xdr:nvSpPr>
            <xdr:spPr bwMode="auto">
              <a:xfrm>
                <a:off x="13672777" y="10774456"/>
                <a:ext cx="0" cy="398332"/>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29" name="Rectangle 128">
              <a:extLst>
                <a:ext uri="{FF2B5EF4-FFF2-40B4-BE49-F238E27FC236}">
                  <a16:creationId xmlns:a16="http://schemas.microsoft.com/office/drawing/2014/main" id="{00000000-0008-0000-0300-000081000000}"/>
                </a:ext>
              </a:extLst>
            </xdr:cNvPr>
            <xdr:cNvSpPr/>
          </xdr:nvSpPr>
          <xdr:spPr>
            <a:xfrm>
              <a:off x="369794" y="8090647"/>
              <a:ext cx="14242677" cy="7519147"/>
            </a:xfrm>
            <a:prstGeom prst="rect">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grpSp>
      <xdr:sp macro="" textlink="">
        <xdr:nvSpPr>
          <xdr:cNvPr id="127" name="ZoneTexte 126">
            <a:extLst>
              <a:ext uri="{FF2B5EF4-FFF2-40B4-BE49-F238E27FC236}">
                <a16:creationId xmlns:a16="http://schemas.microsoft.com/office/drawing/2014/main" id="{00000000-0008-0000-0300-00007F000000}"/>
              </a:ext>
            </a:extLst>
          </xdr:cNvPr>
          <xdr:cNvSpPr txBox="1"/>
        </xdr:nvSpPr>
        <xdr:spPr>
          <a:xfrm>
            <a:off x="661147" y="8691079"/>
            <a:ext cx="2017059" cy="31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solidFill>
                  <a:srgbClr val="FF0000"/>
                </a:solidFill>
              </a:rPr>
              <a:t>HOT WATER</a:t>
            </a:r>
            <a:r>
              <a:rPr lang="fr-CA" sz="1100" baseline="0">
                <a:solidFill>
                  <a:srgbClr val="FF0000"/>
                </a:solidFill>
              </a:rPr>
              <a:t> SYSTEM #2</a:t>
            </a:r>
            <a:endParaRPr lang="fr-CA" sz="1100">
              <a:solidFill>
                <a:srgbClr val="FF0000"/>
              </a:solidFill>
            </a:endParaRPr>
          </a:p>
        </xdr:txBody>
      </xdr:sp>
    </xdr:grpSp>
    <xdr:clientData/>
  </xdr:twoCellAnchor>
  <xdr:twoCellAnchor>
    <xdr:from>
      <xdr:col>6</xdr:col>
      <xdr:colOff>1657350</xdr:colOff>
      <xdr:row>30</xdr:row>
      <xdr:rowOff>123825</xdr:rowOff>
    </xdr:from>
    <xdr:to>
      <xdr:col>6</xdr:col>
      <xdr:colOff>1898067</xdr:colOff>
      <xdr:row>31</xdr:row>
      <xdr:rowOff>157490</xdr:rowOff>
    </xdr:to>
    <xdr:sp macro="" textlink="">
      <xdr:nvSpPr>
        <xdr:cNvPr id="241" name="Ellipse 240">
          <a:extLst>
            <a:ext uri="{FF2B5EF4-FFF2-40B4-BE49-F238E27FC236}">
              <a16:creationId xmlns:a16="http://schemas.microsoft.com/office/drawing/2014/main" id="{00000000-0008-0000-0300-0000F1000000}"/>
            </a:ext>
          </a:extLst>
        </xdr:cNvPr>
        <xdr:cNvSpPr>
          <a:spLocks noChangeAspect="1"/>
        </xdr:cNvSpPr>
      </xdr:nvSpPr>
      <xdr:spPr>
        <a:xfrm>
          <a:off x="8867775" y="6696075"/>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1</a:t>
          </a:r>
        </a:p>
      </xdr:txBody>
    </xdr:sp>
    <xdr:clientData/>
  </xdr:twoCellAnchor>
  <xdr:twoCellAnchor>
    <xdr:from>
      <xdr:col>7</xdr:col>
      <xdr:colOff>1343025</xdr:colOff>
      <xdr:row>30</xdr:row>
      <xdr:rowOff>114300</xdr:rowOff>
    </xdr:from>
    <xdr:to>
      <xdr:col>7</xdr:col>
      <xdr:colOff>1583742</xdr:colOff>
      <xdr:row>31</xdr:row>
      <xdr:rowOff>147965</xdr:rowOff>
    </xdr:to>
    <xdr:sp macro="" textlink="">
      <xdr:nvSpPr>
        <xdr:cNvPr id="242" name="Ellipse 241">
          <a:extLst>
            <a:ext uri="{FF2B5EF4-FFF2-40B4-BE49-F238E27FC236}">
              <a16:creationId xmlns:a16="http://schemas.microsoft.com/office/drawing/2014/main" id="{00000000-0008-0000-0300-0000F2000000}"/>
            </a:ext>
          </a:extLst>
        </xdr:cNvPr>
        <xdr:cNvSpPr>
          <a:spLocks noChangeAspect="1"/>
        </xdr:cNvSpPr>
      </xdr:nvSpPr>
      <xdr:spPr>
        <a:xfrm>
          <a:off x="10487025" y="6686550"/>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1</a:t>
          </a:r>
        </a:p>
      </xdr:txBody>
    </xdr:sp>
    <xdr:clientData/>
  </xdr:twoCellAnchor>
  <xdr:twoCellAnchor>
    <xdr:from>
      <xdr:col>8</xdr:col>
      <xdr:colOff>1179422</xdr:colOff>
      <xdr:row>30</xdr:row>
      <xdr:rowOff>143998</xdr:rowOff>
    </xdr:from>
    <xdr:to>
      <xdr:col>8</xdr:col>
      <xdr:colOff>1420139</xdr:colOff>
      <xdr:row>31</xdr:row>
      <xdr:rowOff>177663</xdr:rowOff>
    </xdr:to>
    <xdr:sp macro="" textlink="">
      <xdr:nvSpPr>
        <xdr:cNvPr id="243" name="Ellipse 242">
          <a:extLst>
            <a:ext uri="{FF2B5EF4-FFF2-40B4-BE49-F238E27FC236}">
              <a16:creationId xmlns:a16="http://schemas.microsoft.com/office/drawing/2014/main" id="{00000000-0008-0000-0300-0000F3000000}"/>
            </a:ext>
          </a:extLst>
        </xdr:cNvPr>
        <xdr:cNvSpPr>
          <a:spLocks noChangeAspect="1"/>
        </xdr:cNvSpPr>
      </xdr:nvSpPr>
      <xdr:spPr>
        <a:xfrm>
          <a:off x="12256997" y="6716248"/>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2</a:t>
          </a:r>
        </a:p>
      </xdr:txBody>
    </xdr:sp>
    <xdr:clientData/>
  </xdr:twoCellAnchor>
  <xdr:twoCellAnchor editAs="oneCell">
    <xdr:from>
      <xdr:col>5</xdr:col>
      <xdr:colOff>1107281</xdr:colOff>
      <xdr:row>32</xdr:row>
      <xdr:rowOff>83344</xdr:rowOff>
    </xdr:from>
    <xdr:to>
      <xdr:col>9</xdr:col>
      <xdr:colOff>163459</xdr:colOff>
      <xdr:row>33</xdr:row>
      <xdr:rowOff>188082</xdr:rowOff>
    </xdr:to>
    <xdr:pic>
      <xdr:nvPicPr>
        <xdr:cNvPr id="245" name="Image 244">
          <a:extLst>
            <a:ext uri="{FF2B5EF4-FFF2-40B4-BE49-F238E27FC236}">
              <a16:creationId xmlns:a16="http://schemas.microsoft.com/office/drawing/2014/main" id="{00000000-0008-0000-0300-0000F5000000}"/>
            </a:ext>
          </a:extLst>
        </xdr:cNvPr>
        <xdr:cNvPicPr>
          <a:picLocks noChangeAspect="1"/>
        </xdr:cNvPicPr>
      </xdr:nvPicPr>
      <xdr:blipFill>
        <a:blip xmlns:r="http://schemas.openxmlformats.org/officeDocument/2006/relationships" r:embed="rId5"/>
        <a:stretch>
          <a:fillRect/>
        </a:stretch>
      </xdr:blipFill>
      <xdr:spPr>
        <a:xfrm>
          <a:off x="6381750" y="6346032"/>
          <a:ext cx="6771428" cy="295238"/>
        </a:xfrm>
        <a:prstGeom prst="rect">
          <a:avLst/>
        </a:prstGeom>
      </xdr:spPr>
    </xdr:pic>
    <xdr:clientData/>
  </xdr:twoCellAnchor>
  <xdr:twoCellAnchor>
    <xdr:from>
      <xdr:col>7</xdr:col>
      <xdr:colOff>785811</xdr:colOff>
      <xdr:row>51</xdr:row>
      <xdr:rowOff>47622</xdr:rowOff>
    </xdr:from>
    <xdr:to>
      <xdr:col>7</xdr:col>
      <xdr:colOff>1768328</xdr:colOff>
      <xdr:row>52</xdr:row>
      <xdr:rowOff>87837</xdr:rowOff>
    </xdr:to>
    <xdr:sp macro="" textlink="">
      <xdr:nvSpPr>
        <xdr:cNvPr id="249" name="Text Box 53">
          <a:extLst>
            <a:ext uri="{FF2B5EF4-FFF2-40B4-BE49-F238E27FC236}">
              <a16:creationId xmlns:a16="http://schemas.microsoft.com/office/drawing/2014/main" id="{00000000-0008-0000-0300-0000F9000000}"/>
            </a:ext>
          </a:extLst>
        </xdr:cNvPr>
        <xdr:cNvSpPr txBox="1">
          <a:spLocks noChangeArrowheads="1"/>
        </xdr:cNvSpPr>
      </xdr:nvSpPr>
      <xdr:spPr bwMode="auto">
        <a:xfrm>
          <a:off x="9917905" y="9953622"/>
          <a:ext cx="982517" cy="230715"/>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Tank</a:t>
          </a:r>
        </a:p>
      </xdr:txBody>
    </xdr:sp>
    <xdr:clientData/>
  </xdr:twoCellAnchor>
  <xdr:twoCellAnchor>
    <xdr:from>
      <xdr:col>7</xdr:col>
      <xdr:colOff>1023938</xdr:colOff>
      <xdr:row>53</xdr:row>
      <xdr:rowOff>47625</xdr:rowOff>
    </xdr:from>
    <xdr:to>
      <xdr:col>7</xdr:col>
      <xdr:colOff>1548239</xdr:colOff>
      <xdr:row>57</xdr:row>
      <xdr:rowOff>20032</xdr:rowOff>
    </xdr:to>
    <xdr:grpSp>
      <xdr:nvGrpSpPr>
        <xdr:cNvPr id="263" name="Groupe 262">
          <a:extLst>
            <a:ext uri="{FF2B5EF4-FFF2-40B4-BE49-F238E27FC236}">
              <a16:creationId xmlns:a16="http://schemas.microsoft.com/office/drawing/2014/main" id="{00000000-0008-0000-0300-000007010000}"/>
            </a:ext>
          </a:extLst>
        </xdr:cNvPr>
        <xdr:cNvGrpSpPr/>
      </xdr:nvGrpSpPr>
      <xdr:grpSpPr>
        <a:xfrm>
          <a:off x="10423208" y="9869805"/>
          <a:ext cx="522396" cy="690592"/>
          <a:chOff x="9501188" y="10370344"/>
          <a:chExt cx="524301" cy="734407"/>
        </a:xfrm>
      </xdr:grpSpPr>
      <xdr:sp macro="" textlink="">
        <xdr:nvSpPr>
          <xdr:cNvPr id="247" name="Rectangle 246">
            <a:extLst>
              <a:ext uri="{FF2B5EF4-FFF2-40B4-BE49-F238E27FC236}">
                <a16:creationId xmlns:a16="http://schemas.microsoft.com/office/drawing/2014/main" id="{00000000-0008-0000-0300-0000F7000000}"/>
              </a:ext>
            </a:extLst>
          </xdr:cNvPr>
          <xdr:cNvSpPr>
            <a:spLocks noChangeArrowheads="1"/>
          </xdr:cNvSpPr>
        </xdr:nvSpPr>
        <xdr:spPr bwMode="auto">
          <a:xfrm>
            <a:off x="9514732" y="10521627"/>
            <a:ext cx="483630" cy="430556"/>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pic>
        <xdr:nvPicPr>
          <xdr:cNvPr id="261" name="Image 260">
            <a:extLst>
              <a:ext uri="{FF2B5EF4-FFF2-40B4-BE49-F238E27FC236}">
                <a16:creationId xmlns:a16="http://schemas.microsoft.com/office/drawing/2014/main" id="{00000000-0008-0000-0300-000005010000}"/>
              </a:ext>
            </a:extLst>
          </xdr:cNvPr>
          <xdr:cNvPicPr>
            <a:picLocks noChangeAspect="1"/>
          </xdr:cNvPicPr>
        </xdr:nvPicPr>
        <xdr:blipFill>
          <a:blip xmlns:r="http://schemas.openxmlformats.org/officeDocument/2006/relationships" r:embed="rId6"/>
          <a:stretch>
            <a:fillRect/>
          </a:stretch>
        </xdr:blipFill>
        <xdr:spPr>
          <a:xfrm>
            <a:off x="9501188" y="10370344"/>
            <a:ext cx="524301" cy="176799"/>
          </a:xfrm>
          <a:prstGeom prst="rect">
            <a:avLst/>
          </a:prstGeom>
        </xdr:spPr>
      </xdr:pic>
      <xdr:sp macro="" textlink="">
        <xdr:nvSpPr>
          <xdr:cNvPr id="262" name="AutoShape 27">
            <a:extLst>
              <a:ext uri="{FF2B5EF4-FFF2-40B4-BE49-F238E27FC236}">
                <a16:creationId xmlns:a16="http://schemas.microsoft.com/office/drawing/2014/main" id="{00000000-0008-0000-0300-000006010000}"/>
              </a:ext>
            </a:extLst>
          </xdr:cNvPr>
          <xdr:cNvSpPr>
            <a:spLocks noChangeArrowheads="1"/>
          </xdr:cNvSpPr>
        </xdr:nvSpPr>
        <xdr:spPr bwMode="auto">
          <a:xfrm rot="5400000">
            <a:off x="9677081" y="10765952"/>
            <a:ext cx="162906" cy="514691"/>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clientData/>
  </xdr:twoCellAnchor>
  <xdr:twoCellAnchor>
    <xdr:from>
      <xdr:col>20</xdr:col>
      <xdr:colOff>83344</xdr:colOff>
      <xdr:row>53</xdr:row>
      <xdr:rowOff>71438</xdr:rowOff>
    </xdr:from>
    <xdr:to>
      <xdr:col>20</xdr:col>
      <xdr:colOff>607645</xdr:colOff>
      <xdr:row>57</xdr:row>
      <xdr:rowOff>43845</xdr:rowOff>
    </xdr:to>
    <xdr:grpSp>
      <xdr:nvGrpSpPr>
        <xdr:cNvPr id="267" name="Groupe 266">
          <a:extLst>
            <a:ext uri="{FF2B5EF4-FFF2-40B4-BE49-F238E27FC236}">
              <a16:creationId xmlns:a16="http://schemas.microsoft.com/office/drawing/2014/main" id="{00000000-0008-0000-0300-00000B010000}"/>
            </a:ext>
          </a:extLst>
        </xdr:cNvPr>
        <xdr:cNvGrpSpPr/>
      </xdr:nvGrpSpPr>
      <xdr:grpSpPr>
        <a:xfrm>
          <a:off x="23269099" y="9889808"/>
          <a:ext cx="522396" cy="700117"/>
          <a:chOff x="9501188" y="10370344"/>
          <a:chExt cx="524301" cy="734407"/>
        </a:xfrm>
      </xdr:grpSpPr>
      <xdr:sp macro="" textlink="">
        <xdr:nvSpPr>
          <xdr:cNvPr id="268" name="Rectangle 267">
            <a:extLst>
              <a:ext uri="{FF2B5EF4-FFF2-40B4-BE49-F238E27FC236}">
                <a16:creationId xmlns:a16="http://schemas.microsoft.com/office/drawing/2014/main" id="{00000000-0008-0000-0300-00000C010000}"/>
              </a:ext>
            </a:extLst>
          </xdr:cNvPr>
          <xdr:cNvSpPr>
            <a:spLocks noChangeArrowheads="1"/>
          </xdr:cNvSpPr>
        </xdr:nvSpPr>
        <xdr:spPr bwMode="auto">
          <a:xfrm>
            <a:off x="9514732" y="10521627"/>
            <a:ext cx="483630" cy="430556"/>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pic>
        <xdr:nvPicPr>
          <xdr:cNvPr id="269" name="Image 268">
            <a:extLst>
              <a:ext uri="{FF2B5EF4-FFF2-40B4-BE49-F238E27FC236}">
                <a16:creationId xmlns:a16="http://schemas.microsoft.com/office/drawing/2014/main" id="{00000000-0008-0000-0300-00000D010000}"/>
              </a:ext>
            </a:extLst>
          </xdr:cNvPr>
          <xdr:cNvPicPr>
            <a:picLocks noChangeAspect="1"/>
          </xdr:cNvPicPr>
        </xdr:nvPicPr>
        <xdr:blipFill>
          <a:blip xmlns:r="http://schemas.openxmlformats.org/officeDocument/2006/relationships" r:embed="rId6"/>
          <a:stretch>
            <a:fillRect/>
          </a:stretch>
        </xdr:blipFill>
        <xdr:spPr>
          <a:xfrm>
            <a:off x="9501188" y="10370344"/>
            <a:ext cx="524301" cy="176799"/>
          </a:xfrm>
          <a:prstGeom prst="rect">
            <a:avLst/>
          </a:prstGeom>
        </xdr:spPr>
      </xdr:pic>
      <xdr:sp macro="" textlink="">
        <xdr:nvSpPr>
          <xdr:cNvPr id="270" name="AutoShape 27">
            <a:extLst>
              <a:ext uri="{FF2B5EF4-FFF2-40B4-BE49-F238E27FC236}">
                <a16:creationId xmlns:a16="http://schemas.microsoft.com/office/drawing/2014/main" id="{00000000-0008-0000-0300-00000E010000}"/>
              </a:ext>
            </a:extLst>
          </xdr:cNvPr>
          <xdr:cNvSpPr>
            <a:spLocks noChangeArrowheads="1"/>
          </xdr:cNvSpPr>
        </xdr:nvSpPr>
        <xdr:spPr bwMode="auto">
          <a:xfrm rot="5400000">
            <a:off x="9677081" y="10765952"/>
            <a:ext cx="162906" cy="514691"/>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clientData/>
  </xdr:twoCellAnchor>
  <xdr:twoCellAnchor>
    <xdr:from>
      <xdr:col>19</xdr:col>
      <xdr:colOff>581024</xdr:colOff>
      <xdr:row>51</xdr:row>
      <xdr:rowOff>69053</xdr:rowOff>
    </xdr:from>
    <xdr:to>
      <xdr:col>21</xdr:col>
      <xdr:colOff>39541</xdr:colOff>
      <xdr:row>52</xdr:row>
      <xdr:rowOff>109268</xdr:rowOff>
    </xdr:to>
    <xdr:sp macro="" textlink="">
      <xdr:nvSpPr>
        <xdr:cNvPr id="274" name="Text Box 53">
          <a:extLst>
            <a:ext uri="{FF2B5EF4-FFF2-40B4-BE49-F238E27FC236}">
              <a16:creationId xmlns:a16="http://schemas.microsoft.com/office/drawing/2014/main" id="{00000000-0008-0000-0300-000012010000}"/>
            </a:ext>
          </a:extLst>
        </xdr:cNvPr>
        <xdr:cNvSpPr txBox="1">
          <a:spLocks noChangeArrowheads="1"/>
        </xdr:cNvSpPr>
      </xdr:nvSpPr>
      <xdr:spPr bwMode="auto">
        <a:xfrm>
          <a:off x="22357555" y="9975053"/>
          <a:ext cx="982517" cy="230715"/>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Tank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542925</xdr:colOff>
      <xdr:row>0</xdr:row>
      <xdr:rowOff>0</xdr:rowOff>
    </xdr:from>
    <xdr:to>
      <xdr:col>14</xdr:col>
      <xdr:colOff>40943</xdr:colOff>
      <xdr:row>3</xdr:row>
      <xdr:rowOff>37601</xdr:rowOff>
    </xdr:to>
    <xdr:pic>
      <xdr:nvPicPr>
        <xdr:cNvPr id="2" name="Image 1" descr="https://www.energir.com/~/media/Files/Corporatif/Logos/Energir_2C_PNG.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2725" y="0"/>
          <a:ext cx="2193593" cy="76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106680</xdr:colOff>
          <xdr:row>23</xdr:row>
          <xdr:rowOff>76200</xdr:rowOff>
        </xdr:from>
        <xdr:to>
          <xdr:col>3</xdr:col>
          <xdr:colOff>361950</xdr:colOff>
          <xdr:row>27</xdr:row>
          <xdr:rowOff>19050</xdr:rowOff>
        </xdr:to>
        <xdr:sp macro="" textlink="">
          <xdr:nvSpPr>
            <xdr:cNvPr id="203795" name="Check Box 19" hidden="1">
              <a:extLst>
                <a:ext uri="{63B3BB69-23CF-44E3-9099-C40C66FF867C}">
                  <a14:compatExt spid="_x0000_s203795"/>
                </a:ext>
                <a:ext uri="{FF2B5EF4-FFF2-40B4-BE49-F238E27FC236}">
                  <a16:creationId xmlns:a16="http://schemas.microsoft.com/office/drawing/2014/main" id="{00000000-0008-0000-0400-000013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180975</xdr:colOff>
      <xdr:row>136</xdr:row>
      <xdr:rowOff>47625</xdr:rowOff>
    </xdr:from>
    <xdr:ext cx="274321" cy="291466"/>
    <xdr:pic>
      <xdr:nvPicPr>
        <xdr:cNvPr id="3" name="Graphique 2" descr="Avertissement avec un remplissage uni">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0075" y="27165300"/>
          <a:ext cx="274321" cy="29146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76200</xdr:colOff>
          <xdr:row>100</xdr:row>
          <xdr:rowOff>0</xdr:rowOff>
        </xdr:from>
        <xdr:to>
          <xdr:col>3</xdr:col>
          <xdr:colOff>333375</xdr:colOff>
          <xdr:row>101</xdr:row>
          <xdr:rowOff>19050</xdr:rowOff>
        </xdr:to>
        <xdr:sp macro="" textlink="">
          <xdr:nvSpPr>
            <xdr:cNvPr id="203807" name="Check Box 31" hidden="1">
              <a:extLst>
                <a:ext uri="{63B3BB69-23CF-44E3-9099-C40C66FF867C}">
                  <a14:compatExt spid="_x0000_s203807"/>
                </a:ext>
                <a:ext uri="{FF2B5EF4-FFF2-40B4-BE49-F238E27FC236}">
                  <a16:creationId xmlns:a16="http://schemas.microsoft.com/office/drawing/2014/main" id="{00000000-0008-0000-0400-00001F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171450</xdr:colOff>
      <xdr:row>34</xdr:row>
      <xdr:rowOff>0</xdr:rowOff>
    </xdr:from>
    <xdr:to>
      <xdr:col>12</xdr:col>
      <xdr:colOff>288086</xdr:colOff>
      <xdr:row>54</xdr:row>
      <xdr:rowOff>199486</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1125200" y="6572250"/>
          <a:ext cx="3174161" cy="4790536"/>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10</xdr:col>
      <xdr:colOff>200204</xdr:colOff>
      <xdr:row>34</xdr:row>
      <xdr:rowOff>154557</xdr:rowOff>
    </xdr:from>
    <xdr:to>
      <xdr:col>11</xdr:col>
      <xdr:colOff>848803</xdr:colOff>
      <xdr:row>34</xdr:row>
      <xdr:rowOff>433118</xdr:rowOff>
    </xdr:to>
    <xdr:sp macro="" textlink="">
      <xdr:nvSpPr>
        <xdr:cNvPr id="9" name="ZoneTexte 8">
          <a:extLst>
            <a:ext uri="{FF2B5EF4-FFF2-40B4-BE49-F238E27FC236}">
              <a16:creationId xmlns:a16="http://schemas.microsoft.com/office/drawing/2014/main" id="{00000000-0008-0000-0400-000009000000}"/>
            </a:ext>
          </a:extLst>
        </xdr:cNvPr>
        <xdr:cNvSpPr txBox="1"/>
      </xdr:nvSpPr>
      <xdr:spPr>
        <a:xfrm>
          <a:off x="12516029" y="6241032"/>
          <a:ext cx="1629674" cy="27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rgbClr val="002060"/>
              </a:solidFill>
              <a:effectLst/>
              <a:latin typeface="+mn-lt"/>
              <a:ea typeface="+mn-ea"/>
              <a:cs typeface="+mn-cs"/>
            </a:rPr>
            <a:t>Nominal diameter</a:t>
          </a:r>
          <a:endParaRPr lang="fr-CA">
            <a:solidFill>
              <a:srgbClr val="002060"/>
            </a:solidFill>
            <a:effectLst/>
          </a:endParaRPr>
        </a:p>
      </xdr:txBody>
    </xdr:sp>
    <xdr:clientData/>
  </xdr:twoCellAnchor>
  <xdr:twoCellAnchor editAs="oneCell">
    <xdr:from>
      <xdr:col>10</xdr:col>
      <xdr:colOff>230217</xdr:colOff>
      <xdr:row>34</xdr:row>
      <xdr:rowOff>685800</xdr:rowOff>
    </xdr:from>
    <xdr:to>
      <xdr:col>11</xdr:col>
      <xdr:colOff>658555</xdr:colOff>
      <xdr:row>42</xdr:row>
      <xdr:rowOff>27751</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12546042" y="6772275"/>
          <a:ext cx="1407508" cy="1756856"/>
        </a:xfrm>
        <a:prstGeom prst="rect">
          <a:avLst/>
        </a:prstGeom>
      </xdr:spPr>
    </xdr:pic>
    <xdr:clientData/>
  </xdr:twoCellAnchor>
  <xdr:twoCellAnchor>
    <xdr:from>
      <xdr:col>10</xdr:col>
      <xdr:colOff>573117</xdr:colOff>
      <xdr:row>41</xdr:row>
      <xdr:rowOff>135685</xdr:rowOff>
    </xdr:from>
    <xdr:to>
      <xdr:col>10</xdr:col>
      <xdr:colOff>573117</xdr:colOff>
      <xdr:row>44</xdr:row>
      <xdr:rowOff>44029</xdr:rowOff>
    </xdr:to>
    <xdr:cxnSp macro="">
      <xdr:nvCxnSpPr>
        <xdr:cNvPr id="10" name="Connecteur droit avec flèche 9">
          <a:extLst>
            <a:ext uri="{FF2B5EF4-FFF2-40B4-BE49-F238E27FC236}">
              <a16:creationId xmlns:a16="http://schemas.microsoft.com/office/drawing/2014/main" id="{00000000-0008-0000-0400-00000A000000}"/>
            </a:ext>
          </a:extLst>
        </xdr:cNvPr>
        <xdr:cNvCxnSpPr/>
      </xdr:nvCxnSpPr>
      <xdr:spPr>
        <a:xfrm flipV="1">
          <a:off x="12888942" y="8451010"/>
          <a:ext cx="0" cy="479844"/>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323850</xdr:colOff>
      <xdr:row>44</xdr:row>
      <xdr:rowOff>34504</xdr:rowOff>
    </xdr:from>
    <xdr:to>
      <xdr:col>11</xdr:col>
      <xdr:colOff>903016</xdr:colOff>
      <xdr:row>53</xdr:row>
      <xdr:rowOff>10401</xdr:rowOff>
    </xdr:to>
    <xdr:pic>
      <xdr:nvPicPr>
        <xdr:cNvPr id="11" name="Imag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stretch>
          <a:fillRect/>
        </a:stretch>
      </xdr:blipFill>
      <xdr:spPr>
        <a:xfrm>
          <a:off x="11658600" y="8921329"/>
          <a:ext cx="2536871" cy="1694842"/>
        </a:xfrm>
        <a:prstGeom prst="rect">
          <a:avLst/>
        </a:prstGeom>
      </xdr:spPr>
    </xdr:pic>
    <xdr:clientData/>
  </xdr:twoCellAnchor>
  <xdr:twoCellAnchor>
    <xdr:from>
      <xdr:col>9</xdr:col>
      <xdr:colOff>493232</xdr:colOff>
      <xdr:row>45</xdr:row>
      <xdr:rowOff>38731</xdr:rowOff>
    </xdr:from>
    <xdr:to>
      <xdr:col>9</xdr:col>
      <xdr:colOff>736119</xdr:colOff>
      <xdr:row>51</xdr:row>
      <xdr:rowOff>129220</xdr:rowOff>
    </xdr:to>
    <xdr:sp macro="" textlink="">
      <xdr:nvSpPr>
        <xdr:cNvPr id="12" name="ZoneTexte 11">
          <a:extLst>
            <a:ext uri="{FF2B5EF4-FFF2-40B4-BE49-F238E27FC236}">
              <a16:creationId xmlns:a16="http://schemas.microsoft.com/office/drawing/2014/main" id="{00000000-0008-0000-0400-00000C000000}"/>
            </a:ext>
          </a:extLst>
        </xdr:cNvPr>
        <xdr:cNvSpPr txBox="1"/>
      </xdr:nvSpPr>
      <xdr:spPr>
        <a:xfrm rot="5400000">
          <a:off x="11332681" y="9611357"/>
          <a:ext cx="1233489" cy="242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900">
              <a:solidFill>
                <a:srgbClr val="002060"/>
              </a:solidFill>
            </a:rPr>
            <a:t>External diameter</a:t>
          </a:r>
        </a:p>
      </xdr:txBody>
    </xdr:sp>
    <xdr:clientData/>
  </xdr:twoCellAnchor>
  <xdr:twoCellAnchor>
    <xdr:from>
      <xdr:col>9</xdr:col>
      <xdr:colOff>845656</xdr:colOff>
      <xdr:row>45</xdr:row>
      <xdr:rowOff>172082</xdr:rowOff>
    </xdr:from>
    <xdr:to>
      <xdr:col>10</xdr:col>
      <xdr:colOff>107468</xdr:colOff>
      <xdr:row>51</xdr:row>
      <xdr:rowOff>53018</xdr:rowOff>
    </xdr:to>
    <xdr:sp macro="" textlink="">
      <xdr:nvSpPr>
        <xdr:cNvPr id="13" name="ZoneTexte 12">
          <a:extLst>
            <a:ext uri="{FF2B5EF4-FFF2-40B4-BE49-F238E27FC236}">
              <a16:creationId xmlns:a16="http://schemas.microsoft.com/office/drawing/2014/main" id="{00000000-0008-0000-0400-00000D000000}"/>
            </a:ext>
          </a:extLst>
        </xdr:cNvPr>
        <xdr:cNvSpPr txBox="1"/>
      </xdr:nvSpPr>
      <xdr:spPr>
        <a:xfrm rot="5400000">
          <a:off x="11789882" y="9639931"/>
          <a:ext cx="1023936" cy="242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900">
              <a:solidFill>
                <a:srgbClr val="002060"/>
              </a:solidFill>
            </a:rPr>
            <a:t>Internal diameter</a:t>
          </a:r>
        </a:p>
      </xdr:txBody>
    </xdr:sp>
    <xdr:clientData/>
  </xdr:twoCellAnchor>
  <xdr:twoCellAnchor>
    <xdr:from>
      <xdr:col>11</xdr:col>
      <xdr:colOff>683729</xdr:colOff>
      <xdr:row>45</xdr:row>
      <xdr:rowOff>14923</xdr:rowOff>
    </xdr:from>
    <xdr:to>
      <xdr:col>12</xdr:col>
      <xdr:colOff>183669</xdr:colOff>
      <xdr:row>51</xdr:row>
      <xdr:rowOff>157798</xdr:rowOff>
    </xdr:to>
    <xdr:sp macro="" textlink="">
      <xdr:nvSpPr>
        <xdr:cNvPr id="14" name="ZoneTexte 13">
          <a:extLst>
            <a:ext uri="{FF2B5EF4-FFF2-40B4-BE49-F238E27FC236}">
              <a16:creationId xmlns:a16="http://schemas.microsoft.com/office/drawing/2014/main" id="{00000000-0008-0000-0400-00000E000000}"/>
            </a:ext>
          </a:extLst>
        </xdr:cNvPr>
        <xdr:cNvSpPr txBox="1"/>
      </xdr:nvSpPr>
      <xdr:spPr>
        <a:xfrm rot="5400000">
          <a:off x="13635349" y="9437528"/>
          <a:ext cx="1285875" cy="595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900">
              <a:solidFill>
                <a:srgbClr val="002060"/>
              </a:solidFill>
            </a:rPr>
            <a:t>Nominal diameter of the equipment's pipework fitting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694765</xdr:colOff>
      <xdr:row>0</xdr:row>
      <xdr:rowOff>0</xdr:rowOff>
    </xdr:from>
    <xdr:to>
      <xdr:col>24</xdr:col>
      <xdr:colOff>287473</xdr:colOff>
      <xdr:row>3</xdr:row>
      <xdr:rowOff>51310</xdr:rowOff>
    </xdr:to>
    <xdr:pic>
      <xdr:nvPicPr>
        <xdr:cNvPr id="2" name="Image 1" descr="https://www.energir.com/~/media/Files/Corporatif/Logos/Energir_2C_PNG.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72290" y="0"/>
          <a:ext cx="2183508" cy="76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137160</xdr:colOff>
          <xdr:row>37</xdr:row>
          <xdr:rowOff>15240</xdr:rowOff>
        </xdr:from>
        <xdr:to>
          <xdr:col>2</xdr:col>
          <xdr:colOff>400050</xdr:colOff>
          <xdr:row>37</xdr:row>
          <xdr:rowOff>323850</xdr:rowOff>
        </xdr:to>
        <xdr:sp macro="" textlink="">
          <xdr:nvSpPr>
            <xdr:cNvPr id="204842" name="Check Box 42" hidden="1">
              <a:extLst>
                <a:ext uri="{63B3BB69-23CF-44E3-9099-C40C66FF867C}">
                  <a14:compatExt spid="_x0000_s204842"/>
                </a:ext>
                <a:ext uri="{FF2B5EF4-FFF2-40B4-BE49-F238E27FC236}">
                  <a16:creationId xmlns:a16="http://schemas.microsoft.com/office/drawing/2014/main" id="{00000000-0008-0000-0500-00002A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257175</xdr:colOff>
      <xdr:row>99</xdr:row>
      <xdr:rowOff>28575</xdr:rowOff>
    </xdr:from>
    <xdr:ext cx="274321" cy="291466"/>
    <xdr:pic>
      <xdr:nvPicPr>
        <xdr:cNvPr id="3" name="Graphique 2" descr="Avertissement avec un remplissage uni">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6275" y="30099000"/>
          <a:ext cx="274321" cy="29146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142876</xdr:colOff>
      <xdr:row>18</xdr:row>
      <xdr:rowOff>28574</xdr:rowOff>
    </xdr:from>
    <xdr:ext cx="274321" cy="291466"/>
    <xdr:pic>
      <xdr:nvPicPr>
        <xdr:cNvPr id="5" name="Graphique 4" descr="Avertissement avec un remplissage uni">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7226" y="2409824"/>
          <a:ext cx="274321" cy="291466"/>
        </a:xfrm>
        <a:prstGeom prst="rect">
          <a:avLst/>
        </a:prstGeom>
      </xdr:spPr>
    </xdr:pic>
    <xdr:clientData/>
  </xdr:oneCellAnchor>
  <xdr:twoCellAnchor editAs="oneCell">
    <xdr:from>
      <xdr:col>7</xdr:col>
      <xdr:colOff>1114425</xdr:colOff>
      <xdr:row>0</xdr:row>
      <xdr:rowOff>28575</xdr:rowOff>
    </xdr:from>
    <xdr:to>
      <xdr:col>10</xdr:col>
      <xdr:colOff>21333</xdr:colOff>
      <xdr:row>3</xdr:row>
      <xdr:rowOff>60835</xdr:rowOff>
    </xdr:to>
    <xdr:pic>
      <xdr:nvPicPr>
        <xdr:cNvPr id="3" name="Image 2" descr="https://www.energir.com/~/media/Files/Corporatif/Logos/Energir_2C_PNG.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63375" y="28575"/>
          <a:ext cx="2183508" cy="76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80</xdr:row>
          <xdr:rowOff>0</xdr:rowOff>
        </xdr:from>
        <xdr:to>
          <xdr:col>2</xdr:col>
          <xdr:colOff>1051560</xdr:colOff>
          <xdr:row>81</xdr:row>
          <xdr:rowOff>0</xdr:rowOff>
        </xdr:to>
        <xdr:sp macro="" textlink="">
          <xdr:nvSpPr>
            <xdr:cNvPr id="205829" name="Check Box 5" hidden="1">
              <a:extLst>
                <a:ext uri="{63B3BB69-23CF-44E3-9099-C40C66FF867C}">
                  <a14:compatExt spid="_x0000_s205829"/>
                </a:ext>
                <a:ext uri="{FF2B5EF4-FFF2-40B4-BE49-F238E27FC236}">
                  <a16:creationId xmlns:a16="http://schemas.microsoft.com/office/drawing/2014/main" id="{00000000-0008-0000-0600-000005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82</xdr:row>
          <xdr:rowOff>0</xdr:rowOff>
        </xdr:from>
        <xdr:to>
          <xdr:col>2</xdr:col>
          <xdr:colOff>1051560</xdr:colOff>
          <xdr:row>83</xdr:row>
          <xdr:rowOff>0</xdr:rowOff>
        </xdr:to>
        <xdr:sp macro="" textlink="">
          <xdr:nvSpPr>
            <xdr:cNvPr id="205830" name="Check Box 6" hidden="1">
              <a:extLst>
                <a:ext uri="{63B3BB69-23CF-44E3-9099-C40C66FF867C}">
                  <a14:compatExt spid="_x0000_s205830"/>
                </a:ext>
                <a:ext uri="{FF2B5EF4-FFF2-40B4-BE49-F238E27FC236}">
                  <a16:creationId xmlns:a16="http://schemas.microsoft.com/office/drawing/2014/main" id="{00000000-0008-0000-0600-000006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76</xdr:row>
          <xdr:rowOff>0</xdr:rowOff>
        </xdr:from>
        <xdr:to>
          <xdr:col>2</xdr:col>
          <xdr:colOff>1043940</xdr:colOff>
          <xdr:row>77</xdr:row>
          <xdr:rowOff>15240</xdr:rowOff>
        </xdr:to>
        <xdr:sp macro="" textlink="">
          <xdr:nvSpPr>
            <xdr:cNvPr id="205831" name="Check Box 7" hidden="1">
              <a:extLst>
                <a:ext uri="{63B3BB69-23CF-44E3-9099-C40C66FF867C}">
                  <a14:compatExt spid="_x0000_s205831"/>
                </a:ext>
                <a:ext uri="{FF2B5EF4-FFF2-40B4-BE49-F238E27FC236}">
                  <a16:creationId xmlns:a16="http://schemas.microsoft.com/office/drawing/2014/main" id="{00000000-0008-0000-0600-000007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78</xdr:row>
          <xdr:rowOff>0</xdr:rowOff>
        </xdr:from>
        <xdr:to>
          <xdr:col>2</xdr:col>
          <xdr:colOff>1051560</xdr:colOff>
          <xdr:row>79</xdr:row>
          <xdr:rowOff>0</xdr:rowOff>
        </xdr:to>
        <xdr:sp macro="" textlink="">
          <xdr:nvSpPr>
            <xdr:cNvPr id="205832" name="Check Box 8" hidden="1">
              <a:extLst>
                <a:ext uri="{63B3BB69-23CF-44E3-9099-C40C66FF867C}">
                  <a14:compatExt spid="_x0000_s205832"/>
                </a:ext>
                <a:ext uri="{FF2B5EF4-FFF2-40B4-BE49-F238E27FC236}">
                  <a16:creationId xmlns:a16="http://schemas.microsoft.com/office/drawing/2014/main" id="{00000000-0008-0000-0600-000008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74</xdr:row>
          <xdr:rowOff>0</xdr:rowOff>
        </xdr:from>
        <xdr:to>
          <xdr:col>2</xdr:col>
          <xdr:colOff>1043940</xdr:colOff>
          <xdr:row>75</xdr:row>
          <xdr:rowOff>22860</xdr:rowOff>
        </xdr:to>
        <xdr:sp macro="" textlink="">
          <xdr:nvSpPr>
            <xdr:cNvPr id="205834" name="Check Box 10" hidden="1">
              <a:extLst>
                <a:ext uri="{63B3BB69-23CF-44E3-9099-C40C66FF867C}">
                  <a14:compatExt spid="_x0000_s205834"/>
                </a:ext>
                <a:ext uri="{FF2B5EF4-FFF2-40B4-BE49-F238E27FC236}">
                  <a16:creationId xmlns:a16="http://schemas.microsoft.com/office/drawing/2014/main" id="{00000000-0008-0000-0600-00000A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85</xdr:row>
          <xdr:rowOff>60960</xdr:rowOff>
        </xdr:from>
        <xdr:to>
          <xdr:col>2</xdr:col>
          <xdr:colOff>982980</xdr:colOff>
          <xdr:row>86</xdr:row>
          <xdr:rowOff>182880</xdr:rowOff>
        </xdr:to>
        <xdr:sp macro="" textlink="">
          <xdr:nvSpPr>
            <xdr:cNvPr id="205837" name="Check Box 13" hidden="1">
              <a:extLst>
                <a:ext uri="{63B3BB69-23CF-44E3-9099-C40C66FF867C}">
                  <a14:compatExt spid="_x0000_s205837"/>
                </a:ext>
                <a:ext uri="{FF2B5EF4-FFF2-40B4-BE49-F238E27FC236}">
                  <a16:creationId xmlns:a16="http://schemas.microsoft.com/office/drawing/2014/main" id="{00000000-0008-0000-0600-00000D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80</xdr:row>
          <xdr:rowOff>0</xdr:rowOff>
        </xdr:from>
        <xdr:to>
          <xdr:col>2</xdr:col>
          <xdr:colOff>1051560</xdr:colOff>
          <xdr:row>81</xdr:row>
          <xdr:rowOff>0</xdr:rowOff>
        </xdr:to>
        <xdr:sp macro="" textlink="">
          <xdr:nvSpPr>
            <xdr:cNvPr id="205841" name="Check Box 17" hidden="1">
              <a:extLst>
                <a:ext uri="{63B3BB69-23CF-44E3-9099-C40C66FF867C}">
                  <a14:compatExt spid="_x0000_s205841"/>
                </a:ext>
                <a:ext uri="{FF2B5EF4-FFF2-40B4-BE49-F238E27FC236}">
                  <a16:creationId xmlns:a16="http://schemas.microsoft.com/office/drawing/2014/main" id="{00000000-0008-0000-0600-000011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82</xdr:row>
          <xdr:rowOff>0</xdr:rowOff>
        </xdr:from>
        <xdr:to>
          <xdr:col>2</xdr:col>
          <xdr:colOff>1051560</xdr:colOff>
          <xdr:row>83</xdr:row>
          <xdr:rowOff>0</xdr:rowOff>
        </xdr:to>
        <xdr:sp macro="" textlink="">
          <xdr:nvSpPr>
            <xdr:cNvPr id="205842" name="Check Box 18" hidden="1">
              <a:extLst>
                <a:ext uri="{63B3BB69-23CF-44E3-9099-C40C66FF867C}">
                  <a14:compatExt spid="_x0000_s205842"/>
                </a:ext>
                <a:ext uri="{FF2B5EF4-FFF2-40B4-BE49-F238E27FC236}">
                  <a16:creationId xmlns:a16="http://schemas.microsoft.com/office/drawing/2014/main" id="{00000000-0008-0000-0600-000012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76</xdr:row>
          <xdr:rowOff>0</xdr:rowOff>
        </xdr:from>
        <xdr:to>
          <xdr:col>2</xdr:col>
          <xdr:colOff>1043940</xdr:colOff>
          <xdr:row>77</xdr:row>
          <xdr:rowOff>15240</xdr:rowOff>
        </xdr:to>
        <xdr:sp macro="" textlink="">
          <xdr:nvSpPr>
            <xdr:cNvPr id="205843" name="Check Box 19" hidden="1">
              <a:extLst>
                <a:ext uri="{63B3BB69-23CF-44E3-9099-C40C66FF867C}">
                  <a14:compatExt spid="_x0000_s205843"/>
                </a:ext>
                <a:ext uri="{FF2B5EF4-FFF2-40B4-BE49-F238E27FC236}">
                  <a16:creationId xmlns:a16="http://schemas.microsoft.com/office/drawing/2014/main" id="{00000000-0008-0000-0600-000013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78</xdr:row>
          <xdr:rowOff>0</xdr:rowOff>
        </xdr:from>
        <xdr:to>
          <xdr:col>2</xdr:col>
          <xdr:colOff>1051560</xdr:colOff>
          <xdr:row>79</xdr:row>
          <xdr:rowOff>0</xdr:rowOff>
        </xdr:to>
        <xdr:sp macro="" textlink="">
          <xdr:nvSpPr>
            <xdr:cNvPr id="205844" name="Check Box 20" hidden="1">
              <a:extLst>
                <a:ext uri="{63B3BB69-23CF-44E3-9099-C40C66FF867C}">
                  <a14:compatExt spid="_x0000_s205844"/>
                </a:ext>
                <a:ext uri="{FF2B5EF4-FFF2-40B4-BE49-F238E27FC236}">
                  <a16:creationId xmlns:a16="http://schemas.microsoft.com/office/drawing/2014/main" id="{00000000-0008-0000-0600-000014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74</xdr:row>
          <xdr:rowOff>0</xdr:rowOff>
        </xdr:from>
        <xdr:to>
          <xdr:col>2</xdr:col>
          <xdr:colOff>1043940</xdr:colOff>
          <xdr:row>75</xdr:row>
          <xdr:rowOff>22860</xdr:rowOff>
        </xdr:to>
        <xdr:sp macro="" textlink="">
          <xdr:nvSpPr>
            <xdr:cNvPr id="205845" name="Check Box 21" hidden="1">
              <a:extLst>
                <a:ext uri="{63B3BB69-23CF-44E3-9099-C40C66FF867C}">
                  <a14:compatExt spid="_x0000_s205845"/>
                </a:ext>
                <a:ext uri="{FF2B5EF4-FFF2-40B4-BE49-F238E27FC236}">
                  <a16:creationId xmlns:a16="http://schemas.microsoft.com/office/drawing/2014/main" id="{00000000-0008-0000-0600-000015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85</xdr:row>
          <xdr:rowOff>60960</xdr:rowOff>
        </xdr:from>
        <xdr:to>
          <xdr:col>2</xdr:col>
          <xdr:colOff>982980</xdr:colOff>
          <xdr:row>86</xdr:row>
          <xdr:rowOff>182880</xdr:rowOff>
        </xdr:to>
        <xdr:sp macro="" textlink="">
          <xdr:nvSpPr>
            <xdr:cNvPr id="205846" name="Check Box 22" hidden="1">
              <a:extLst>
                <a:ext uri="{63B3BB69-23CF-44E3-9099-C40C66FF867C}">
                  <a14:compatExt spid="_x0000_s205846"/>
                </a:ext>
                <a:ext uri="{FF2B5EF4-FFF2-40B4-BE49-F238E27FC236}">
                  <a16:creationId xmlns:a16="http://schemas.microsoft.com/office/drawing/2014/main" id="{00000000-0008-0000-0600-000016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1400175</xdr:colOff>
      <xdr:row>14</xdr:row>
      <xdr:rowOff>19050</xdr:rowOff>
    </xdr:from>
    <xdr:to>
      <xdr:col>19</xdr:col>
      <xdr:colOff>361949</xdr:colOff>
      <xdr:row>42</xdr:row>
      <xdr:rowOff>142875</xdr:rowOff>
    </xdr:to>
    <xdr:sp macro="" textlink="">
      <xdr:nvSpPr>
        <xdr:cNvPr id="3" name="ZoneTexte 2">
          <a:extLst>
            <a:ext uri="{FF2B5EF4-FFF2-40B4-BE49-F238E27FC236}">
              <a16:creationId xmlns:a16="http://schemas.microsoft.com/office/drawing/2014/main" id="{00000000-0008-0000-0800-000003000000}"/>
            </a:ext>
          </a:extLst>
        </xdr:cNvPr>
        <xdr:cNvSpPr txBox="1"/>
      </xdr:nvSpPr>
      <xdr:spPr>
        <a:xfrm>
          <a:off x="8534400" y="2838450"/>
          <a:ext cx="12249149" cy="520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8000">
              <a:solidFill>
                <a:srgbClr val="FF0000"/>
              </a:solidFill>
            </a:rPr>
            <a:t>NE PAS</a:t>
          </a:r>
          <a:r>
            <a:rPr lang="fr-CA" sz="8000" baseline="0">
              <a:solidFill>
                <a:srgbClr val="FF0000"/>
              </a:solidFill>
            </a:rPr>
            <a:t> MODIFIER / METTRE EN FORME CET ONGLET</a:t>
          </a:r>
          <a:endParaRPr lang="fr-CA" sz="80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268554</xdr:colOff>
      <xdr:row>77</xdr:row>
      <xdr:rowOff>154781</xdr:rowOff>
    </xdr:from>
    <xdr:to>
      <xdr:col>10</xdr:col>
      <xdr:colOff>309035</xdr:colOff>
      <xdr:row>88</xdr:row>
      <xdr:rowOff>155575</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116681</xdr:colOff>
      <xdr:row>116</xdr:row>
      <xdr:rowOff>19049</xdr:rowOff>
    </xdr:from>
    <xdr:to>
      <xdr:col>15</xdr:col>
      <xdr:colOff>116681</xdr:colOff>
      <xdr:row>130</xdr:row>
      <xdr:rowOff>95249</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301624</xdr:colOff>
      <xdr:row>121</xdr:row>
      <xdr:rowOff>174626</xdr:rowOff>
    </xdr:from>
    <xdr:to>
      <xdr:col>6</xdr:col>
      <xdr:colOff>1427213</xdr:colOff>
      <xdr:row>131</xdr:row>
      <xdr:rowOff>172639</xdr:rowOff>
    </xdr:to>
    <xdr:pic>
      <xdr:nvPicPr>
        <xdr:cNvPr id="5" name="Imag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7245349" y="27559001"/>
          <a:ext cx="2611489" cy="1893488"/>
        </a:xfrm>
        <a:prstGeom prst="rect">
          <a:avLst/>
        </a:prstGeom>
      </xdr:spPr>
    </xdr:pic>
    <xdr:clientData/>
  </xdr:twoCellAnchor>
  <xdr:twoCellAnchor>
    <xdr:from>
      <xdr:col>5</xdr:col>
      <xdr:colOff>1391709</xdr:colOff>
      <xdr:row>118</xdr:row>
      <xdr:rowOff>174625</xdr:rowOff>
    </xdr:from>
    <xdr:to>
      <xdr:col>6</xdr:col>
      <xdr:colOff>130253</xdr:colOff>
      <xdr:row>121</xdr:row>
      <xdr:rowOff>174626</xdr:rowOff>
    </xdr:to>
    <xdr:cxnSp macro="">
      <xdr:nvCxnSpPr>
        <xdr:cNvPr id="7" name="Connecteur droit avec flèche 6">
          <a:extLst>
            <a:ext uri="{FF2B5EF4-FFF2-40B4-BE49-F238E27FC236}">
              <a16:creationId xmlns:a16="http://schemas.microsoft.com/office/drawing/2014/main" id="{00000000-0008-0000-0A00-000007000000}"/>
            </a:ext>
          </a:extLst>
        </xdr:cNvPr>
        <xdr:cNvCxnSpPr>
          <a:endCxn id="5" idx="0"/>
        </xdr:cNvCxnSpPr>
      </xdr:nvCxnSpPr>
      <xdr:spPr>
        <a:xfrm>
          <a:off x="8335434" y="26987500"/>
          <a:ext cx="214919" cy="5715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331259</xdr:colOff>
      <xdr:row>304</xdr:row>
      <xdr:rowOff>50800</xdr:rowOff>
    </xdr:from>
    <xdr:ext cx="4987134" cy="373628"/>
    <mc:AlternateContent xmlns:mc="http://schemas.openxmlformats.org/markup-compatibility/2006" xmlns:a14="http://schemas.microsoft.com/office/drawing/2010/main">
      <mc:Choice Requires="a14">
        <xdr:sp macro="" textlink="">
          <xdr:nvSpPr>
            <xdr:cNvPr id="10" name="ZoneTexte 9">
              <a:extLst>
                <a:ext uri="{FF2B5EF4-FFF2-40B4-BE49-F238E27FC236}">
                  <a16:creationId xmlns:a16="http://schemas.microsoft.com/office/drawing/2014/main" id="{00000000-0008-0000-0A00-00000A000000}"/>
                </a:ext>
              </a:extLst>
            </xdr:cNvPr>
            <xdr:cNvSpPr txBox="1"/>
          </xdr:nvSpPr>
          <xdr:spPr>
            <a:xfrm>
              <a:off x="574676" y="43548300"/>
              <a:ext cx="4987134" cy="373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É</m:t>
                    </m:r>
                    <m:r>
                      <a:rPr lang="fr-CA" sz="1100" b="0" i="1">
                        <a:latin typeface="Cambria Math" panose="02040503050406030204" pitchFamily="18" charset="0"/>
                      </a:rPr>
                      <m:t>𝑐𝑜𝑛𝑜𝑚𝑖𝑒</m:t>
                    </m:r>
                    <m:r>
                      <a:rPr lang="fr-CA" sz="1100" b="0" i="1">
                        <a:latin typeface="Cambria Math" panose="02040503050406030204" pitchFamily="18" charset="0"/>
                      </a:rPr>
                      <m:t> é</m:t>
                    </m:r>
                    <m:r>
                      <a:rPr lang="fr-CA" sz="1100" b="0" i="1">
                        <a:latin typeface="Cambria Math" panose="02040503050406030204" pitchFamily="18" charset="0"/>
                      </a:rPr>
                      <m:t>𝑣𝑖𝑡</m:t>
                    </m:r>
                    <m:r>
                      <a:rPr lang="fr-CA" sz="1100" b="0" i="1">
                        <a:latin typeface="Cambria Math" panose="02040503050406030204" pitchFamily="18" charset="0"/>
                      </a:rPr>
                      <m:t>é</m:t>
                    </m:r>
                    <m:r>
                      <a:rPr lang="fr-CA" sz="1100" b="0" i="1">
                        <a:latin typeface="Cambria Math" panose="02040503050406030204" pitchFamily="18" charset="0"/>
                      </a:rPr>
                      <m:t>𝑒𝑠</m:t>
                    </m:r>
                    <m:r>
                      <a:rPr lang="fr-CA" sz="1100" b="0" i="1">
                        <a:latin typeface="Cambria Math" panose="02040503050406030204" pitchFamily="18" charset="0"/>
                      </a:rPr>
                      <m:t>= </m:t>
                    </m:r>
                    <m:f>
                      <m:fPr>
                        <m:ctrlPr>
                          <a:rPr lang="fr-CA" sz="1100" b="0" i="1">
                            <a:latin typeface="Cambria Math" panose="02040503050406030204" pitchFamily="18" charset="0"/>
                          </a:rPr>
                        </m:ctrlPr>
                      </m:fPr>
                      <m:num>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𝑄</m:t>
                            </m:r>
                          </m:e>
                          <m:sub>
                            <m:r>
                              <a:rPr lang="fr-CA" sz="1100" b="0" i="1">
                                <a:latin typeface="Cambria Math" panose="02040503050406030204" pitchFamily="18" charset="0"/>
                                <a:ea typeface="Cambria Math" panose="02040503050406030204" pitchFamily="18" charset="0"/>
                              </a:rPr>
                              <m:t>𝑝𝑟𝑜𝑑𝑢𝑖𝑡</m:t>
                            </m:r>
                          </m:sub>
                        </m:sSub>
                      </m:num>
                      <m:den>
                        <m:sSub>
                          <m:sSubPr>
                            <m:ctrlPr>
                              <a:rPr lang="fr-CA" sz="1100" b="0" i="1">
                                <a:latin typeface="Cambria Math" panose="02040503050406030204" pitchFamily="18" charset="0"/>
                              </a:rPr>
                            </m:ctrlPr>
                          </m:sSubPr>
                          <m:e>
                            <m:r>
                              <a:rPr lang="fr-CA" sz="1100" b="0" i="1">
                                <a:latin typeface="Cambria Math" panose="02040503050406030204" pitchFamily="18" charset="0"/>
                              </a:rPr>
                              <m:t>𝑒𝑓𝑓𝑖𝑐𝑎𝑖𝑐𝑡</m:t>
                            </m:r>
                            <m:r>
                              <a:rPr lang="fr-CA" sz="1100" b="0" i="1">
                                <a:latin typeface="Cambria Math" panose="02040503050406030204" pitchFamily="18" charset="0"/>
                              </a:rPr>
                              <m:t>é</m:t>
                            </m:r>
                          </m:e>
                          <m:sub>
                            <m:r>
                              <a:rPr lang="fr-CA" sz="1100" b="0" i="1">
                                <a:latin typeface="Cambria Math" panose="02040503050406030204" pitchFamily="18" charset="0"/>
                              </a:rPr>
                              <m:t>𝑎𝑣𝑎𝑛𝑡</m:t>
                            </m:r>
                            <m:r>
                              <a:rPr lang="fr-CA" sz="1100" b="0" i="1">
                                <a:latin typeface="Cambria Math" panose="02040503050406030204" pitchFamily="18" charset="0"/>
                              </a:rPr>
                              <m:t> </m:t>
                            </m:r>
                            <m:r>
                              <a:rPr lang="fr-CA" sz="1100" b="0" i="1">
                                <a:latin typeface="Cambria Math" panose="02040503050406030204" pitchFamily="18" charset="0"/>
                              </a:rPr>
                              <m:t>𝑚𝑖𝑐𝑟𝑜</m:t>
                            </m:r>
                            <m:r>
                              <a:rPr lang="fr-CA" sz="1100" b="0" i="1">
                                <a:latin typeface="Cambria Math" panose="02040503050406030204" pitchFamily="18" charset="0"/>
                              </a:rPr>
                              <m:t>/</m:t>
                            </m:r>
                            <m:r>
                              <a:rPr lang="fr-CA" sz="1100" b="0" i="1">
                                <a:latin typeface="Cambria Math" panose="02040503050406030204" pitchFamily="18" charset="0"/>
                              </a:rPr>
                              <m:t>𝑠𝑜𝑛𝑑𝑒𝑂</m:t>
                            </m:r>
                            <m:r>
                              <a:rPr lang="fr-CA" sz="1100" b="0" i="1">
                                <a:latin typeface="Cambria Math" panose="02040503050406030204" pitchFamily="18" charset="0"/>
                              </a:rPr>
                              <m:t>2</m:t>
                            </m:r>
                          </m:sub>
                        </m:sSub>
                      </m:den>
                    </m:f>
                    <m:r>
                      <a:rPr lang="fr-CA" sz="1100" b="0" i="1">
                        <a:latin typeface="Cambria Math" panose="02040503050406030204" pitchFamily="18" charset="0"/>
                      </a:rPr>
                      <m:t>−</m:t>
                    </m:r>
                    <m:f>
                      <m:fPr>
                        <m:ctrlPr>
                          <a:rPr lang="fr-CA" sz="1100" b="0" i="1">
                            <a:solidFill>
                              <a:schemeClr val="tx1"/>
                            </a:solidFill>
                            <a:effectLst/>
                            <a:latin typeface="Cambria Math" panose="02040503050406030204" pitchFamily="18" charset="0"/>
                            <a:ea typeface="+mn-ea"/>
                            <a:cs typeface="+mn-cs"/>
                          </a:rPr>
                        </m:ctrlPr>
                      </m:fPr>
                      <m:num>
                        <m:r>
                          <a:rPr lang="fr-CA" sz="1100" b="0" i="1">
                            <a:solidFill>
                              <a:schemeClr val="tx1"/>
                            </a:solidFill>
                            <a:effectLst/>
                            <a:latin typeface="Cambria Math" panose="02040503050406030204" pitchFamily="18" charset="0"/>
                            <a:ea typeface="+mn-ea"/>
                            <a:cs typeface="+mn-cs"/>
                          </a:rPr>
                          <m:t>∆</m:t>
                        </m:r>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𝑄</m:t>
                            </m:r>
                          </m:e>
                          <m:sub>
                            <m:r>
                              <a:rPr lang="fr-CA" sz="1100" b="0" i="1">
                                <a:solidFill>
                                  <a:schemeClr val="tx1"/>
                                </a:solidFill>
                                <a:effectLst/>
                                <a:latin typeface="Cambria Math" panose="02040503050406030204" pitchFamily="18" charset="0"/>
                                <a:ea typeface="+mn-ea"/>
                                <a:cs typeface="+mn-cs"/>
                              </a:rPr>
                              <m:t>𝑝𝑟𝑜𝑑𝑢𝑖𝑡</m:t>
                            </m:r>
                          </m:sub>
                        </m:sSub>
                      </m:num>
                      <m:den>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𝑒𝑓𝑓𝑖𝑐𝑎𝑖𝑐𝑡</m:t>
                            </m:r>
                            <m:r>
                              <a:rPr lang="fr-CA" sz="1100" b="0" i="1">
                                <a:solidFill>
                                  <a:schemeClr val="tx1"/>
                                </a:solidFill>
                                <a:effectLst/>
                                <a:latin typeface="Cambria Math" panose="02040503050406030204" pitchFamily="18" charset="0"/>
                                <a:ea typeface="+mn-ea"/>
                                <a:cs typeface="+mn-cs"/>
                              </a:rPr>
                              <m:t>é</m:t>
                            </m:r>
                          </m:e>
                          <m:sub>
                            <m:r>
                              <a:rPr lang="fr-CA" sz="1100" b="0" i="1">
                                <a:solidFill>
                                  <a:schemeClr val="tx1"/>
                                </a:solidFill>
                                <a:effectLst/>
                                <a:latin typeface="Cambria Math" panose="02040503050406030204" pitchFamily="18" charset="0"/>
                                <a:ea typeface="+mn-ea"/>
                                <a:cs typeface="+mn-cs"/>
                              </a:rPr>
                              <m:t>𝑎𝑝𝑟</m:t>
                            </m:r>
                            <m:r>
                              <a:rPr lang="fr-CA" sz="1100" b="0" i="1">
                                <a:solidFill>
                                  <a:schemeClr val="tx1"/>
                                </a:solidFill>
                                <a:effectLst/>
                                <a:latin typeface="Cambria Math" panose="02040503050406030204" pitchFamily="18" charset="0"/>
                                <a:ea typeface="+mn-ea"/>
                                <a:cs typeface="+mn-cs"/>
                              </a:rPr>
                              <m:t>è</m:t>
                            </m:r>
                            <m:r>
                              <a:rPr lang="fr-CA" sz="1100" b="0" i="1">
                                <a:solidFill>
                                  <a:schemeClr val="tx1"/>
                                </a:solidFill>
                                <a:effectLst/>
                                <a:latin typeface="Cambria Math" panose="02040503050406030204" pitchFamily="18" charset="0"/>
                                <a:ea typeface="+mn-ea"/>
                                <a:cs typeface="+mn-cs"/>
                              </a:rPr>
                              <m:t>𝑠</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mn-ea"/>
                                <a:cs typeface="+mn-cs"/>
                              </a:rPr>
                              <m:t>𝑚𝑖𝑐𝑟𝑜</m:t>
                            </m:r>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𝑠𝑜𝑛𝑑𝑒𝑂</m:t>
                            </m:r>
                            <m:r>
                              <a:rPr lang="fr-CA" sz="1100" b="0" i="1">
                                <a:solidFill>
                                  <a:schemeClr val="tx1"/>
                                </a:solidFill>
                                <a:effectLst/>
                                <a:latin typeface="Cambria Math" panose="02040503050406030204" pitchFamily="18" charset="0"/>
                                <a:ea typeface="+mn-ea"/>
                                <a:cs typeface="+mn-cs"/>
                              </a:rPr>
                              <m:t>2</m:t>
                            </m:r>
                          </m:sub>
                        </m:sSub>
                      </m:den>
                    </m:f>
                  </m:oMath>
                </m:oMathPara>
              </a14:m>
              <a:endParaRPr lang="fr-CA" sz="1100"/>
            </a:p>
          </xdr:txBody>
        </xdr:sp>
      </mc:Choice>
      <mc:Fallback xmlns="">
        <xdr:sp macro="" textlink="">
          <xdr:nvSpPr>
            <xdr:cNvPr id="10" name="ZoneTexte 9">
              <a:extLst>
                <a:ext uri="{FF2B5EF4-FFF2-40B4-BE49-F238E27FC236}">
                  <a16:creationId xmlns:a16="http://schemas.microsoft.com/office/drawing/2014/main" id="{C2B0F6F7-47C4-AC2A-59BD-C7E7D1C2EE16}"/>
                </a:ext>
              </a:extLst>
            </xdr:cNvPr>
            <xdr:cNvSpPr txBox="1"/>
          </xdr:nvSpPr>
          <xdr:spPr>
            <a:xfrm>
              <a:off x="574676" y="43548300"/>
              <a:ext cx="4987134" cy="373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CA" sz="1100" b="0" i="0">
                  <a:latin typeface="Cambria Math" panose="02040503050406030204" pitchFamily="18" charset="0"/>
                </a:rPr>
                <a:t>É𝑐𝑜𝑛𝑜𝑚𝑖𝑒 é𝑣𝑖𝑡é𝑒𝑠= </a:t>
              </a:r>
              <a:r>
                <a:rPr lang="fr-CA" sz="1100" b="0" i="0">
                  <a:latin typeface="Cambria Math" panose="02040503050406030204" pitchFamily="18" charset="0"/>
                  <a:ea typeface="Cambria Math" panose="02040503050406030204" pitchFamily="18" charset="0"/>
                </a:rPr>
                <a:t> (∆𝑄_𝑝𝑟𝑜𝑑𝑢𝑖𝑡)/〖</a:t>
              </a:r>
              <a:r>
                <a:rPr lang="fr-CA" sz="1100" b="0" i="0">
                  <a:latin typeface="Cambria Math" panose="02040503050406030204" pitchFamily="18" charset="0"/>
                </a:rPr>
                <a:t>𝑒𝑓𝑓𝑖𝑐𝑎𝑖𝑐𝑡é〗_(𝑎𝑣𝑎𝑛𝑡 𝑚𝑖𝑐𝑟𝑜/𝑠𝑜𝑛𝑑𝑒𝑂2) −</a:t>
              </a:r>
              <a:r>
                <a:rPr lang="fr-CA" sz="1100" b="0" i="0">
                  <a:solidFill>
                    <a:schemeClr val="tx1"/>
                  </a:solidFill>
                  <a:effectLst/>
                  <a:latin typeface="+mn-lt"/>
                  <a:ea typeface="+mn-ea"/>
                  <a:cs typeface="+mn-cs"/>
                </a:rPr>
                <a:t>(∆𝑄_𝑝𝑟𝑜𝑑𝑢𝑖𝑡)/〖𝑒𝑓𝑓𝑖𝑐𝑎𝑖𝑐𝑡é〗_(</a:t>
              </a:r>
              <a:r>
                <a:rPr lang="fr-CA" sz="1100" b="0" i="0">
                  <a:solidFill>
                    <a:schemeClr val="tx1"/>
                  </a:solidFill>
                  <a:effectLst/>
                  <a:latin typeface="Cambria Math" panose="02040503050406030204" pitchFamily="18" charset="0"/>
                  <a:ea typeface="+mn-ea"/>
                  <a:cs typeface="+mn-cs"/>
                </a:rPr>
                <a:t>𝑎𝑝𝑟è𝑠</a:t>
              </a:r>
              <a:r>
                <a:rPr lang="fr-CA" sz="1100" b="0" i="0">
                  <a:solidFill>
                    <a:schemeClr val="tx1"/>
                  </a:solidFill>
                  <a:effectLst/>
                  <a:latin typeface="+mn-lt"/>
                  <a:ea typeface="+mn-ea"/>
                  <a:cs typeface="+mn-cs"/>
                </a:rPr>
                <a:t> 𝑚𝑖𝑐𝑟𝑜</a:t>
              </a:r>
              <a:r>
                <a:rPr lang="fr-CA" sz="1100" b="0" i="0">
                  <a:solidFill>
                    <a:schemeClr val="tx1"/>
                  </a:solidFill>
                  <a:effectLst/>
                  <a:latin typeface="Cambria Math" panose="02040503050406030204" pitchFamily="18" charset="0"/>
                  <a:ea typeface="+mn-ea"/>
                  <a:cs typeface="+mn-cs"/>
                </a:rPr>
                <a:t>/𝑠𝑜𝑛𝑑𝑒𝑂2</a:t>
              </a:r>
              <a:r>
                <a:rPr lang="fr-CA" sz="1100" b="0" i="0">
                  <a:solidFill>
                    <a:schemeClr val="tx1"/>
                  </a:solidFill>
                  <a:effectLst/>
                  <a:latin typeface="+mn-lt"/>
                  <a:ea typeface="+mn-ea"/>
                  <a:cs typeface="+mn-cs"/>
                </a:rPr>
                <a:t>) </a:t>
              </a:r>
              <a:endParaRPr lang="fr-CA" sz="1100"/>
            </a:p>
          </xdr:txBody>
        </xdr:sp>
      </mc:Fallback>
    </mc:AlternateContent>
    <xdr:clientData/>
  </xdr:oneCellAnchor>
  <xdr:oneCellAnchor>
    <xdr:from>
      <xdr:col>1</xdr:col>
      <xdr:colOff>317500</xdr:colOff>
      <xdr:row>307</xdr:row>
      <xdr:rowOff>52916</xdr:rowOff>
    </xdr:from>
    <xdr:ext cx="5709192" cy="385555"/>
    <mc:AlternateContent xmlns:mc="http://schemas.openxmlformats.org/markup-compatibility/2006" xmlns:a14="http://schemas.microsoft.com/office/drawing/2010/main">
      <mc:Choice Requires="a14">
        <xdr:sp macro="" textlink="">
          <xdr:nvSpPr>
            <xdr:cNvPr id="11" name="ZoneTexte 10">
              <a:extLst>
                <a:ext uri="{FF2B5EF4-FFF2-40B4-BE49-F238E27FC236}">
                  <a16:creationId xmlns:a16="http://schemas.microsoft.com/office/drawing/2014/main" id="{00000000-0008-0000-0A00-00000B000000}"/>
                </a:ext>
              </a:extLst>
            </xdr:cNvPr>
            <xdr:cNvSpPr txBox="1"/>
          </xdr:nvSpPr>
          <xdr:spPr>
            <a:xfrm>
              <a:off x="560917" y="44121916"/>
              <a:ext cx="5709192" cy="385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É</m:t>
                    </m:r>
                    <m:r>
                      <a:rPr lang="fr-CA" sz="1100" b="0" i="1">
                        <a:latin typeface="Cambria Math" panose="02040503050406030204" pitchFamily="18" charset="0"/>
                      </a:rPr>
                      <m:t>𝑐𝑜𝑛𝑜𝑚𝑖𝑒</m:t>
                    </m:r>
                    <m:r>
                      <a:rPr lang="fr-CA" sz="1100" b="0" i="1">
                        <a:latin typeface="Cambria Math" panose="02040503050406030204" pitchFamily="18" charset="0"/>
                      </a:rPr>
                      <m:t> é</m:t>
                    </m:r>
                    <m:r>
                      <a:rPr lang="fr-CA" sz="1100" b="0" i="1">
                        <a:latin typeface="Cambria Math" panose="02040503050406030204" pitchFamily="18" charset="0"/>
                      </a:rPr>
                      <m:t>𝑣𝑖𝑡</m:t>
                    </m:r>
                    <m:r>
                      <a:rPr lang="fr-CA" sz="1100" b="0" i="1">
                        <a:latin typeface="Cambria Math" panose="02040503050406030204" pitchFamily="18" charset="0"/>
                      </a:rPr>
                      <m:t>é</m:t>
                    </m:r>
                    <m:r>
                      <a:rPr lang="fr-CA" sz="1100" b="0" i="1">
                        <a:latin typeface="Cambria Math" panose="02040503050406030204" pitchFamily="18" charset="0"/>
                      </a:rPr>
                      <m:t>𝑒𝑠</m:t>
                    </m:r>
                    <m:r>
                      <a:rPr lang="fr-CA" sz="1100" b="0" i="1">
                        <a:latin typeface="Cambria Math" panose="02040503050406030204" pitchFamily="18" charset="0"/>
                      </a:rPr>
                      <m:t>= ∆</m:t>
                    </m:r>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𝑄</m:t>
                        </m:r>
                      </m:e>
                      <m:sub>
                        <m:r>
                          <a:rPr lang="fr-CA" sz="1100" b="0" i="1">
                            <a:solidFill>
                              <a:schemeClr val="tx1"/>
                            </a:solidFill>
                            <a:effectLst/>
                            <a:latin typeface="Cambria Math" panose="02040503050406030204" pitchFamily="18" charset="0"/>
                            <a:ea typeface="+mn-ea"/>
                            <a:cs typeface="+mn-cs"/>
                          </a:rPr>
                          <m:t>𝑝𝑟𝑜𝑑𝑢𝑖𝑡</m:t>
                        </m:r>
                      </m:sub>
                    </m:sSub>
                    <m:d>
                      <m:dPr>
                        <m:ctrlPr>
                          <a:rPr lang="fr-CA" sz="1100" b="0" i="1">
                            <a:solidFill>
                              <a:schemeClr val="tx1"/>
                            </a:solidFill>
                            <a:effectLst/>
                            <a:latin typeface="Cambria Math" panose="02040503050406030204" pitchFamily="18" charset="0"/>
                            <a:ea typeface="+mn-ea"/>
                            <a:cs typeface="+mn-cs"/>
                          </a:rPr>
                        </m:ctrlPr>
                      </m:dPr>
                      <m:e>
                        <m:f>
                          <m:fPr>
                            <m:ctrlPr>
                              <a:rPr lang="fr-CA" sz="1100" b="0" i="1">
                                <a:latin typeface="Cambria Math" panose="02040503050406030204" pitchFamily="18" charset="0"/>
                              </a:rPr>
                            </m:ctrlPr>
                          </m:fPr>
                          <m:num>
                            <m:r>
                              <a:rPr lang="fr-CA" sz="1100" b="0" i="1">
                                <a:latin typeface="Cambria Math" panose="02040503050406030204" pitchFamily="18" charset="0"/>
                              </a:rPr>
                              <m:t>1</m:t>
                            </m:r>
                          </m:num>
                          <m:den>
                            <m:sSub>
                              <m:sSubPr>
                                <m:ctrlPr>
                                  <a:rPr lang="fr-CA" sz="1100" b="0" i="1">
                                    <a:latin typeface="Cambria Math" panose="02040503050406030204" pitchFamily="18" charset="0"/>
                                  </a:rPr>
                                </m:ctrlPr>
                              </m:sSubPr>
                              <m:e>
                                <m:r>
                                  <a:rPr lang="fr-CA" sz="1100" b="0" i="1">
                                    <a:latin typeface="Cambria Math" panose="02040503050406030204" pitchFamily="18" charset="0"/>
                                  </a:rPr>
                                  <m:t>𝑒𝑓𝑓𝑖𝑐𝑎𝑖𝑐𝑡</m:t>
                                </m:r>
                                <m:r>
                                  <a:rPr lang="fr-CA" sz="1100" b="0" i="1">
                                    <a:latin typeface="Cambria Math" panose="02040503050406030204" pitchFamily="18" charset="0"/>
                                  </a:rPr>
                                  <m:t>é</m:t>
                                </m:r>
                              </m:e>
                              <m:sub>
                                <m:r>
                                  <a:rPr lang="fr-CA" sz="1100" b="0" i="1">
                                    <a:latin typeface="Cambria Math" panose="02040503050406030204" pitchFamily="18" charset="0"/>
                                  </a:rPr>
                                  <m:t>𝑎𝑣𝑎𝑛𝑡</m:t>
                                </m:r>
                                <m:r>
                                  <a:rPr lang="fr-CA" sz="1100" b="0" i="1">
                                    <a:latin typeface="Cambria Math" panose="02040503050406030204" pitchFamily="18" charset="0"/>
                                  </a:rPr>
                                  <m:t> </m:t>
                                </m:r>
                                <m:r>
                                  <a:rPr lang="fr-CA" sz="1100" b="0" i="1">
                                    <a:latin typeface="Cambria Math" panose="02040503050406030204" pitchFamily="18" charset="0"/>
                                  </a:rPr>
                                  <m:t>𝑚𝑖𝑐𝑟𝑜</m:t>
                                </m:r>
                                <m:r>
                                  <a:rPr lang="fr-CA" sz="1100" b="0" i="1">
                                    <a:latin typeface="Cambria Math" panose="02040503050406030204" pitchFamily="18" charset="0"/>
                                  </a:rPr>
                                  <m:t>/</m:t>
                                </m:r>
                                <m:r>
                                  <a:rPr lang="fr-CA" sz="1100" b="0" i="1">
                                    <a:latin typeface="Cambria Math" panose="02040503050406030204" pitchFamily="18" charset="0"/>
                                  </a:rPr>
                                  <m:t>𝑠𝑜𝑛𝑑𝑒𝑂</m:t>
                                </m:r>
                                <m:r>
                                  <a:rPr lang="fr-CA" sz="1100" b="0" i="1">
                                    <a:latin typeface="Cambria Math" panose="02040503050406030204" pitchFamily="18" charset="0"/>
                                  </a:rPr>
                                  <m:t>2</m:t>
                                </m:r>
                              </m:sub>
                            </m:sSub>
                          </m:den>
                        </m:f>
                        <m:r>
                          <a:rPr lang="fr-CA" sz="1100" b="0" i="1">
                            <a:latin typeface="Cambria Math" panose="02040503050406030204" pitchFamily="18" charset="0"/>
                          </a:rPr>
                          <m:t>−</m:t>
                        </m:r>
                        <m:f>
                          <m:fPr>
                            <m:ctrlPr>
                              <a:rPr lang="fr-CA" sz="1100" b="0" i="1">
                                <a:solidFill>
                                  <a:schemeClr val="tx1"/>
                                </a:solidFill>
                                <a:effectLst/>
                                <a:latin typeface="Cambria Math" panose="02040503050406030204" pitchFamily="18" charset="0"/>
                                <a:ea typeface="+mn-ea"/>
                                <a:cs typeface="+mn-cs"/>
                              </a:rPr>
                            </m:ctrlPr>
                          </m:fPr>
                          <m:num>
                            <m:r>
                              <a:rPr lang="fr-CA" sz="1100" b="0" i="1">
                                <a:solidFill>
                                  <a:schemeClr val="tx1"/>
                                </a:solidFill>
                                <a:effectLst/>
                                <a:latin typeface="Cambria Math" panose="02040503050406030204" pitchFamily="18" charset="0"/>
                                <a:ea typeface="+mn-ea"/>
                                <a:cs typeface="+mn-cs"/>
                              </a:rPr>
                              <m:t>1</m:t>
                            </m:r>
                          </m:num>
                          <m:den>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𝑒𝑓𝑓𝑖𝑐𝑎𝑖𝑐𝑡</m:t>
                                </m:r>
                                <m:r>
                                  <a:rPr lang="fr-CA" sz="1100" b="0" i="1">
                                    <a:solidFill>
                                      <a:schemeClr val="tx1"/>
                                    </a:solidFill>
                                    <a:effectLst/>
                                    <a:latin typeface="Cambria Math" panose="02040503050406030204" pitchFamily="18" charset="0"/>
                                    <a:ea typeface="+mn-ea"/>
                                    <a:cs typeface="+mn-cs"/>
                                  </a:rPr>
                                  <m:t>é</m:t>
                                </m:r>
                              </m:e>
                              <m:sub>
                                <m:r>
                                  <a:rPr lang="fr-CA" sz="1100" b="0" i="1">
                                    <a:solidFill>
                                      <a:schemeClr val="tx1"/>
                                    </a:solidFill>
                                    <a:effectLst/>
                                    <a:latin typeface="Cambria Math" panose="02040503050406030204" pitchFamily="18" charset="0"/>
                                    <a:ea typeface="+mn-ea"/>
                                    <a:cs typeface="+mn-cs"/>
                                  </a:rPr>
                                  <m:t>𝑎𝑝𝑟</m:t>
                                </m:r>
                                <m:r>
                                  <a:rPr lang="fr-CA" sz="1100" b="0" i="1">
                                    <a:solidFill>
                                      <a:schemeClr val="tx1"/>
                                    </a:solidFill>
                                    <a:effectLst/>
                                    <a:latin typeface="Cambria Math" panose="02040503050406030204" pitchFamily="18" charset="0"/>
                                    <a:ea typeface="+mn-ea"/>
                                    <a:cs typeface="+mn-cs"/>
                                  </a:rPr>
                                  <m:t>è</m:t>
                                </m:r>
                                <m:r>
                                  <a:rPr lang="fr-CA" sz="1100" b="0" i="1">
                                    <a:solidFill>
                                      <a:schemeClr val="tx1"/>
                                    </a:solidFill>
                                    <a:effectLst/>
                                    <a:latin typeface="Cambria Math" panose="02040503050406030204" pitchFamily="18" charset="0"/>
                                    <a:ea typeface="+mn-ea"/>
                                    <a:cs typeface="+mn-cs"/>
                                  </a:rPr>
                                  <m:t>𝑠</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mn-ea"/>
                                    <a:cs typeface="+mn-cs"/>
                                  </a:rPr>
                                  <m:t>𝑚𝑖𝑐𝑟𝑜</m:t>
                                </m:r>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𝑠𝑜𝑛𝑑𝑒𝑂</m:t>
                                </m:r>
                                <m:r>
                                  <a:rPr lang="fr-CA" sz="1100" b="0" i="1">
                                    <a:solidFill>
                                      <a:schemeClr val="tx1"/>
                                    </a:solidFill>
                                    <a:effectLst/>
                                    <a:latin typeface="Cambria Math" panose="02040503050406030204" pitchFamily="18" charset="0"/>
                                    <a:ea typeface="+mn-ea"/>
                                    <a:cs typeface="+mn-cs"/>
                                  </a:rPr>
                                  <m:t>2</m:t>
                                </m:r>
                              </m:sub>
                            </m:sSub>
                          </m:den>
                        </m:f>
                      </m:e>
                    </m:d>
                  </m:oMath>
                </m:oMathPara>
              </a14:m>
              <a:endParaRPr lang="fr-CA" sz="1100"/>
            </a:p>
          </xdr:txBody>
        </xdr:sp>
      </mc:Choice>
      <mc:Fallback xmlns="">
        <xdr:sp macro="" textlink="">
          <xdr:nvSpPr>
            <xdr:cNvPr id="11" name="ZoneTexte 10">
              <a:extLst>
                <a:ext uri="{FF2B5EF4-FFF2-40B4-BE49-F238E27FC236}">
                  <a16:creationId xmlns:a16="http://schemas.microsoft.com/office/drawing/2014/main" id="{40D10CA5-EA7B-4CEC-B9CD-17A684D7A679}"/>
                </a:ext>
              </a:extLst>
            </xdr:cNvPr>
            <xdr:cNvSpPr txBox="1"/>
          </xdr:nvSpPr>
          <xdr:spPr>
            <a:xfrm>
              <a:off x="560917" y="44121916"/>
              <a:ext cx="5709192" cy="385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CA" sz="1100" b="0" i="0">
                  <a:latin typeface="Cambria Math" panose="02040503050406030204" pitchFamily="18" charset="0"/>
                </a:rPr>
                <a:t>É𝑐𝑜𝑛𝑜𝑚𝑖𝑒 é𝑣𝑖𝑡é𝑒𝑠= </a:t>
              </a:r>
              <a:r>
                <a:rPr lang="fr-CA" sz="1100" b="0" i="0">
                  <a:solidFill>
                    <a:schemeClr val="tx1"/>
                  </a:solidFill>
                  <a:effectLst/>
                  <a:latin typeface="+mn-lt"/>
                  <a:ea typeface="+mn-ea"/>
                  <a:cs typeface="+mn-cs"/>
                </a:rPr>
                <a:t>∆𝑄_𝑝𝑟𝑜𝑑𝑢𝑖𝑡</a:t>
              </a:r>
              <a:r>
                <a:rPr lang="fr-CA" sz="1100" b="0" i="0">
                  <a:solidFill>
                    <a:schemeClr val="tx1"/>
                  </a:solidFill>
                  <a:effectLst/>
                  <a:latin typeface="Cambria Math" panose="02040503050406030204" pitchFamily="18" charset="0"/>
                  <a:ea typeface="+mn-ea"/>
                  <a:cs typeface="+mn-cs"/>
                </a:rPr>
                <a:t> (</a:t>
              </a:r>
              <a:r>
                <a:rPr lang="fr-CA" sz="1100" b="0" i="0">
                  <a:latin typeface="Cambria Math" panose="02040503050406030204" pitchFamily="18" charset="0"/>
                </a:rPr>
                <a:t>1/〖𝑒𝑓𝑓𝑖𝑐𝑎𝑖𝑐𝑡é〗_(𝑎𝑣𝑎𝑛𝑡 𝑚𝑖𝑐𝑟𝑜/𝑠𝑜𝑛𝑑𝑒𝑂2) −</a:t>
              </a:r>
              <a:r>
                <a:rPr lang="fr-CA" sz="1100" b="0" i="0">
                  <a:solidFill>
                    <a:schemeClr val="tx1"/>
                  </a:solidFill>
                  <a:effectLst/>
                  <a:latin typeface="Cambria Math" panose="02040503050406030204" pitchFamily="18" charset="0"/>
                  <a:ea typeface="+mn-ea"/>
                  <a:cs typeface="+mn-cs"/>
                </a:rPr>
                <a:t>1</a:t>
              </a:r>
              <a:r>
                <a:rPr lang="fr-CA" sz="1100" b="0" i="0">
                  <a:solidFill>
                    <a:schemeClr val="tx1"/>
                  </a:solidFill>
                  <a:effectLst/>
                  <a:latin typeface="+mn-lt"/>
                  <a:ea typeface="+mn-ea"/>
                  <a:cs typeface="+mn-cs"/>
                </a:rPr>
                <a:t>/〖𝑒𝑓𝑓𝑖𝑐𝑎𝑖𝑐𝑡é〗_(</a:t>
              </a:r>
              <a:r>
                <a:rPr lang="fr-CA" sz="1100" b="0" i="0">
                  <a:solidFill>
                    <a:schemeClr val="tx1"/>
                  </a:solidFill>
                  <a:effectLst/>
                  <a:latin typeface="Cambria Math" panose="02040503050406030204" pitchFamily="18" charset="0"/>
                  <a:ea typeface="+mn-ea"/>
                  <a:cs typeface="+mn-cs"/>
                </a:rPr>
                <a:t>𝑎𝑝𝑟è𝑠</a:t>
              </a:r>
              <a:r>
                <a:rPr lang="fr-CA" sz="1100" b="0" i="0">
                  <a:solidFill>
                    <a:schemeClr val="tx1"/>
                  </a:solidFill>
                  <a:effectLst/>
                  <a:latin typeface="+mn-lt"/>
                  <a:ea typeface="+mn-ea"/>
                  <a:cs typeface="+mn-cs"/>
                </a:rPr>
                <a:t> 𝑚𝑖𝑐𝑟𝑜</a:t>
              </a:r>
              <a:r>
                <a:rPr lang="fr-CA" sz="1100" b="0" i="0">
                  <a:solidFill>
                    <a:schemeClr val="tx1"/>
                  </a:solidFill>
                  <a:effectLst/>
                  <a:latin typeface="Cambria Math" panose="02040503050406030204" pitchFamily="18" charset="0"/>
                  <a:ea typeface="+mn-ea"/>
                  <a:cs typeface="+mn-cs"/>
                </a:rPr>
                <a:t>/𝑠𝑜𝑛𝑑𝑒𝑂2</a:t>
              </a:r>
              <a:r>
                <a:rPr lang="fr-CA" sz="1100" b="0" i="0">
                  <a:solidFill>
                    <a:schemeClr val="tx1"/>
                  </a:solidFill>
                  <a:effectLst/>
                  <a:latin typeface="+mn-lt"/>
                  <a:ea typeface="+mn-ea"/>
                  <a:cs typeface="+mn-cs"/>
                </a:rPr>
                <a:t>) </a:t>
              </a:r>
              <a:r>
                <a:rPr lang="fr-CA" sz="1100" b="0" i="0">
                  <a:solidFill>
                    <a:schemeClr val="tx1"/>
                  </a:solidFill>
                  <a:effectLst/>
                  <a:latin typeface="Cambria Math" panose="02040503050406030204" pitchFamily="18" charset="0"/>
                  <a:ea typeface="+mn-ea"/>
                  <a:cs typeface="+mn-cs"/>
                </a:rPr>
                <a:t>)</a:t>
              </a:r>
              <a:endParaRPr lang="fr-CA" sz="1100"/>
            </a:p>
          </xdr:txBody>
        </xdr:sp>
      </mc:Fallback>
    </mc:AlternateContent>
    <xdr:clientData/>
  </xdr:oneCellAnchor>
  <xdr:twoCellAnchor editAs="oneCell">
    <xdr:from>
      <xdr:col>15</xdr:col>
      <xdr:colOff>723900</xdr:colOff>
      <xdr:row>114</xdr:row>
      <xdr:rowOff>209550</xdr:rowOff>
    </xdr:from>
    <xdr:to>
      <xdr:col>22</xdr:col>
      <xdr:colOff>422561</xdr:colOff>
      <xdr:row>124</xdr:row>
      <xdr:rowOff>171202</xdr:rowOff>
    </xdr:to>
    <xdr:pic>
      <xdr:nvPicPr>
        <xdr:cNvPr id="12" name="Image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4"/>
        <a:stretch>
          <a:fillRect/>
        </a:stretch>
      </xdr:blipFill>
      <xdr:spPr>
        <a:xfrm>
          <a:off x="18097500" y="26155650"/>
          <a:ext cx="4971429" cy="1980952"/>
        </a:xfrm>
        <a:prstGeom prst="rect">
          <a:avLst/>
        </a:prstGeom>
      </xdr:spPr>
    </xdr:pic>
    <xdr:clientData/>
  </xdr:twoCellAnchor>
  <xdr:oneCellAnchor>
    <xdr:from>
      <xdr:col>2</xdr:col>
      <xdr:colOff>341842</xdr:colOff>
      <xdr:row>156</xdr:row>
      <xdr:rowOff>103716</xdr:rowOff>
    </xdr:from>
    <xdr:ext cx="2463110" cy="351058"/>
    <mc:AlternateContent xmlns:mc="http://schemas.openxmlformats.org/markup-compatibility/2006" xmlns:a14="http://schemas.microsoft.com/office/drawing/2010/main">
      <mc:Choice Requires="a14">
        <xdr:sp macro="" textlink="">
          <xdr:nvSpPr>
            <xdr:cNvPr id="13" name="ZoneTexte 12">
              <a:extLst>
                <a:ext uri="{FF2B5EF4-FFF2-40B4-BE49-F238E27FC236}">
                  <a16:creationId xmlns:a16="http://schemas.microsoft.com/office/drawing/2014/main" id="{00000000-0008-0000-0A00-00000D000000}"/>
                </a:ext>
              </a:extLst>
            </xdr:cNvPr>
            <xdr:cNvSpPr txBox="1"/>
          </xdr:nvSpPr>
          <xdr:spPr>
            <a:xfrm>
              <a:off x="932392" y="37822716"/>
              <a:ext cx="2463110"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É</m:t>
                    </m:r>
                    <m:r>
                      <a:rPr lang="fr-CA" sz="1100" b="0" i="1">
                        <a:latin typeface="Cambria Math" panose="02040503050406030204" pitchFamily="18" charset="0"/>
                      </a:rPr>
                      <m:t>𝑐𝑜𝑛𝑜𝑚𝑖𝑒</m:t>
                    </m:r>
                    <m:r>
                      <a:rPr lang="fr-CA" sz="1100" b="0" i="1">
                        <a:latin typeface="Cambria Math" panose="02040503050406030204" pitchFamily="18" charset="0"/>
                      </a:rPr>
                      <m:t> </m:t>
                    </m:r>
                    <m:d>
                      <m:dPr>
                        <m:ctrlPr>
                          <a:rPr lang="fr-CA" sz="1100" b="0" i="1">
                            <a:latin typeface="Cambria Math" panose="02040503050406030204" pitchFamily="18" charset="0"/>
                          </a:rPr>
                        </m:ctrlPr>
                      </m:dPr>
                      <m:e>
                        <m:f>
                          <m:fPr>
                            <m:ctrlPr>
                              <a:rPr lang="fr-CA" sz="1100" b="0" i="1">
                                <a:latin typeface="Cambria Math" panose="02040503050406030204" pitchFamily="18" charset="0"/>
                              </a:rPr>
                            </m:ctrlPr>
                          </m:fPr>
                          <m:num>
                            <m:r>
                              <a:rPr lang="fr-CA" sz="1100" b="0" i="1">
                                <a:latin typeface="Cambria Math" panose="02040503050406030204" pitchFamily="18" charset="0"/>
                              </a:rPr>
                              <m:t>𝐵𝑡𝑢</m:t>
                            </m:r>
                          </m:num>
                          <m:den>
                            <m:r>
                              <a:rPr lang="fr-CA" sz="1100" b="0" i="1">
                                <a:latin typeface="Cambria Math" panose="02040503050406030204" pitchFamily="18" charset="0"/>
                              </a:rPr>
                              <m:t>h</m:t>
                            </m:r>
                          </m:den>
                        </m:f>
                      </m:e>
                    </m:d>
                    <m:r>
                      <a:rPr lang="fr-CA" sz="1100" b="0" i="1">
                        <a:latin typeface="Cambria Math" panose="02040503050406030204" pitchFamily="18" charset="0"/>
                      </a:rPr>
                      <m:t>=</m:t>
                    </m:r>
                    <m:f>
                      <m:fPr>
                        <m:ctrlPr>
                          <a:rPr lang="fr-CA" sz="1100" b="0" i="1">
                            <a:latin typeface="Cambria Math" panose="02040503050406030204" pitchFamily="18" charset="0"/>
                            <a:ea typeface="Cambria Math" panose="02040503050406030204" pitchFamily="18" charset="0"/>
                          </a:rPr>
                        </m:ctrlPr>
                      </m:fPr>
                      <m:num>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𝑄</m:t>
                            </m:r>
                          </m:e>
                          <m:sub>
                            <m:r>
                              <a:rPr lang="fr-CA" sz="1100" b="0" i="1">
                                <a:latin typeface="Cambria Math" panose="02040503050406030204" pitchFamily="18" charset="0"/>
                                <a:ea typeface="Cambria Math" panose="02040503050406030204" pitchFamily="18" charset="0"/>
                              </a:rPr>
                              <m:t>𝑛𝑢𝑒</m:t>
                            </m:r>
                          </m:sub>
                        </m:sSub>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𝑄</m:t>
                            </m:r>
                          </m:e>
                          <m:sub>
                            <m:r>
                              <a:rPr lang="fr-CA" sz="1100" b="0" i="1">
                                <a:latin typeface="Cambria Math" panose="02040503050406030204" pitchFamily="18" charset="0"/>
                                <a:ea typeface="Cambria Math" panose="02040503050406030204" pitchFamily="18" charset="0"/>
                              </a:rPr>
                              <m:t>𝑖𝑠𝑜𝑙</m:t>
                            </m:r>
                            <m:r>
                              <a:rPr lang="fr-CA" sz="1100" b="0" i="1">
                                <a:latin typeface="Cambria Math" panose="02040503050406030204" pitchFamily="18" charset="0"/>
                                <a:ea typeface="Cambria Math" panose="02040503050406030204" pitchFamily="18" charset="0"/>
                              </a:rPr>
                              <m:t>é</m:t>
                            </m:r>
                            <m:r>
                              <a:rPr lang="fr-CA" sz="1100" b="0" i="1">
                                <a:latin typeface="Cambria Math" panose="02040503050406030204" pitchFamily="18" charset="0"/>
                                <a:ea typeface="Cambria Math" panose="02040503050406030204" pitchFamily="18" charset="0"/>
                              </a:rPr>
                              <m:t>𝑒</m:t>
                            </m:r>
                          </m:sub>
                        </m:sSub>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h</m:t>
                        </m:r>
                      </m:num>
                      <m:den>
                        <m:r>
                          <a:rPr lang="fr-CA" sz="1100" b="0" i="1">
                            <a:latin typeface="Cambria Math" panose="02040503050406030204" pitchFamily="18" charset="0"/>
                            <a:ea typeface="Cambria Math" panose="02040503050406030204" pitchFamily="18" charset="0"/>
                          </a:rPr>
                          <m:t>𝜂</m:t>
                        </m:r>
                      </m:den>
                    </m:f>
                  </m:oMath>
                </m:oMathPara>
              </a14:m>
              <a:endParaRPr lang="fr-CA" sz="1100"/>
            </a:p>
          </xdr:txBody>
        </xdr:sp>
      </mc:Choice>
      <mc:Fallback xmlns="">
        <xdr:sp macro="" textlink="">
          <xdr:nvSpPr>
            <xdr:cNvPr id="13" name="ZoneTexte 12">
              <a:extLst>
                <a:ext uri="{FF2B5EF4-FFF2-40B4-BE49-F238E27FC236}">
                  <a16:creationId xmlns:a16="http://schemas.microsoft.com/office/drawing/2014/main" id="{B252C97C-DE66-CBA4-C55B-24C1CBB296C4}"/>
                </a:ext>
              </a:extLst>
            </xdr:cNvPr>
            <xdr:cNvSpPr txBox="1"/>
          </xdr:nvSpPr>
          <xdr:spPr>
            <a:xfrm>
              <a:off x="932392" y="37822716"/>
              <a:ext cx="2463110"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CA" sz="1100" b="0" i="0">
                  <a:latin typeface="Cambria Math" panose="02040503050406030204" pitchFamily="18" charset="0"/>
                </a:rPr>
                <a:t>É𝑐𝑜𝑛𝑜𝑚𝑖𝑒 (𝐵𝑡𝑢/ℎ)=</a:t>
              </a:r>
              <a:r>
                <a:rPr lang="fr-CA" sz="1100" b="0" i="0">
                  <a:latin typeface="Cambria Math" panose="02040503050406030204" pitchFamily="18" charset="0"/>
                  <a:ea typeface="Cambria Math" panose="02040503050406030204" pitchFamily="18" charset="0"/>
                </a:rPr>
                <a:t>((𝑄_𝑛𝑢𝑒−𝑄_𝑖𝑠𝑜𝑙é𝑒)×ℎ)/𝜂</a:t>
              </a:r>
              <a:endParaRPr lang="fr-CA" sz="1100"/>
            </a:p>
          </xdr:txBody>
        </xdr:sp>
      </mc:Fallback>
    </mc:AlternateContent>
    <xdr:clientData/>
  </xdr:oneCellAnchor>
  <xdr:oneCellAnchor>
    <xdr:from>
      <xdr:col>2</xdr:col>
      <xdr:colOff>871008</xdr:colOff>
      <xdr:row>186</xdr:row>
      <xdr:rowOff>146050</xdr:rowOff>
    </xdr:from>
    <xdr:ext cx="602409" cy="317972"/>
    <mc:AlternateContent xmlns:mc="http://schemas.openxmlformats.org/markup-compatibility/2006" xmlns:a14="http://schemas.microsoft.com/office/drawing/2010/main">
      <mc:Choice Requires="a14">
        <xdr:sp macro="" textlink="">
          <xdr:nvSpPr>
            <xdr:cNvPr id="18" name="ZoneTexte 17">
              <a:extLst>
                <a:ext uri="{FF2B5EF4-FFF2-40B4-BE49-F238E27FC236}">
                  <a16:creationId xmlns:a16="http://schemas.microsoft.com/office/drawing/2014/main" id="{00000000-0008-0000-0A00-000012000000}"/>
                </a:ext>
              </a:extLst>
            </xdr:cNvPr>
            <xdr:cNvSpPr txBox="1"/>
          </xdr:nvSpPr>
          <xdr:spPr>
            <a:xfrm>
              <a:off x="1453091" y="45368633"/>
              <a:ext cx="602409" cy="31797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b="0" i="1">
                            <a:latin typeface="Cambria Math" panose="02040503050406030204" pitchFamily="18" charset="0"/>
                          </a:rPr>
                        </m:ctrlPr>
                      </m:sSubPr>
                      <m:e>
                        <m:r>
                          <a:rPr lang="fr-CA" sz="1100" b="0" i="1">
                            <a:latin typeface="Cambria Math" panose="02040503050406030204" pitchFamily="18" charset="0"/>
                          </a:rPr>
                          <m:t>𝐿</m:t>
                        </m:r>
                      </m:e>
                      <m:sub>
                        <m:r>
                          <a:rPr lang="fr-CA" sz="1100" b="0" i="1">
                            <a:latin typeface="Cambria Math" panose="02040503050406030204" pitchFamily="18" charset="0"/>
                          </a:rPr>
                          <m:t>𝑒𝑞</m:t>
                        </m:r>
                      </m:sub>
                    </m:sSub>
                    <m:r>
                      <a:rPr lang="fr-CA" sz="1100" b="0" i="1">
                        <a:latin typeface="Cambria Math" panose="02040503050406030204" pitchFamily="18" charset="0"/>
                      </a:rPr>
                      <m:t>=</m:t>
                    </m:r>
                    <m:f>
                      <m:fPr>
                        <m:ctrlPr>
                          <a:rPr lang="fr-CA" sz="1100" b="0" i="1">
                            <a:latin typeface="Cambria Math" panose="02040503050406030204" pitchFamily="18" charset="0"/>
                          </a:rPr>
                        </m:ctrlPr>
                      </m:fPr>
                      <m:num>
                        <m:r>
                          <a:rPr lang="fr-CA" sz="1100" b="0" i="1">
                            <a:latin typeface="Cambria Math" panose="02040503050406030204" pitchFamily="18" charset="0"/>
                          </a:rPr>
                          <m:t>𝐴</m:t>
                        </m:r>
                      </m:num>
                      <m:den>
                        <m:r>
                          <a:rPr lang="fr-CA" sz="1100" b="0" i="1">
                            <a:solidFill>
                              <a:schemeClr val="tx1"/>
                            </a:solidFill>
                            <a:effectLst/>
                            <a:latin typeface="Cambria Math" panose="02040503050406030204" pitchFamily="18" charset="0"/>
                            <a:ea typeface="+mn-ea"/>
                            <a:cs typeface="+mn-cs"/>
                          </a:rPr>
                          <m:t>𝜋</m:t>
                        </m:r>
                        <m:r>
                          <a:rPr lang="fr-CA" sz="1100" b="0" i="1">
                            <a:solidFill>
                              <a:schemeClr val="tx1"/>
                            </a:solidFill>
                            <a:effectLst/>
                            <a:latin typeface="Cambria Math" panose="02040503050406030204" pitchFamily="18" charset="0"/>
                            <a:ea typeface="+mn-ea"/>
                            <a:cs typeface="+mn-cs"/>
                          </a:rPr>
                          <m:t>𝐷</m:t>
                        </m:r>
                      </m:den>
                    </m:f>
                  </m:oMath>
                </m:oMathPara>
              </a14:m>
              <a:endParaRPr lang="fr-CA" sz="1100"/>
            </a:p>
          </xdr:txBody>
        </xdr:sp>
      </mc:Choice>
      <mc:Fallback xmlns="">
        <xdr:sp macro="" textlink="">
          <xdr:nvSpPr>
            <xdr:cNvPr id="18" name="ZoneTexte 17">
              <a:extLst>
                <a:ext uri="{FF2B5EF4-FFF2-40B4-BE49-F238E27FC236}">
                  <a16:creationId xmlns:a16="http://schemas.microsoft.com/office/drawing/2014/main" id="{AE2AAD01-C1AF-6AC8-46ED-BB3E10A05773}"/>
                </a:ext>
              </a:extLst>
            </xdr:cNvPr>
            <xdr:cNvSpPr txBox="1"/>
          </xdr:nvSpPr>
          <xdr:spPr>
            <a:xfrm>
              <a:off x="1453091" y="45368633"/>
              <a:ext cx="602409" cy="31797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CA" sz="1100" b="0" i="0">
                  <a:latin typeface="Cambria Math" panose="02040503050406030204" pitchFamily="18" charset="0"/>
                </a:rPr>
                <a:t>𝐿_𝑒𝑞=𝐴/</a:t>
              </a:r>
              <a:r>
                <a:rPr lang="fr-CA" sz="1100" b="0" i="0">
                  <a:solidFill>
                    <a:schemeClr val="tx1"/>
                  </a:solidFill>
                  <a:effectLst/>
                  <a:latin typeface="Cambria Math" panose="02040503050406030204" pitchFamily="18" charset="0"/>
                  <a:ea typeface="+mn-ea"/>
                  <a:cs typeface="+mn-cs"/>
                </a:rPr>
                <a:t>𝜋𝐷</a:t>
              </a:r>
              <a:endParaRPr lang="fr-CA" sz="1100"/>
            </a:p>
          </xdr:txBody>
        </xdr:sp>
      </mc:Fallback>
    </mc:AlternateContent>
    <xdr:clientData/>
  </xdr:oneCellAnchor>
  <xdr:twoCellAnchor>
    <xdr:from>
      <xdr:col>5</xdr:col>
      <xdr:colOff>571500</xdr:colOff>
      <xdr:row>198</xdr:row>
      <xdr:rowOff>38099</xdr:rowOff>
    </xdr:from>
    <xdr:to>
      <xdr:col>13</xdr:col>
      <xdr:colOff>457200</xdr:colOff>
      <xdr:row>210</xdr:row>
      <xdr:rowOff>133350</xdr:rowOff>
    </xdr:to>
    <xdr:graphicFrame macro="">
      <xdr:nvGraphicFramePr>
        <xdr:cNvPr id="19" name="Graphique 18">
          <a:extLst>
            <a:ext uri="{FF2B5EF4-FFF2-40B4-BE49-F238E27FC236}">
              <a16:creationId xmlns:a16="http://schemas.microsoft.com/office/drawing/2014/main" id="{00000000-0008-0000-0A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xdr:col>
      <xdr:colOff>1284816</xdr:colOff>
      <xdr:row>253</xdr:row>
      <xdr:rowOff>74083</xdr:rowOff>
    </xdr:from>
    <xdr:ext cx="748282" cy="500137"/>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id="{00000000-0008-0000-0A00-000008000000}"/>
                </a:ext>
              </a:extLst>
            </xdr:cNvPr>
            <xdr:cNvSpPr txBox="1"/>
          </xdr:nvSpPr>
          <xdr:spPr>
            <a:xfrm>
              <a:off x="1866899" y="62960250"/>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rPr>
                      <m:t>=</m:t>
                    </m:r>
                    <m:rad>
                      <m:radPr>
                        <m:degHide m:val="on"/>
                        <m:ctrlPr>
                          <a:rPr lang="en-CA" sz="1100" b="0" i="1">
                            <a:latin typeface="Cambria Math" panose="02040503050406030204" pitchFamily="18" charset="0"/>
                          </a:rPr>
                        </m:ctrlPr>
                      </m:radPr>
                      <m:deg/>
                      <m:e>
                        <m:f>
                          <m:fPr>
                            <m:ctrlPr>
                              <a:rPr lang="fr-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𝑥</m:t>
                            </m:r>
                            <m:r>
                              <a:rPr lang="fr-CA" sz="1100" b="0" i="1">
                                <a:solidFill>
                                  <a:schemeClr val="tx1"/>
                                </a:solidFill>
                                <a:effectLst/>
                                <a:latin typeface="Cambria Math" panose="02040503050406030204" pitchFamily="18" charset="0"/>
                                <a:ea typeface="+mn-ea"/>
                                <a:cs typeface="+mn-cs"/>
                              </a:rPr>
                              <m:t>𝐴</m:t>
                            </m:r>
                          </m:num>
                          <m:den>
                            <m:r>
                              <a:rPr lang="fr-CA" sz="1100" b="0" i="1">
                                <a:solidFill>
                                  <a:schemeClr val="tx1"/>
                                </a:solidFill>
                                <a:effectLst/>
                                <a:latin typeface="Cambria Math" panose="02040503050406030204" pitchFamily="18" charset="0"/>
                                <a:ea typeface="+mn-ea"/>
                                <a:cs typeface="+mn-cs"/>
                              </a:rPr>
                              <m:t>𝜋</m:t>
                            </m:r>
                          </m:den>
                        </m:f>
                      </m:e>
                    </m:rad>
                  </m:oMath>
                </m:oMathPara>
              </a14:m>
              <a:endParaRPr lang="fr-CA" sz="1100"/>
            </a:p>
          </xdr:txBody>
        </xdr:sp>
      </mc:Choice>
      <mc:Fallback xmlns="">
        <xdr:sp macro="" textlink="">
          <xdr:nvSpPr>
            <xdr:cNvPr id="8" name="ZoneTexte 7">
              <a:extLst>
                <a:ext uri="{FF2B5EF4-FFF2-40B4-BE49-F238E27FC236}">
                  <a16:creationId xmlns:a16="http://schemas.microsoft.com/office/drawing/2014/main" id="{81555A8E-4003-4DCB-9497-D8DC608796BA}"/>
                </a:ext>
              </a:extLst>
            </xdr:cNvPr>
            <xdr:cNvSpPr txBox="1"/>
          </xdr:nvSpPr>
          <xdr:spPr>
            <a:xfrm>
              <a:off x="1866899" y="62960250"/>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ea typeface="Cambria Math" panose="02040503050406030204" pitchFamily="18" charset="0"/>
                </a:rPr>
                <a:t>⇒𝐷</a:t>
              </a:r>
              <a:r>
                <a:rPr lang="en-CA" sz="1100" b="0" i="0">
                  <a:latin typeface="Cambria Math" panose="02040503050406030204" pitchFamily="18" charset="0"/>
                </a:rPr>
                <a:t>=√(</a:t>
              </a:r>
              <a:r>
                <a:rPr lang="en-CA" sz="1100" b="0" i="0">
                  <a:solidFill>
                    <a:schemeClr val="tx1"/>
                  </a:solidFill>
                  <a:effectLst/>
                  <a:latin typeface="Cambria Math" panose="02040503050406030204" pitchFamily="18" charset="0"/>
                  <a:ea typeface="+mn-ea"/>
                  <a:cs typeface="+mn-cs"/>
                </a:rPr>
                <a:t>𝑥</a:t>
              </a:r>
              <a:r>
                <a:rPr lang="fr-CA" sz="1100" b="0" i="0">
                  <a:solidFill>
                    <a:schemeClr val="tx1"/>
                  </a:solidFill>
                  <a:effectLst/>
                  <a:latin typeface="Cambria Math" panose="02040503050406030204" pitchFamily="18" charset="0"/>
                  <a:ea typeface="+mn-ea"/>
                  <a:cs typeface="+mn-cs"/>
                </a:rPr>
                <a:t>𝐴/𝜋</a:t>
              </a:r>
              <a:r>
                <a:rPr lang="en-CA" sz="1100" b="0" i="0">
                  <a:solidFill>
                    <a:schemeClr val="tx1"/>
                  </a:solidFill>
                  <a:effectLst/>
                  <a:latin typeface="Cambria Math" panose="02040503050406030204" pitchFamily="18" charset="0"/>
                  <a:ea typeface="+mn-ea"/>
                  <a:cs typeface="+mn-cs"/>
                </a:rPr>
                <a:t>)</a:t>
              </a:r>
              <a:endParaRPr lang="fr-CA" sz="1100"/>
            </a:p>
          </xdr:txBody>
        </xdr:sp>
      </mc:Fallback>
    </mc:AlternateContent>
    <xdr:clientData/>
  </xdr:oneCellAnchor>
  <xdr:oneCellAnchor>
    <xdr:from>
      <xdr:col>2</xdr:col>
      <xdr:colOff>1042987</xdr:colOff>
      <xdr:row>250</xdr:row>
      <xdr:rowOff>23812</xdr:rowOff>
    </xdr:from>
    <xdr:ext cx="1138238" cy="315792"/>
    <mc:AlternateContent xmlns:mc="http://schemas.openxmlformats.org/markup-compatibility/2006" xmlns:a14="http://schemas.microsoft.com/office/drawing/2010/main">
      <mc:Choice Requires="a14">
        <xdr:sp macro="" textlink="">
          <xdr:nvSpPr>
            <xdr:cNvPr id="17" name="ZoneTexte 16">
              <a:extLst>
                <a:ext uri="{FF2B5EF4-FFF2-40B4-BE49-F238E27FC236}">
                  <a16:creationId xmlns:a16="http://schemas.microsoft.com/office/drawing/2014/main" id="{00000000-0008-0000-0A00-000011000000}"/>
                </a:ext>
              </a:extLst>
            </xdr:cNvPr>
            <xdr:cNvSpPr txBox="1"/>
          </xdr:nvSpPr>
          <xdr:spPr>
            <a:xfrm>
              <a:off x="1633537" y="57916762"/>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fr-CA" sz="1100" i="1">
                            <a:latin typeface="Cambria Math" panose="02040503050406030204" pitchFamily="18" charset="0"/>
                          </a:rPr>
                        </m:ctrlPr>
                      </m:fPr>
                      <m:num>
                        <m:r>
                          <a:rPr lang="en-CA" sz="1100" b="0" i="1">
                            <a:latin typeface="Cambria Math" panose="02040503050406030204" pitchFamily="18" charset="0"/>
                          </a:rPr>
                          <m:t>𝐷</m:t>
                        </m:r>
                      </m:num>
                      <m:den>
                        <m:r>
                          <a:rPr lang="en-CA" sz="1100" b="0" i="1">
                            <a:latin typeface="Cambria Math" panose="02040503050406030204" pitchFamily="18" charset="0"/>
                          </a:rPr>
                          <m:t>𝐿</m:t>
                        </m:r>
                      </m:den>
                    </m:f>
                    <m:r>
                      <a:rPr lang="en-CA" sz="1100" b="0" i="1">
                        <a:latin typeface="Cambria Math" panose="02040503050406030204" pitchFamily="18" charset="0"/>
                      </a:rPr>
                      <m:t>= </m:t>
                    </m:r>
                    <m:r>
                      <a:rPr lang="en-CA" sz="1100" b="0" i="1">
                        <a:solidFill>
                          <a:schemeClr val="tx1"/>
                        </a:solidFill>
                        <a:effectLst/>
                        <a:latin typeface="Cambria Math" panose="02040503050406030204" pitchFamily="18" charset="0"/>
                        <a:ea typeface="+mn-ea"/>
                        <a:cs typeface="+mn-cs"/>
                      </a:rPr>
                      <m:t>𝑥</m:t>
                    </m:r>
                  </m:oMath>
                </m:oMathPara>
              </a14:m>
              <a:endParaRPr lang="fr-CA" sz="1100"/>
            </a:p>
          </xdr:txBody>
        </xdr:sp>
      </mc:Choice>
      <mc:Fallback xmlns="">
        <xdr:sp macro="" textlink="">
          <xdr:nvSpPr>
            <xdr:cNvPr id="17" name="ZoneTexte 16">
              <a:extLst>
                <a:ext uri="{FF2B5EF4-FFF2-40B4-BE49-F238E27FC236}">
                  <a16:creationId xmlns:a16="http://schemas.microsoft.com/office/drawing/2014/main" id="{BD79DCDF-4C94-36CC-2678-D6D1B4B7B73C}"/>
                </a:ext>
              </a:extLst>
            </xdr:cNvPr>
            <xdr:cNvSpPr txBox="1"/>
          </xdr:nvSpPr>
          <xdr:spPr>
            <a:xfrm>
              <a:off x="1633537" y="57916762"/>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CA" sz="1100" b="0" i="0">
                  <a:latin typeface="Cambria Math" panose="02040503050406030204" pitchFamily="18" charset="0"/>
                </a:rPr>
                <a:t>𝐷</a:t>
              </a:r>
              <a:r>
                <a:rPr lang="fr-CA" sz="1100" b="0" i="0">
                  <a:latin typeface="Cambria Math" panose="02040503050406030204" pitchFamily="18" charset="0"/>
                </a:rPr>
                <a:t>/</a:t>
              </a:r>
              <a:r>
                <a:rPr lang="en-CA" sz="1100" b="0" i="0">
                  <a:latin typeface="Cambria Math" panose="02040503050406030204" pitchFamily="18" charset="0"/>
                </a:rPr>
                <a:t>𝐿= </a:t>
              </a:r>
              <a:r>
                <a:rPr lang="en-CA" sz="1100" b="0" i="0">
                  <a:solidFill>
                    <a:schemeClr val="tx1"/>
                  </a:solidFill>
                  <a:effectLst/>
                  <a:latin typeface="+mn-lt"/>
                  <a:ea typeface="+mn-ea"/>
                  <a:cs typeface="+mn-cs"/>
                </a:rPr>
                <a:t>𝑥</a:t>
              </a:r>
              <a:endParaRPr lang="fr-CA" sz="1100"/>
            </a:p>
          </xdr:txBody>
        </xdr:sp>
      </mc:Fallback>
    </mc:AlternateContent>
    <xdr:clientData/>
  </xdr:oneCellAnchor>
  <xdr:oneCellAnchor>
    <xdr:from>
      <xdr:col>2</xdr:col>
      <xdr:colOff>1347787</xdr:colOff>
      <xdr:row>251</xdr:row>
      <xdr:rowOff>223837</xdr:rowOff>
    </xdr:from>
    <xdr:ext cx="1744708" cy="316882"/>
    <mc:AlternateContent xmlns:mc="http://schemas.openxmlformats.org/markup-compatibility/2006" xmlns:a14="http://schemas.microsoft.com/office/drawing/2010/main">
      <mc:Choice Requires="a14">
        <xdr:sp macro="" textlink="">
          <xdr:nvSpPr>
            <xdr:cNvPr id="20" name="ZoneTexte 19">
              <a:extLst>
                <a:ext uri="{FF2B5EF4-FFF2-40B4-BE49-F238E27FC236}">
                  <a16:creationId xmlns:a16="http://schemas.microsoft.com/office/drawing/2014/main" id="{00000000-0008-0000-0A00-000014000000}"/>
                </a:ext>
              </a:extLst>
            </xdr:cNvPr>
            <xdr:cNvSpPr txBox="1"/>
          </xdr:nvSpPr>
          <xdr:spPr>
            <a:xfrm>
              <a:off x="1938337" y="5811678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𝐴</m:t>
                    </m:r>
                    <m:r>
                      <a:rPr lang="en-CA" sz="1100" b="0" i="1">
                        <a:latin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𝐷𝐿</m:t>
                    </m:r>
                    <m:r>
                      <a:rPr lang="en-CA" sz="1100" b="0" i="1">
                        <a:latin typeface="Cambria Math" panose="02040503050406030204" pitchFamily="18" charset="0"/>
                        <a:ea typeface="Cambria Math" panose="02040503050406030204" pitchFamily="18" charset="0"/>
                      </a:rPr>
                      <m:t>= </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latin typeface="Cambria Math" panose="02040503050406030204" pitchFamily="18" charset="0"/>
                            <a:ea typeface="Cambria Math" panose="02040503050406030204" pitchFamily="18" charset="0"/>
                          </a:rPr>
                          <m:t>𝐷</m:t>
                        </m:r>
                      </m:num>
                      <m:den>
                        <m:r>
                          <a:rPr lang="en-CA" sz="1100" b="0" i="1">
                            <a:latin typeface="Cambria Math" panose="02040503050406030204" pitchFamily="18" charset="0"/>
                            <a:ea typeface="Cambria Math" panose="02040503050406030204" pitchFamily="18" charset="0"/>
                          </a:rPr>
                          <m:t>𝑥</m:t>
                        </m:r>
                      </m:den>
                    </m:f>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solidFill>
                              <a:schemeClr val="tx1"/>
                            </a:solidFill>
                            <a:effectLst/>
                            <a:latin typeface="Cambria Math" panose="02040503050406030204" pitchFamily="18" charset="0"/>
                            <a:ea typeface="+mn-ea"/>
                            <a:cs typeface="+mn-cs"/>
                          </a:rPr>
                          <m:t>𝜋</m:t>
                        </m:r>
                      </m:num>
                      <m:den>
                        <m:r>
                          <a:rPr lang="en-CA" sz="1100" b="0" i="1">
                            <a:latin typeface="Cambria Math" panose="02040503050406030204" pitchFamily="18" charset="0"/>
                            <a:ea typeface="Cambria Math" panose="02040503050406030204" pitchFamily="18" charset="0"/>
                          </a:rPr>
                          <m:t>𝑥</m:t>
                        </m:r>
                      </m:den>
                    </m:f>
                    <m:sSup>
                      <m:sSupPr>
                        <m:ctrlPr>
                          <a:rPr lang="en-CA" sz="1100" b="0" i="1">
                            <a:latin typeface="Cambria Math" panose="02040503050406030204" pitchFamily="18" charset="0"/>
                            <a:ea typeface="Cambria Math" panose="02040503050406030204" pitchFamily="18" charset="0"/>
                          </a:rPr>
                        </m:ctrlPr>
                      </m:sSupPr>
                      <m:e>
                        <m:r>
                          <a:rPr lang="en-CA" sz="1100" b="0" i="1">
                            <a:latin typeface="Cambria Math" panose="02040503050406030204" pitchFamily="18" charset="0"/>
                            <a:ea typeface="Cambria Math" panose="02040503050406030204" pitchFamily="18" charset="0"/>
                          </a:rPr>
                          <m:t>𝐷</m:t>
                        </m:r>
                      </m:e>
                      <m:sup>
                        <m:r>
                          <a:rPr lang="en-CA" sz="1100" b="0" i="1">
                            <a:latin typeface="Cambria Math" panose="02040503050406030204" pitchFamily="18" charset="0"/>
                            <a:ea typeface="Cambria Math" panose="02040503050406030204" pitchFamily="18" charset="0"/>
                          </a:rPr>
                          <m:t>2</m:t>
                        </m:r>
                      </m:sup>
                    </m:sSup>
                  </m:oMath>
                </m:oMathPara>
              </a14:m>
              <a:endParaRPr lang="fr-CA" sz="1100"/>
            </a:p>
          </xdr:txBody>
        </xdr:sp>
      </mc:Choice>
      <mc:Fallback xmlns="">
        <xdr:sp macro="" textlink="">
          <xdr:nvSpPr>
            <xdr:cNvPr id="20" name="ZoneTexte 19">
              <a:extLst>
                <a:ext uri="{FF2B5EF4-FFF2-40B4-BE49-F238E27FC236}">
                  <a16:creationId xmlns:a16="http://schemas.microsoft.com/office/drawing/2014/main" id="{BBEDAF0A-6FBF-BA15-8268-E26198D06F3F}"/>
                </a:ext>
              </a:extLst>
            </xdr:cNvPr>
            <xdr:cNvSpPr txBox="1"/>
          </xdr:nvSpPr>
          <xdr:spPr>
            <a:xfrm>
              <a:off x="1938337" y="5811678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𝐴=</a:t>
              </a:r>
              <a:r>
                <a:rPr lang="en-CA" sz="1100" b="0" i="0">
                  <a:latin typeface="Cambria Math" panose="02040503050406030204" pitchFamily="18" charset="0"/>
                  <a:ea typeface="Cambria Math" panose="02040503050406030204" pitchFamily="18" charset="0"/>
                </a:rPr>
                <a:t>𝜋𝐷𝐿= 𝜋∙𝐷∙𝐷/𝑥=</a:t>
              </a:r>
              <a:r>
                <a:rPr lang="en-CA" sz="1100" b="0" i="0">
                  <a:solidFill>
                    <a:schemeClr val="tx1"/>
                  </a:solidFill>
                  <a:effectLst/>
                  <a:latin typeface="+mn-lt"/>
                  <a:ea typeface="+mn-ea"/>
                  <a:cs typeface="+mn-cs"/>
                </a:rPr>
                <a:t>𝜋</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𝑥 𝐷^2</a:t>
              </a:r>
              <a:endParaRPr lang="fr-CA" sz="1100"/>
            </a:p>
          </xdr:txBody>
        </xdr:sp>
      </mc:Fallback>
    </mc:AlternateContent>
    <xdr:clientData/>
  </xdr:oneCellAnchor>
  <xdr:oneCellAnchor>
    <xdr:from>
      <xdr:col>2</xdr:col>
      <xdr:colOff>1295400</xdr:colOff>
      <xdr:row>239</xdr:row>
      <xdr:rowOff>31750</xdr:rowOff>
    </xdr:from>
    <xdr:ext cx="748282" cy="500137"/>
    <mc:AlternateContent xmlns:mc="http://schemas.openxmlformats.org/markup-compatibility/2006" xmlns:a14="http://schemas.microsoft.com/office/drawing/2010/main">
      <mc:Choice Requires="a14">
        <xdr:sp macro="" textlink="">
          <xdr:nvSpPr>
            <xdr:cNvPr id="24" name="ZoneTexte 23">
              <a:extLst>
                <a:ext uri="{FF2B5EF4-FFF2-40B4-BE49-F238E27FC236}">
                  <a16:creationId xmlns:a16="http://schemas.microsoft.com/office/drawing/2014/main" id="{00000000-0008-0000-0A00-000018000000}"/>
                </a:ext>
              </a:extLst>
            </xdr:cNvPr>
            <xdr:cNvSpPr txBox="1"/>
          </xdr:nvSpPr>
          <xdr:spPr>
            <a:xfrm>
              <a:off x="1877483" y="59510083"/>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rPr>
                      <m:t>=</m:t>
                    </m:r>
                    <m:rad>
                      <m:radPr>
                        <m:degHide m:val="on"/>
                        <m:ctrlPr>
                          <a:rPr lang="en-CA" sz="1100" b="0" i="1">
                            <a:latin typeface="Cambria Math" panose="02040503050406030204" pitchFamily="18" charset="0"/>
                          </a:rPr>
                        </m:ctrlPr>
                      </m:radPr>
                      <m:deg/>
                      <m:e>
                        <m:f>
                          <m:fPr>
                            <m:ctrlPr>
                              <a:rPr lang="fr-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𝑥</m:t>
                            </m:r>
                            <m:r>
                              <a:rPr lang="fr-CA" sz="1100" b="0" i="1">
                                <a:solidFill>
                                  <a:schemeClr val="tx1"/>
                                </a:solidFill>
                                <a:effectLst/>
                                <a:latin typeface="Cambria Math" panose="02040503050406030204" pitchFamily="18" charset="0"/>
                                <a:ea typeface="+mn-ea"/>
                                <a:cs typeface="+mn-cs"/>
                              </a:rPr>
                              <m:t>𝐴</m:t>
                            </m:r>
                          </m:num>
                          <m:den>
                            <m:r>
                              <a:rPr lang="fr-CA" sz="1100" b="0" i="1">
                                <a:solidFill>
                                  <a:schemeClr val="tx1"/>
                                </a:solidFill>
                                <a:effectLst/>
                                <a:latin typeface="Cambria Math" panose="02040503050406030204" pitchFamily="18" charset="0"/>
                                <a:ea typeface="+mn-ea"/>
                                <a:cs typeface="+mn-cs"/>
                              </a:rPr>
                              <m:t>𝜋</m:t>
                            </m:r>
                          </m:den>
                        </m:f>
                      </m:e>
                    </m:rad>
                  </m:oMath>
                </m:oMathPara>
              </a14:m>
              <a:endParaRPr lang="fr-CA" sz="1100"/>
            </a:p>
          </xdr:txBody>
        </xdr:sp>
      </mc:Choice>
      <mc:Fallback xmlns="">
        <xdr:sp macro="" textlink="">
          <xdr:nvSpPr>
            <xdr:cNvPr id="24" name="ZoneTexte 23">
              <a:extLst>
                <a:ext uri="{FF2B5EF4-FFF2-40B4-BE49-F238E27FC236}">
                  <a16:creationId xmlns:a16="http://schemas.microsoft.com/office/drawing/2014/main" id="{F9349041-8252-4F00-B5F4-72B3B5AD81E1}"/>
                </a:ext>
              </a:extLst>
            </xdr:cNvPr>
            <xdr:cNvSpPr txBox="1"/>
          </xdr:nvSpPr>
          <xdr:spPr>
            <a:xfrm>
              <a:off x="1877483" y="59510083"/>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ea typeface="Cambria Math" panose="02040503050406030204" pitchFamily="18" charset="0"/>
                </a:rPr>
                <a:t>⇒𝐷</a:t>
              </a:r>
              <a:r>
                <a:rPr lang="en-CA" sz="1100" b="0" i="0">
                  <a:latin typeface="Cambria Math" panose="02040503050406030204" pitchFamily="18" charset="0"/>
                </a:rPr>
                <a:t>=√(</a:t>
              </a:r>
              <a:r>
                <a:rPr lang="en-CA" sz="1100" b="0" i="0">
                  <a:solidFill>
                    <a:schemeClr val="tx1"/>
                  </a:solidFill>
                  <a:effectLst/>
                  <a:latin typeface="Cambria Math" panose="02040503050406030204" pitchFamily="18" charset="0"/>
                  <a:ea typeface="+mn-ea"/>
                  <a:cs typeface="+mn-cs"/>
                </a:rPr>
                <a:t>𝑥</a:t>
              </a:r>
              <a:r>
                <a:rPr lang="fr-CA" sz="1100" b="0" i="0">
                  <a:solidFill>
                    <a:schemeClr val="tx1"/>
                  </a:solidFill>
                  <a:effectLst/>
                  <a:latin typeface="Cambria Math" panose="02040503050406030204" pitchFamily="18" charset="0"/>
                  <a:ea typeface="+mn-ea"/>
                  <a:cs typeface="+mn-cs"/>
                </a:rPr>
                <a:t>𝐴/𝜋</a:t>
              </a:r>
              <a:r>
                <a:rPr lang="en-CA" sz="1100" b="0" i="0">
                  <a:solidFill>
                    <a:schemeClr val="tx1"/>
                  </a:solidFill>
                  <a:effectLst/>
                  <a:latin typeface="Cambria Math" panose="02040503050406030204" pitchFamily="18" charset="0"/>
                  <a:ea typeface="+mn-ea"/>
                  <a:cs typeface="+mn-cs"/>
                </a:rPr>
                <a:t>)</a:t>
              </a:r>
              <a:endParaRPr lang="fr-CA" sz="1100"/>
            </a:p>
          </xdr:txBody>
        </xdr:sp>
      </mc:Fallback>
    </mc:AlternateContent>
    <xdr:clientData/>
  </xdr:oneCellAnchor>
  <xdr:oneCellAnchor>
    <xdr:from>
      <xdr:col>2</xdr:col>
      <xdr:colOff>1042987</xdr:colOff>
      <xdr:row>236</xdr:row>
      <xdr:rowOff>23812</xdr:rowOff>
    </xdr:from>
    <xdr:ext cx="1138238" cy="315792"/>
    <mc:AlternateContent xmlns:mc="http://schemas.openxmlformats.org/markup-compatibility/2006" xmlns:a14="http://schemas.microsoft.com/office/drawing/2010/main">
      <mc:Choice Requires="a14">
        <xdr:sp macro="" textlink="">
          <xdr:nvSpPr>
            <xdr:cNvPr id="25" name="ZoneTexte 24">
              <a:extLst>
                <a:ext uri="{FF2B5EF4-FFF2-40B4-BE49-F238E27FC236}">
                  <a16:creationId xmlns:a16="http://schemas.microsoft.com/office/drawing/2014/main" id="{00000000-0008-0000-0A00-000019000000}"/>
                </a:ext>
              </a:extLst>
            </xdr:cNvPr>
            <xdr:cNvSpPr txBox="1"/>
          </xdr:nvSpPr>
          <xdr:spPr>
            <a:xfrm>
              <a:off x="1633537" y="58154887"/>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fr-CA" sz="1100" i="1">
                            <a:latin typeface="Cambria Math" panose="02040503050406030204" pitchFamily="18" charset="0"/>
                          </a:rPr>
                        </m:ctrlPr>
                      </m:fPr>
                      <m:num>
                        <m:r>
                          <a:rPr lang="en-CA" sz="1100" b="0" i="1">
                            <a:latin typeface="Cambria Math" panose="02040503050406030204" pitchFamily="18" charset="0"/>
                          </a:rPr>
                          <m:t>𝐷</m:t>
                        </m:r>
                      </m:num>
                      <m:den>
                        <m:r>
                          <a:rPr lang="en-CA" sz="1100" b="0" i="1">
                            <a:latin typeface="Cambria Math" panose="02040503050406030204" pitchFamily="18" charset="0"/>
                          </a:rPr>
                          <m:t>𝐿</m:t>
                        </m:r>
                      </m:den>
                    </m:f>
                    <m:r>
                      <a:rPr lang="en-CA" sz="1100" b="0" i="1">
                        <a:latin typeface="Cambria Math" panose="02040503050406030204" pitchFamily="18" charset="0"/>
                      </a:rPr>
                      <m:t>= </m:t>
                    </m:r>
                    <m:r>
                      <a:rPr lang="en-CA" sz="1100" b="0" i="1">
                        <a:solidFill>
                          <a:schemeClr val="tx1"/>
                        </a:solidFill>
                        <a:effectLst/>
                        <a:latin typeface="Cambria Math" panose="02040503050406030204" pitchFamily="18" charset="0"/>
                        <a:ea typeface="+mn-ea"/>
                        <a:cs typeface="+mn-cs"/>
                      </a:rPr>
                      <m:t>𝑥</m:t>
                    </m:r>
                  </m:oMath>
                </m:oMathPara>
              </a14:m>
              <a:endParaRPr lang="fr-CA" sz="1100"/>
            </a:p>
          </xdr:txBody>
        </xdr:sp>
      </mc:Choice>
      <mc:Fallback xmlns="">
        <xdr:sp macro="" textlink="">
          <xdr:nvSpPr>
            <xdr:cNvPr id="25" name="ZoneTexte 24">
              <a:extLst>
                <a:ext uri="{FF2B5EF4-FFF2-40B4-BE49-F238E27FC236}">
                  <a16:creationId xmlns:a16="http://schemas.microsoft.com/office/drawing/2014/main" id="{56E5233E-60B1-4323-9DF5-0E9938BAD08B}"/>
                </a:ext>
              </a:extLst>
            </xdr:cNvPr>
            <xdr:cNvSpPr txBox="1"/>
          </xdr:nvSpPr>
          <xdr:spPr>
            <a:xfrm>
              <a:off x="1633537" y="58154887"/>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CA" sz="1100" b="0" i="0">
                  <a:latin typeface="Cambria Math" panose="02040503050406030204" pitchFamily="18" charset="0"/>
                </a:rPr>
                <a:t>𝐷</a:t>
              </a:r>
              <a:r>
                <a:rPr lang="fr-CA" sz="1100" b="0" i="0">
                  <a:latin typeface="Cambria Math" panose="02040503050406030204" pitchFamily="18" charset="0"/>
                </a:rPr>
                <a:t>/</a:t>
              </a:r>
              <a:r>
                <a:rPr lang="en-CA" sz="1100" b="0" i="0">
                  <a:latin typeface="Cambria Math" panose="02040503050406030204" pitchFamily="18" charset="0"/>
                </a:rPr>
                <a:t>𝐿= </a:t>
              </a:r>
              <a:r>
                <a:rPr lang="en-CA" sz="1100" b="0" i="0">
                  <a:solidFill>
                    <a:schemeClr val="tx1"/>
                  </a:solidFill>
                  <a:effectLst/>
                  <a:latin typeface="Cambria Math" panose="02040503050406030204" pitchFamily="18" charset="0"/>
                  <a:ea typeface="+mn-ea"/>
                  <a:cs typeface="+mn-cs"/>
                </a:rPr>
                <a:t>𝑥</a:t>
              </a:r>
              <a:endParaRPr lang="fr-CA" sz="1100"/>
            </a:p>
          </xdr:txBody>
        </xdr:sp>
      </mc:Fallback>
    </mc:AlternateContent>
    <xdr:clientData/>
  </xdr:oneCellAnchor>
  <xdr:oneCellAnchor>
    <xdr:from>
      <xdr:col>2</xdr:col>
      <xdr:colOff>1347787</xdr:colOff>
      <xdr:row>237</xdr:row>
      <xdr:rowOff>223837</xdr:rowOff>
    </xdr:from>
    <xdr:ext cx="1744708" cy="316882"/>
    <mc:AlternateContent xmlns:mc="http://schemas.openxmlformats.org/markup-compatibility/2006" xmlns:a14="http://schemas.microsoft.com/office/drawing/2010/main">
      <mc:Choice Requires="a14">
        <xdr:sp macro="" textlink="">
          <xdr:nvSpPr>
            <xdr:cNvPr id="26" name="ZoneTexte 25">
              <a:extLst>
                <a:ext uri="{FF2B5EF4-FFF2-40B4-BE49-F238E27FC236}">
                  <a16:creationId xmlns:a16="http://schemas.microsoft.com/office/drawing/2014/main" id="{00000000-0008-0000-0A00-00001A000000}"/>
                </a:ext>
              </a:extLst>
            </xdr:cNvPr>
            <xdr:cNvSpPr txBox="1"/>
          </xdr:nvSpPr>
          <xdr:spPr>
            <a:xfrm>
              <a:off x="1938337" y="5859303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𝐴</m:t>
                    </m:r>
                    <m:r>
                      <a:rPr lang="en-CA" sz="1100" b="0" i="1">
                        <a:latin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𝐷𝐿</m:t>
                    </m:r>
                    <m:r>
                      <a:rPr lang="en-CA" sz="1100" b="0" i="1">
                        <a:latin typeface="Cambria Math" panose="02040503050406030204" pitchFamily="18" charset="0"/>
                        <a:ea typeface="Cambria Math" panose="02040503050406030204" pitchFamily="18" charset="0"/>
                      </a:rPr>
                      <m:t>= </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latin typeface="Cambria Math" panose="02040503050406030204" pitchFamily="18" charset="0"/>
                            <a:ea typeface="Cambria Math" panose="02040503050406030204" pitchFamily="18" charset="0"/>
                          </a:rPr>
                          <m:t>𝐷</m:t>
                        </m:r>
                      </m:num>
                      <m:den>
                        <m:r>
                          <a:rPr lang="en-CA" sz="1100" b="0" i="1">
                            <a:latin typeface="Cambria Math" panose="02040503050406030204" pitchFamily="18" charset="0"/>
                            <a:ea typeface="Cambria Math" panose="02040503050406030204" pitchFamily="18" charset="0"/>
                          </a:rPr>
                          <m:t>𝑥</m:t>
                        </m:r>
                      </m:den>
                    </m:f>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solidFill>
                              <a:schemeClr val="tx1"/>
                            </a:solidFill>
                            <a:effectLst/>
                            <a:latin typeface="Cambria Math" panose="02040503050406030204" pitchFamily="18" charset="0"/>
                            <a:ea typeface="+mn-ea"/>
                            <a:cs typeface="+mn-cs"/>
                          </a:rPr>
                          <m:t>𝜋</m:t>
                        </m:r>
                      </m:num>
                      <m:den>
                        <m:r>
                          <a:rPr lang="en-CA" sz="1100" b="0" i="1">
                            <a:latin typeface="Cambria Math" panose="02040503050406030204" pitchFamily="18" charset="0"/>
                            <a:ea typeface="Cambria Math" panose="02040503050406030204" pitchFamily="18" charset="0"/>
                          </a:rPr>
                          <m:t>𝑥</m:t>
                        </m:r>
                      </m:den>
                    </m:f>
                    <m:sSup>
                      <m:sSupPr>
                        <m:ctrlPr>
                          <a:rPr lang="en-CA" sz="1100" b="0" i="1">
                            <a:latin typeface="Cambria Math" panose="02040503050406030204" pitchFamily="18" charset="0"/>
                            <a:ea typeface="Cambria Math" panose="02040503050406030204" pitchFamily="18" charset="0"/>
                          </a:rPr>
                        </m:ctrlPr>
                      </m:sSupPr>
                      <m:e>
                        <m:r>
                          <a:rPr lang="en-CA" sz="1100" b="0" i="1">
                            <a:latin typeface="Cambria Math" panose="02040503050406030204" pitchFamily="18" charset="0"/>
                            <a:ea typeface="Cambria Math" panose="02040503050406030204" pitchFamily="18" charset="0"/>
                          </a:rPr>
                          <m:t>𝐷</m:t>
                        </m:r>
                      </m:e>
                      <m:sup>
                        <m:r>
                          <a:rPr lang="en-CA" sz="1100" b="0" i="1">
                            <a:latin typeface="Cambria Math" panose="02040503050406030204" pitchFamily="18" charset="0"/>
                            <a:ea typeface="Cambria Math" panose="02040503050406030204" pitchFamily="18" charset="0"/>
                          </a:rPr>
                          <m:t>2</m:t>
                        </m:r>
                      </m:sup>
                    </m:sSup>
                  </m:oMath>
                </m:oMathPara>
              </a14:m>
              <a:endParaRPr lang="fr-CA" sz="1100"/>
            </a:p>
          </xdr:txBody>
        </xdr:sp>
      </mc:Choice>
      <mc:Fallback xmlns="">
        <xdr:sp macro="" textlink="">
          <xdr:nvSpPr>
            <xdr:cNvPr id="26" name="ZoneTexte 25">
              <a:extLst>
                <a:ext uri="{FF2B5EF4-FFF2-40B4-BE49-F238E27FC236}">
                  <a16:creationId xmlns:a16="http://schemas.microsoft.com/office/drawing/2014/main" id="{EEEA85E3-8B6F-4470-A304-7F29DA70CE1A}"/>
                </a:ext>
              </a:extLst>
            </xdr:cNvPr>
            <xdr:cNvSpPr txBox="1"/>
          </xdr:nvSpPr>
          <xdr:spPr>
            <a:xfrm>
              <a:off x="1938337" y="5859303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𝐴=</a:t>
              </a:r>
              <a:r>
                <a:rPr lang="en-CA" sz="1100" b="0" i="0">
                  <a:latin typeface="Cambria Math" panose="02040503050406030204" pitchFamily="18" charset="0"/>
                  <a:ea typeface="Cambria Math" panose="02040503050406030204" pitchFamily="18" charset="0"/>
                </a:rPr>
                <a:t>𝜋𝐷𝐿= 𝜋∙𝐷∙𝐷/𝑥=</a:t>
              </a:r>
              <a:r>
                <a:rPr lang="en-CA" sz="1100" b="0" i="0">
                  <a:solidFill>
                    <a:schemeClr val="tx1"/>
                  </a:solidFill>
                  <a:effectLst/>
                  <a:latin typeface="Cambria Math" panose="02040503050406030204" pitchFamily="18" charset="0"/>
                  <a:ea typeface="+mn-ea"/>
                  <a:cs typeface="+mn-cs"/>
                </a:rPr>
                <a:t>𝜋</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𝑥 𝐷^2</a:t>
              </a:r>
              <a:endParaRPr lang="fr-CA" sz="1100"/>
            </a:p>
          </xdr:txBody>
        </xdr:sp>
      </mc:Fallback>
    </mc:AlternateContent>
    <xdr:clientData/>
  </xdr:oneCellAnchor>
  <xdr:oneCellAnchor>
    <xdr:from>
      <xdr:col>2</xdr:col>
      <xdr:colOff>157162</xdr:colOff>
      <xdr:row>265</xdr:row>
      <xdr:rowOff>176212</xdr:rowOff>
    </xdr:from>
    <xdr:ext cx="1331647" cy="349904"/>
    <mc:AlternateContent xmlns:mc="http://schemas.openxmlformats.org/markup-compatibility/2006" xmlns:a14="http://schemas.microsoft.com/office/drawing/2010/main">
      <mc:Choice Requires="a14">
        <xdr:sp macro="" textlink="">
          <xdr:nvSpPr>
            <xdr:cNvPr id="21" name="ZoneTexte 20">
              <a:extLst>
                <a:ext uri="{FF2B5EF4-FFF2-40B4-BE49-F238E27FC236}">
                  <a16:creationId xmlns:a16="http://schemas.microsoft.com/office/drawing/2014/main" id="{00000000-0008-0000-0A00-000015000000}"/>
                </a:ext>
              </a:extLst>
            </xdr:cNvPr>
            <xdr:cNvSpPr txBox="1"/>
          </xdr:nvSpPr>
          <xdr:spPr>
            <a:xfrm>
              <a:off x="747712" y="65155762"/>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0,35=</m:t>
                    </m:r>
                    <m:f>
                      <m:fPr>
                        <m:ctrlPr>
                          <a:rPr lang="en-CA" sz="1100" b="0" i="1">
                            <a:latin typeface="Cambria Math" panose="02040503050406030204" pitchFamily="18" charset="0"/>
                          </a:rPr>
                        </m:ctrlPr>
                      </m:fPr>
                      <m:num>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𝑝𝑜𝑚𝑝𝑒</m:t>
                            </m:r>
                          </m:sub>
                        </m:sSub>
                      </m:num>
                      <m:den>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den>
                    </m:f>
                  </m:oMath>
                </m:oMathPara>
              </a14:m>
              <a:endParaRPr lang="fr-CA" sz="1100"/>
            </a:p>
          </xdr:txBody>
        </xdr:sp>
      </mc:Choice>
      <mc:Fallback xmlns="">
        <xdr:sp macro="" textlink="">
          <xdr:nvSpPr>
            <xdr:cNvPr id="21" name="ZoneTexte 20">
              <a:extLst>
                <a:ext uri="{FF2B5EF4-FFF2-40B4-BE49-F238E27FC236}">
                  <a16:creationId xmlns:a16="http://schemas.microsoft.com/office/drawing/2014/main" id="{33A03EE2-01A3-423C-CC82-11712CECDF8F}"/>
                </a:ext>
              </a:extLst>
            </xdr:cNvPr>
            <xdr:cNvSpPr txBox="1"/>
          </xdr:nvSpPr>
          <xdr:spPr>
            <a:xfrm>
              <a:off x="747712" y="65155762"/>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0,35=(𝐴_𝑖𝑠𝑜−𝐴_𝑝𝑜𝑚𝑝𝑒)/𝐴_𝑖𝑠𝑜 </a:t>
              </a:r>
              <a:endParaRPr lang="fr-CA" sz="1100"/>
            </a:p>
          </xdr:txBody>
        </xdr:sp>
      </mc:Fallback>
    </mc:AlternateContent>
    <xdr:clientData/>
  </xdr:oneCellAnchor>
  <xdr:oneCellAnchor>
    <xdr:from>
      <xdr:col>2</xdr:col>
      <xdr:colOff>147637</xdr:colOff>
      <xdr:row>268</xdr:row>
      <xdr:rowOff>4762</xdr:rowOff>
    </xdr:from>
    <xdr:ext cx="1518493" cy="242823"/>
    <mc:AlternateContent xmlns:mc="http://schemas.openxmlformats.org/markup-compatibility/2006" xmlns:a14="http://schemas.microsoft.com/office/drawing/2010/main">
      <mc:Choice Requires="a14">
        <xdr:sp macro="" textlink="">
          <xdr:nvSpPr>
            <xdr:cNvPr id="23" name="ZoneTexte 22">
              <a:extLst>
                <a:ext uri="{FF2B5EF4-FFF2-40B4-BE49-F238E27FC236}">
                  <a16:creationId xmlns:a16="http://schemas.microsoft.com/office/drawing/2014/main" id="{00000000-0008-0000-0A00-000017000000}"/>
                </a:ext>
              </a:extLst>
            </xdr:cNvPr>
            <xdr:cNvSpPr txBox="1"/>
          </xdr:nvSpPr>
          <xdr:spPr>
            <a:xfrm>
              <a:off x="738187" y="65698687"/>
              <a:ext cx="1518493"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𝑝𝑜𝑚𝑝𝑒</m:t>
                      </m:r>
                    </m:sub>
                  </m:sSub>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𝜋</m:t>
                  </m:r>
                  <m:f>
                    <m:fPr>
                      <m:ctrlPr>
                        <a:rPr lang="en-CA" sz="1100" b="0" i="1">
                          <a:latin typeface="Cambria Math" panose="02040503050406030204" pitchFamily="18" charset="0"/>
                          <a:ea typeface="Cambria Math" panose="02040503050406030204" pitchFamily="18" charset="0"/>
                        </a:rPr>
                      </m:ctrlPr>
                    </m:fPr>
                    <m:num>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2</m:t>
                          </m:r>
                        </m:sub>
                      </m:sSub>
                    </m:num>
                    <m:den>
                      <m:r>
                        <a:rPr lang="en-CA" sz="1100" b="0" i="1">
                          <a:latin typeface="Cambria Math" panose="02040503050406030204" pitchFamily="18" charset="0"/>
                          <a:ea typeface="Cambria Math" panose="02040503050406030204" pitchFamily="18" charset="0"/>
                        </a:rPr>
                        <m:t>2</m:t>
                      </m:r>
                    </m:den>
                  </m:f>
                  <m:r>
                    <a:rPr lang="en-CA" sz="1100" b="0" i="1">
                      <a:latin typeface="Cambria Math" panose="02040503050406030204" pitchFamily="18" charset="0"/>
                      <a:ea typeface="Cambria Math" panose="02040503050406030204" pitchFamily="18" charset="0"/>
                    </a:rPr>
                    <m:t>𝐿</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2</m:t>
                      </m:r>
                    </m:sub>
                  </m:sSub>
                </m:oMath>
              </a14:m>
              <a:r>
                <a:rPr lang="fr-CA" sz="1100"/>
                <a:t>L</a:t>
              </a:r>
            </a:p>
          </xdr:txBody>
        </xdr:sp>
      </mc:Choice>
      <mc:Fallback xmlns="">
        <xdr:sp macro="" textlink="">
          <xdr:nvSpPr>
            <xdr:cNvPr id="23" name="ZoneTexte 22">
              <a:extLst>
                <a:ext uri="{FF2B5EF4-FFF2-40B4-BE49-F238E27FC236}">
                  <a16:creationId xmlns:a16="http://schemas.microsoft.com/office/drawing/2014/main" id="{7B9D6E74-4A58-9E32-B3AB-FCD6715E3989}"/>
                </a:ext>
              </a:extLst>
            </xdr:cNvPr>
            <xdr:cNvSpPr txBox="1"/>
          </xdr:nvSpPr>
          <xdr:spPr>
            <a:xfrm>
              <a:off x="738187" y="65698687"/>
              <a:ext cx="1518493"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𝐴</a:t>
              </a:r>
              <a:r>
                <a:rPr lang="fr-CA" sz="1100" b="0" i="0">
                  <a:latin typeface="Cambria Math" panose="02040503050406030204" pitchFamily="18" charset="0"/>
                </a:rPr>
                <a:t>_</a:t>
              </a:r>
              <a:r>
                <a:rPr lang="en-CA" sz="1100" b="0" i="0">
                  <a:latin typeface="Cambria Math" panose="02040503050406030204" pitchFamily="18" charset="0"/>
                </a:rPr>
                <a:t>𝑝𝑜𝑚𝑝𝑒=2</a:t>
              </a:r>
              <a:r>
                <a:rPr lang="en-CA" sz="1100" b="0" i="0">
                  <a:latin typeface="Cambria Math" panose="02040503050406030204" pitchFamily="18" charset="0"/>
                  <a:ea typeface="Cambria Math" panose="02040503050406030204" pitchFamily="18" charset="0"/>
                </a:rPr>
                <a:t>𝜋</a:t>
              </a:r>
              <a:r>
                <a:rPr lang="en-CA" sz="1100" b="0" i="0">
                  <a:solidFill>
                    <a:schemeClr val="tx1"/>
                  </a:solidFill>
                  <a:effectLst/>
                  <a:latin typeface="+mn-lt"/>
                  <a:ea typeface="+mn-ea"/>
                  <a:cs typeface="+mn-cs"/>
                </a:rPr>
                <a:t> 𝐷_2</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2 𝐿=𝜋</a:t>
              </a:r>
              <a:r>
                <a:rPr lang="en-CA" sz="1100" b="0" i="0">
                  <a:solidFill>
                    <a:schemeClr val="tx1"/>
                  </a:solidFill>
                  <a:effectLst/>
                  <a:latin typeface="+mn-lt"/>
                  <a:ea typeface="+mn-ea"/>
                  <a:cs typeface="+mn-cs"/>
                </a:rPr>
                <a:t>𝐷_2</a:t>
              </a:r>
              <a:r>
                <a:rPr lang="fr-CA" sz="1100"/>
                <a:t>L</a:t>
              </a:r>
            </a:p>
          </xdr:txBody>
        </xdr:sp>
      </mc:Fallback>
    </mc:AlternateContent>
    <xdr:clientData/>
  </xdr:oneCellAnchor>
  <xdr:oneCellAnchor>
    <xdr:from>
      <xdr:col>2</xdr:col>
      <xdr:colOff>138112</xdr:colOff>
      <xdr:row>269</xdr:row>
      <xdr:rowOff>204787</xdr:rowOff>
    </xdr:from>
    <xdr:ext cx="1352678" cy="242823"/>
    <mc:AlternateContent xmlns:mc="http://schemas.openxmlformats.org/markup-compatibility/2006" xmlns:a14="http://schemas.microsoft.com/office/drawing/2010/main">
      <mc:Choice Requires="a14">
        <xdr:sp macro="" textlink="">
          <xdr:nvSpPr>
            <xdr:cNvPr id="27" name="ZoneTexte 26">
              <a:extLst>
                <a:ext uri="{FF2B5EF4-FFF2-40B4-BE49-F238E27FC236}">
                  <a16:creationId xmlns:a16="http://schemas.microsoft.com/office/drawing/2014/main" id="{00000000-0008-0000-0A00-00001B000000}"/>
                </a:ext>
              </a:extLst>
            </xdr:cNvPr>
            <xdr:cNvSpPr txBox="1"/>
          </xdr:nvSpPr>
          <xdr:spPr>
            <a:xfrm>
              <a:off x="728662" y="66136837"/>
              <a:ext cx="1352678"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𝜋</m:t>
                  </m:r>
                  <m:f>
                    <m:fPr>
                      <m:ctrlPr>
                        <a:rPr lang="en-CA" sz="1100" b="0" i="1">
                          <a:latin typeface="Cambria Math" panose="02040503050406030204" pitchFamily="18" charset="0"/>
                          <a:ea typeface="Cambria Math" panose="02040503050406030204" pitchFamily="18" charset="0"/>
                        </a:rPr>
                      </m:ctrlPr>
                    </m:fPr>
                    <m:num>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3</m:t>
                          </m:r>
                        </m:sub>
                      </m:sSub>
                    </m:num>
                    <m:den>
                      <m:r>
                        <a:rPr lang="en-CA" sz="1100" b="0" i="1">
                          <a:latin typeface="Cambria Math" panose="02040503050406030204" pitchFamily="18" charset="0"/>
                          <a:ea typeface="Cambria Math" panose="02040503050406030204" pitchFamily="18" charset="0"/>
                        </a:rPr>
                        <m:t>2</m:t>
                      </m:r>
                    </m:den>
                  </m:f>
                  <m:r>
                    <a:rPr lang="en-CA" sz="1100" b="0" i="1">
                      <a:latin typeface="Cambria Math" panose="02040503050406030204" pitchFamily="18" charset="0"/>
                      <a:ea typeface="Cambria Math" panose="02040503050406030204" pitchFamily="18" charset="0"/>
                    </a:rPr>
                    <m:t>𝐿</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3</m:t>
                      </m:r>
                    </m:sub>
                  </m:sSub>
                </m:oMath>
              </a14:m>
              <a:r>
                <a:rPr lang="fr-CA" sz="1100"/>
                <a:t>L</a:t>
              </a:r>
            </a:p>
          </xdr:txBody>
        </xdr:sp>
      </mc:Choice>
      <mc:Fallback xmlns="">
        <xdr:sp macro="" textlink="">
          <xdr:nvSpPr>
            <xdr:cNvPr id="27" name="ZoneTexte 26">
              <a:extLst>
                <a:ext uri="{FF2B5EF4-FFF2-40B4-BE49-F238E27FC236}">
                  <a16:creationId xmlns:a16="http://schemas.microsoft.com/office/drawing/2014/main" id="{C81D5B7D-D5A9-4C29-822C-386F6C0F3329}"/>
                </a:ext>
              </a:extLst>
            </xdr:cNvPr>
            <xdr:cNvSpPr txBox="1"/>
          </xdr:nvSpPr>
          <xdr:spPr>
            <a:xfrm>
              <a:off x="728662" y="66136837"/>
              <a:ext cx="1352678"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𝐴</a:t>
              </a:r>
              <a:r>
                <a:rPr lang="fr-CA" sz="1100" b="0" i="0">
                  <a:latin typeface="Cambria Math" panose="02040503050406030204" pitchFamily="18" charset="0"/>
                </a:rPr>
                <a:t>_</a:t>
              </a:r>
              <a:r>
                <a:rPr lang="en-CA" sz="1100" b="0" i="0">
                  <a:latin typeface="Cambria Math" panose="02040503050406030204" pitchFamily="18" charset="0"/>
                </a:rPr>
                <a:t>𝑖𝑠𝑜=2</a:t>
              </a:r>
              <a:r>
                <a:rPr lang="en-CA" sz="1100" b="0" i="0">
                  <a:latin typeface="Cambria Math" panose="02040503050406030204" pitchFamily="18" charset="0"/>
                  <a:ea typeface="Cambria Math" panose="02040503050406030204" pitchFamily="18" charset="0"/>
                </a:rPr>
                <a:t>𝜋</a:t>
              </a:r>
              <a:r>
                <a:rPr lang="en-CA" sz="1100" b="0" i="0">
                  <a:solidFill>
                    <a:schemeClr val="tx1"/>
                  </a:solidFill>
                  <a:effectLst/>
                  <a:latin typeface="+mn-lt"/>
                  <a:ea typeface="+mn-ea"/>
                  <a:cs typeface="+mn-cs"/>
                </a:rPr>
                <a:t> 𝐷_</a:t>
              </a:r>
              <a:r>
                <a:rPr lang="en-CA" sz="1100" b="0" i="0">
                  <a:solidFill>
                    <a:schemeClr val="tx1"/>
                  </a:solidFill>
                  <a:effectLst/>
                  <a:latin typeface="Cambria Math" panose="02040503050406030204" pitchFamily="18" charset="0"/>
                  <a:ea typeface="+mn-ea"/>
                  <a:cs typeface="+mn-cs"/>
                </a:rPr>
                <a:t>3</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2 𝐿=𝜋</a:t>
              </a:r>
              <a:r>
                <a:rPr lang="en-CA" sz="1100" b="0" i="0">
                  <a:solidFill>
                    <a:schemeClr val="tx1"/>
                  </a:solidFill>
                  <a:effectLst/>
                  <a:latin typeface="+mn-lt"/>
                  <a:ea typeface="+mn-ea"/>
                  <a:cs typeface="+mn-cs"/>
                </a:rPr>
                <a:t>𝐷_</a:t>
              </a:r>
              <a:r>
                <a:rPr lang="en-CA" sz="1100" b="0" i="0">
                  <a:solidFill>
                    <a:schemeClr val="tx1"/>
                  </a:solidFill>
                  <a:effectLst/>
                  <a:latin typeface="Cambria Math" panose="02040503050406030204" pitchFamily="18" charset="0"/>
                  <a:ea typeface="+mn-ea"/>
                  <a:cs typeface="+mn-cs"/>
                </a:rPr>
                <a:t>3</a:t>
              </a:r>
              <a:r>
                <a:rPr lang="fr-CA" sz="1100"/>
                <a:t>L</a:t>
              </a:r>
            </a:p>
          </xdr:txBody>
        </xdr:sp>
      </mc:Fallback>
    </mc:AlternateContent>
    <xdr:clientData/>
  </xdr:oneCellAnchor>
  <xdr:oneCellAnchor>
    <xdr:from>
      <xdr:col>2</xdr:col>
      <xdr:colOff>147637</xdr:colOff>
      <xdr:row>271</xdr:row>
      <xdr:rowOff>195262</xdr:rowOff>
    </xdr:from>
    <xdr:ext cx="841577" cy="172227"/>
    <mc:AlternateContent xmlns:mc="http://schemas.openxmlformats.org/markup-compatibility/2006" xmlns:a14="http://schemas.microsoft.com/office/drawing/2010/main">
      <mc:Choice Requires="a14">
        <xdr:sp macro="" textlink="">
          <xdr:nvSpPr>
            <xdr:cNvPr id="28" name="ZoneTexte 27">
              <a:extLst>
                <a:ext uri="{FF2B5EF4-FFF2-40B4-BE49-F238E27FC236}">
                  <a16:creationId xmlns:a16="http://schemas.microsoft.com/office/drawing/2014/main" id="{00000000-0008-0000-0A00-00001C000000}"/>
                </a:ext>
              </a:extLst>
            </xdr:cNvPr>
            <xdr:cNvSpPr txBox="1"/>
          </xdr:nvSpPr>
          <xdr:spPr>
            <a:xfrm>
              <a:off x="738187" y="66603562"/>
              <a:ext cx="84157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𝐷</m:t>
                        </m:r>
                      </m:e>
                      <m:sub>
                        <m:r>
                          <a:rPr lang="en-CA" sz="1100" b="0" i="1">
                            <a:latin typeface="Cambria Math" panose="02040503050406030204" pitchFamily="18" charset="0"/>
                          </a:rPr>
                          <m:t>3</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𝐷</m:t>
                        </m:r>
                      </m:e>
                      <m:sub>
                        <m:r>
                          <a:rPr lang="en-CA" sz="1100" b="0" i="1">
                            <a:latin typeface="Cambria Math" panose="02040503050406030204" pitchFamily="18" charset="0"/>
                          </a:rPr>
                          <m:t>2</m:t>
                        </m:r>
                      </m:sub>
                    </m:sSub>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𝜀</m:t>
                    </m:r>
                  </m:oMath>
                </m:oMathPara>
              </a14:m>
              <a:endParaRPr lang="fr-CA" sz="1100"/>
            </a:p>
          </xdr:txBody>
        </xdr:sp>
      </mc:Choice>
      <mc:Fallback xmlns="">
        <xdr:sp macro="" textlink="">
          <xdr:nvSpPr>
            <xdr:cNvPr id="28" name="ZoneTexte 27">
              <a:extLst>
                <a:ext uri="{FF2B5EF4-FFF2-40B4-BE49-F238E27FC236}">
                  <a16:creationId xmlns:a16="http://schemas.microsoft.com/office/drawing/2014/main" id="{3A463A67-6B29-8003-EA2A-236F5A220CDA}"/>
                </a:ext>
              </a:extLst>
            </xdr:cNvPr>
            <xdr:cNvSpPr txBox="1"/>
          </xdr:nvSpPr>
          <xdr:spPr>
            <a:xfrm>
              <a:off x="738187" y="66603562"/>
              <a:ext cx="84157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𝐷</a:t>
              </a:r>
              <a:r>
                <a:rPr lang="fr-CA" sz="1100" b="0" i="0">
                  <a:latin typeface="Cambria Math" panose="02040503050406030204" pitchFamily="18" charset="0"/>
                </a:rPr>
                <a:t>_</a:t>
              </a:r>
              <a:r>
                <a:rPr lang="en-CA" sz="1100" b="0" i="0">
                  <a:latin typeface="Cambria Math" panose="02040503050406030204" pitchFamily="18" charset="0"/>
                </a:rPr>
                <a:t>3=𝐷_2+2</a:t>
              </a:r>
              <a:r>
                <a:rPr lang="en-CA" sz="1100" b="0" i="0">
                  <a:latin typeface="Cambria Math" panose="02040503050406030204" pitchFamily="18" charset="0"/>
                  <a:ea typeface="Cambria Math" panose="02040503050406030204" pitchFamily="18" charset="0"/>
                </a:rPr>
                <a:t>𝜀</a:t>
              </a:r>
              <a:endParaRPr lang="fr-CA" sz="1100"/>
            </a:p>
          </xdr:txBody>
        </xdr:sp>
      </mc:Fallback>
    </mc:AlternateContent>
    <xdr:clientData/>
  </xdr:oneCellAnchor>
  <xdr:twoCellAnchor>
    <xdr:from>
      <xdr:col>4</xdr:col>
      <xdr:colOff>142875</xdr:colOff>
      <xdr:row>266</xdr:row>
      <xdr:rowOff>38100</xdr:rowOff>
    </xdr:from>
    <xdr:to>
      <xdr:col>4</xdr:col>
      <xdr:colOff>504825</xdr:colOff>
      <xdr:row>273</xdr:row>
      <xdr:rowOff>95250</xdr:rowOff>
    </xdr:to>
    <xdr:sp macro="" textlink="">
      <xdr:nvSpPr>
        <xdr:cNvPr id="29" name="Accolade fermante 28">
          <a:extLst>
            <a:ext uri="{FF2B5EF4-FFF2-40B4-BE49-F238E27FC236}">
              <a16:creationId xmlns:a16="http://schemas.microsoft.com/office/drawing/2014/main" id="{00000000-0008-0000-0A00-00001D000000}"/>
            </a:ext>
          </a:extLst>
        </xdr:cNvPr>
        <xdr:cNvSpPr/>
      </xdr:nvSpPr>
      <xdr:spPr>
        <a:xfrm>
          <a:off x="5534025" y="65255775"/>
          <a:ext cx="361950" cy="17240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A" sz="1100"/>
        </a:p>
      </xdr:txBody>
    </xdr:sp>
    <xdr:clientData/>
  </xdr:twoCellAnchor>
  <xdr:oneCellAnchor>
    <xdr:from>
      <xdr:col>4</xdr:col>
      <xdr:colOff>1023937</xdr:colOff>
      <xdr:row>268</xdr:row>
      <xdr:rowOff>233362</xdr:rowOff>
    </xdr:from>
    <xdr:ext cx="1348767" cy="340350"/>
    <mc:AlternateContent xmlns:mc="http://schemas.openxmlformats.org/markup-compatibility/2006" xmlns:a14="http://schemas.microsoft.com/office/drawing/2010/main">
      <mc:Choice Requires="a14">
        <xdr:sp macro="" textlink="">
          <xdr:nvSpPr>
            <xdr:cNvPr id="30" name="ZoneTexte 29">
              <a:extLst>
                <a:ext uri="{FF2B5EF4-FFF2-40B4-BE49-F238E27FC236}">
                  <a16:creationId xmlns:a16="http://schemas.microsoft.com/office/drawing/2014/main" id="{00000000-0008-0000-0A00-00001E000000}"/>
                </a:ext>
              </a:extLst>
            </xdr:cNvPr>
            <xdr:cNvSpPr txBox="1"/>
          </xdr:nvSpPr>
          <xdr:spPr>
            <a:xfrm>
              <a:off x="6415087" y="66165412"/>
              <a:ext cx="1348767" cy="34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𝐷</m:t>
                        </m:r>
                      </m:e>
                      <m:sub>
                        <m:r>
                          <a:rPr lang="en-CA" sz="1100" b="0" i="1">
                            <a:latin typeface="Cambria Math" panose="02040503050406030204" pitchFamily="18" charset="0"/>
                          </a:rPr>
                          <m:t>2</m:t>
                        </m:r>
                      </m:sub>
                    </m:sSub>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m:t>
                        </m:r>
                        <m:r>
                          <a:rPr lang="en-CA" sz="1100" b="0" i="1">
                            <a:solidFill>
                              <a:schemeClr val="tx1"/>
                            </a:solidFill>
                            <a:effectLst/>
                            <a:latin typeface="Cambria Math" panose="02040503050406030204" pitchFamily="18" charset="0"/>
                            <a:ea typeface="+mn-ea"/>
                            <a:cs typeface="+mn-cs"/>
                          </a:rPr>
                          <m:t>(1−</m:t>
                        </m:r>
                        <m:r>
                          <a:rPr lang="en-CA" sz="1100" b="0" i="1">
                            <a:solidFill>
                              <a:srgbClr val="FF0000"/>
                            </a:solidFill>
                            <a:effectLst/>
                            <a:latin typeface="Cambria Math" panose="02040503050406030204" pitchFamily="18" charset="0"/>
                            <a:ea typeface="+mn-ea"/>
                            <a:cs typeface="+mn-cs"/>
                          </a:rPr>
                          <m:t>0,35</m:t>
                        </m:r>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Cambria Math" panose="02040503050406030204" pitchFamily="18" charset="0"/>
                            <a:cs typeface="+mn-cs"/>
                          </a:rPr>
                          <m:t>∙</m:t>
                        </m:r>
                        <m:r>
                          <a:rPr lang="en-CA" sz="1100" b="0" i="1">
                            <a:solidFill>
                              <a:schemeClr val="tx1"/>
                            </a:solidFill>
                            <a:effectLst/>
                            <a:latin typeface="Cambria Math" panose="02040503050406030204" pitchFamily="18" charset="0"/>
                            <a:ea typeface="+mn-ea"/>
                            <a:cs typeface="+mn-cs"/>
                          </a:rPr>
                          <m:t>𝜀</m:t>
                        </m:r>
                      </m:num>
                      <m:den>
                        <m:r>
                          <a:rPr lang="en-CA" sz="1100" b="0" i="1">
                            <a:solidFill>
                              <a:srgbClr val="FF0000"/>
                            </a:solidFill>
                            <a:latin typeface="Cambria Math" panose="02040503050406030204" pitchFamily="18" charset="0"/>
                          </a:rPr>
                          <m:t>0,35</m:t>
                        </m:r>
                      </m:den>
                    </m:f>
                  </m:oMath>
                </m:oMathPara>
              </a14:m>
              <a:endParaRPr lang="fr-CA" sz="1100"/>
            </a:p>
          </xdr:txBody>
        </xdr:sp>
      </mc:Choice>
      <mc:Fallback xmlns="">
        <xdr:sp macro="" textlink="">
          <xdr:nvSpPr>
            <xdr:cNvPr id="30" name="ZoneTexte 29">
              <a:extLst>
                <a:ext uri="{FF2B5EF4-FFF2-40B4-BE49-F238E27FC236}">
                  <a16:creationId xmlns:a16="http://schemas.microsoft.com/office/drawing/2014/main" id="{2854757B-1746-950E-9DEF-0D21260FC14F}"/>
                </a:ext>
              </a:extLst>
            </xdr:cNvPr>
            <xdr:cNvSpPr txBox="1"/>
          </xdr:nvSpPr>
          <xdr:spPr>
            <a:xfrm>
              <a:off x="6415087" y="66165412"/>
              <a:ext cx="1348767" cy="34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𝐷</a:t>
              </a:r>
              <a:r>
                <a:rPr lang="fr-CA" sz="1100" b="0" i="0">
                  <a:latin typeface="Cambria Math" panose="02040503050406030204" pitchFamily="18" charset="0"/>
                </a:rPr>
                <a:t>_</a:t>
              </a:r>
              <a:r>
                <a:rPr lang="en-CA" sz="1100" b="0" i="0">
                  <a:latin typeface="Cambria Math" panose="02040503050406030204" pitchFamily="18" charset="0"/>
                </a:rPr>
                <a:t>2=(2</a:t>
              </a:r>
              <a:r>
                <a:rPr lang="en-CA" sz="1100" b="0" i="0">
                  <a:latin typeface="Cambria Math" panose="02040503050406030204" pitchFamily="18" charset="0"/>
                  <a:ea typeface="Cambria Math" panose="02040503050406030204" pitchFamily="18" charset="0"/>
                </a:rPr>
                <a:t>∙</a:t>
              </a:r>
              <a:r>
                <a:rPr lang="en-CA" sz="1100" b="0" i="0">
                  <a:solidFill>
                    <a:schemeClr val="tx1"/>
                  </a:solidFill>
                  <a:effectLst/>
                  <a:latin typeface="Cambria Math" panose="02040503050406030204" pitchFamily="18" charset="0"/>
                  <a:ea typeface="+mn-ea"/>
                  <a:cs typeface="+mn-cs"/>
                </a:rPr>
                <a:t>(1−</a:t>
              </a:r>
              <a:r>
                <a:rPr lang="en-CA" sz="1100" b="0" i="0">
                  <a:solidFill>
                    <a:srgbClr val="FF0000"/>
                  </a:solidFill>
                  <a:effectLst/>
                  <a:latin typeface="Cambria Math" panose="02040503050406030204" pitchFamily="18" charset="0"/>
                  <a:ea typeface="+mn-ea"/>
                  <a:cs typeface="+mn-cs"/>
                </a:rPr>
                <a:t>0,35</a:t>
              </a:r>
              <a:r>
                <a:rPr lang="en-CA" sz="1100" b="0" i="0">
                  <a:solidFill>
                    <a:schemeClr val="tx1"/>
                  </a:solidFill>
                  <a:effectLst/>
                  <a:latin typeface="Cambria Math" panose="02040503050406030204" pitchFamily="18" charset="0"/>
                  <a:ea typeface="+mn-ea"/>
                  <a:cs typeface="+mn-cs"/>
                </a:rPr>
                <a:t>)</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solidFill>
                    <a:schemeClr val="tx1"/>
                  </a:solidFill>
                  <a:effectLst/>
                  <a:latin typeface="+mn-lt"/>
                  <a:ea typeface="+mn-ea"/>
                  <a:cs typeface="+mn-cs"/>
                </a:rPr>
                <a:t>𝜀</a:t>
              </a:r>
              <a:r>
                <a:rPr lang="en-CA" sz="1100" b="0" i="0">
                  <a:solidFill>
                    <a:schemeClr val="tx1"/>
                  </a:solidFill>
                  <a:effectLst/>
                  <a:latin typeface="Cambria Math" panose="02040503050406030204" pitchFamily="18" charset="0"/>
                  <a:ea typeface="+mn-ea"/>
                  <a:cs typeface="+mn-cs"/>
                </a:rPr>
                <a:t>)/</a:t>
              </a:r>
              <a:r>
                <a:rPr lang="en-CA" sz="1100" b="0" i="0">
                  <a:solidFill>
                    <a:srgbClr val="FF0000"/>
                  </a:solidFill>
                  <a:latin typeface="Cambria Math" panose="02040503050406030204" pitchFamily="18" charset="0"/>
                </a:rPr>
                <a:t>0,35</a:t>
              </a:r>
              <a:endParaRPr lang="fr-CA" sz="1100"/>
            </a:p>
          </xdr:txBody>
        </xdr:sp>
      </mc:Fallback>
    </mc:AlternateContent>
    <xdr:clientData/>
  </xdr:oneCellAnchor>
  <xdr:twoCellAnchor>
    <xdr:from>
      <xdr:col>3</xdr:col>
      <xdr:colOff>523875</xdr:colOff>
      <xdr:row>22</xdr:row>
      <xdr:rowOff>152400</xdr:rowOff>
    </xdr:from>
    <xdr:to>
      <xdr:col>3</xdr:col>
      <xdr:colOff>523875</xdr:colOff>
      <xdr:row>23</xdr:row>
      <xdr:rowOff>38100</xdr:rowOff>
    </xdr:to>
    <xdr:cxnSp macro="">
      <xdr:nvCxnSpPr>
        <xdr:cNvPr id="9" name="Connecteur droit avec flèche 8">
          <a:extLst>
            <a:ext uri="{FF2B5EF4-FFF2-40B4-BE49-F238E27FC236}">
              <a16:creationId xmlns:a16="http://schemas.microsoft.com/office/drawing/2014/main" id="{00000000-0008-0000-0A00-000009000000}"/>
            </a:ext>
          </a:extLst>
        </xdr:cNvPr>
        <xdr:cNvCxnSpPr/>
      </xdr:nvCxnSpPr>
      <xdr:spPr>
        <a:xfrm>
          <a:off x="4810125" y="46577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85725</xdr:colOff>
      <xdr:row>74</xdr:row>
      <xdr:rowOff>333375</xdr:rowOff>
    </xdr:from>
    <xdr:ext cx="1331647" cy="349904"/>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00000000-0008-0000-0B00-000002000000}"/>
                </a:ext>
              </a:extLst>
            </xdr:cNvPr>
            <xdr:cNvSpPr txBox="1"/>
          </xdr:nvSpPr>
          <xdr:spPr>
            <a:xfrm>
              <a:off x="15954375" y="16611600"/>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0,35=</m:t>
                    </m:r>
                    <m:f>
                      <m:fPr>
                        <m:ctrlPr>
                          <a:rPr lang="en-CA" sz="1100" b="0" i="1">
                            <a:latin typeface="Cambria Math" panose="02040503050406030204" pitchFamily="18" charset="0"/>
                          </a:rPr>
                        </m:ctrlPr>
                      </m:fPr>
                      <m:num>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𝑝𝑜𝑚𝑝𝑒</m:t>
                            </m:r>
                          </m:sub>
                        </m:sSub>
                      </m:num>
                      <m:den>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den>
                    </m:f>
                  </m:oMath>
                </m:oMathPara>
              </a14:m>
              <a:endParaRPr lang="fr-CA" sz="1100"/>
            </a:p>
          </xdr:txBody>
        </xdr:sp>
      </mc:Choice>
      <mc:Fallback xmlns="">
        <xdr:sp macro="" textlink="">
          <xdr:nvSpPr>
            <xdr:cNvPr id="2" name="ZoneTexte 1">
              <a:extLst>
                <a:ext uri="{FF2B5EF4-FFF2-40B4-BE49-F238E27FC236}">
                  <a16:creationId xmlns:a16="http://schemas.microsoft.com/office/drawing/2014/main" id="{4C94DE1B-3CDB-45B1-8D7E-F3F7687B9195}"/>
                </a:ext>
              </a:extLst>
            </xdr:cNvPr>
            <xdr:cNvSpPr txBox="1"/>
          </xdr:nvSpPr>
          <xdr:spPr>
            <a:xfrm>
              <a:off x="15954375" y="16611600"/>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0,35=(𝐴_𝑖𝑠𝑜−𝐴_𝑝𝑜𝑚𝑝𝑒)/𝐴_𝑖𝑠𝑜 </a:t>
              </a:r>
              <a:endParaRPr lang="fr-CA" sz="1100"/>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twoCellAnchor>
    <xdr:from>
      <xdr:col>5</xdr:col>
      <xdr:colOff>600075</xdr:colOff>
      <xdr:row>6</xdr:row>
      <xdr:rowOff>51289</xdr:rowOff>
    </xdr:from>
    <xdr:to>
      <xdr:col>11</xdr:col>
      <xdr:colOff>33701</xdr:colOff>
      <xdr:row>12</xdr:row>
      <xdr:rowOff>34437</xdr:rowOff>
    </xdr:to>
    <xdr:grpSp>
      <xdr:nvGrpSpPr>
        <xdr:cNvPr id="2" name="Group 38">
          <a:extLst>
            <a:ext uri="{FF2B5EF4-FFF2-40B4-BE49-F238E27FC236}">
              <a16:creationId xmlns:a16="http://schemas.microsoft.com/office/drawing/2014/main" id="{00000000-0008-0000-0C00-000002000000}"/>
            </a:ext>
          </a:extLst>
        </xdr:cNvPr>
        <xdr:cNvGrpSpPr/>
      </xdr:nvGrpSpPr>
      <xdr:grpSpPr>
        <a:xfrm>
          <a:off x="4120515" y="1567669"/>
          <a:ext cx="3228386" cy="1095668"/>
          <a:chOff x="3895725" y="841864"/>
          <a:chExt cx="3091226" cy="1126148"/>
        </a:xfrm>
      </xdr:grpSpPr>
      <xdr:cxnSp macro="">
        <xdr:nvCxnSpPr>
          <xdr:cNvPr id="3" name="Straight Connector 22">
            <a:extLst>
              <a:ext uri="{FF2B5EF4-FFF2-40B4-BE49-F238E27FC236}">
                <a16:creationId xmlns:a16="http://schemas.microsoft.com/office/drawing/2014/main" id="{00000000-0008-0000-0C00-000003000000}"/>
              </a:ext>
            </a:extLst>
          </xdr:cNvPr>
          <xdr:cNvCxnSpPr/>
        </xdr:nvCxnSpPr>
        <xdr:spPr>
          <a:xfrm flipH="1">
            <a:off x="5297370" y="1967278"/>
            <a:ext cx="14917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20">
            <a:extLst>
              <a:ext uri="{FF2B5EF4-FFF2-40B4-BE49-F238E27FC236}">
                <a16:creationId xmlns:a16="http://schemas.microsoft.com/office/drawing/2014/main" id="{00000000-0008-0000-0C00-000004000000}"/>
              </a:ext>
            </a:extLst>
          </xdr:cNvPr>
          <xdr:cNvCxnSpPr/>
        </xdr:nvCxnSpPr>
        <xdr:spPr>
          <a:xfrm flipH="1">
            <a:off x="5282716" y="992797"/>
            <a:ext cx="149029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5" name="Group 5">
            <a:extLst>
              <a:ext uri="{FF2B5EF4-FFF2-40B4-BE49-F238E27FC236}">
                <a16:creationId xmlns:a16="http://schemas.microsoft.com/office/drawing/2014/main" id="{00000000-0008-0000-0C00-000005000000}"/>
              </a:ext>
            </a:extLst>
          </xdr:cNvPr>
          <xdr:cNvGrpSpPr/>
        </xdr:nvGrpSpPr>
        <xdr:grpSpPr>
          <a:xfrm>
            <a:off x="4829174" y="990600"/>
            <a:ext cx="1000125" cy="971550"/>
            <a:chOff x="4829174" y="990600"/>
            <a:chExt cx="1000125" cy="971550"/>
          </a:xfrm>
        </xdr:grpSpPr>
        <xdr:sp macro="" textlink="">
          <xdr:nvSpPr>
            <xdr:cNvPr id="23" name="Oval 3">
              <a:extLst>
                <a:ext uri="{FF2B5EF4-FFF2-40B4-BE49-F238E27FC236}">
                  <a16:creationId xmlns:a16="http://schemas.microsoft.com/office/drawing/2014/main" id="{00000000-0008-0000-0C00-000017000000}"/>
                </a:ext>
              </a:extLst>
            </xdr:cNvPr>
            <xdr:cNvSpPr/>
          </xdr:nvSpPr>
          <xdr:spPr>
            <a:xfrm>
              <a:off x="4829174" y="990600"/>
              <a:ext cx="1000125" cy="9715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IN" sz="1100"/>
            </a:p>
          </xdr:txBody>
        </xdr:sp>
        <xdr:sp macro="" textlink="">
          <xdr:nvSpPr>
            <xdr:cNvPr id="24" name="Oval 2">
              <a:extLst>
                <a:ext uri="{FF2B5EF4-FFF2-40B4-BE49-F238E27FC236}">
                  <a16:creationId xmlns:a16="http://schemas.microsoft.com/office/drawing/2014/main" id="{00000000-0008-0000-0C00-000018000000}"/>
                </a:ext>
              </a:extLst>
            </xdr:cNvPr>
            <xdr:cNvSpPr/>
          </xdr:nvSpPr>
          <xdr:spPr>
            <a:xfrm>
              <a:off x="5038725" y="1209677"/>
              <a:ext cx="571500" cy="52387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IN" sz="1100"/>
            </a:p>
          </xdr:txBody>
        </xdr:sp>
        <xdr:sp macro="" textlink="">
          <xdr:nvSpPr>
            <xdr:cNvPr id="25" name="Oval 1">
              <a:extLst>
                <a:ext uri="{FF2B5EF4-FFF2-40B4-BE49-F238E27FC236}">
                  <a16:creationId xmlns:a16="http://schemas.microsoft.com/office/drawing/2014/main" id="{00000000-0008-0000-0C00-000019000000}"/>
                </a:ext>
              </a:extLst>
            </xdr:cNvPr>
            <xdr:cNvSpPr/>
          </xdr:nvSpPr>
          <xdr:spPr>
            <a:xfrm>
              <a:off x="5085626" y="1255899"/>
              <a:ext cx="487456" cy="440719"/>
            </a:xfrm>
            <a:prstGeom prst="ellipse">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grpSp>
      <xdr:cxnSp macro="">
        <xdr:nvCxnSpPr>
          <xdr:cNvPr id="6" name="Straight Connector 7">
            <a:extLst>
              <a:ext uri="{FF2B5EF4-FFF2-40B4-BE49-F238E27FC236}">
                <a16:creationId xmlns:a16="http://schemas.microsoft.com/office/drawing/2014/main" id="{00000000-0008-0000-0C00-000006000000}"/>
              </a:ext>
            </a:extLst>
          </xdr:cNvPr>
          <xdr:cNvCxnSpPr/>
        </xdr:nvCxnSpPr>
        <xdr:spPr>
          <a:xfrm flipH="1">
            <a:off x="5334002" y="1249241"/>
            <a:ext cx="7341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9">
            <a:extLst>
              <a:ext uri="{FF2B5EF4-FFF2-40B4-BE49-F238E27FC236}">
                <a16:creationId xmlns:a16="http://schemas.microsoft.com/office/drawing/2014/main" id="{00000000-0008-0000-0C00-000007000000}"/>
              </a:ext>
            </a:extLst>
          </xdr:cNvPr>
          <xdr:cNvCxnSpPr/>
        </xdr:nvCxnSpPr>
        <xdr:spPr>
          <a:xfrm flipH="1">
            <a:off x="5326676" y="1696183"/>
            <a:ext cx="778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14">
            <a:extLst>
              <a:ext uri="{FF2B5EF4-FFF2-40B4-BE49-F238E27FC236}">
                <a16:creationId xmlns:a16="http://schemas.microsoft.com/office/drawing/2014/main" id="{00000000-0008-0000-0C00-000008000000}"/>
              </a:ext>
            </a:extLst>
          </xdr:cNvPr>
          <xdr:cNvCxnSpPr/>
        </xdr:nvCxnSpPr>
        <xdr:spPr>
          <a:xfrm>
            <a:off x="5921619" y="1249241"/>
            <a:ext cx="0" cy="446942"/>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00000000-0008-0000-0C00-000009000000}"/>
              </a:ext>
            </a:extLst>
          </xdr:cNvPr>
          <xdr:cNvCxnSpPr/>
        </xdr:nvCxnSpPr>
        <xdr:spPr>
          <a:xfrm flipH="1">
            <a:off x="5326677" y="1732817"/>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17">
            <a:extLst>
              <a:ext uri="{FF2B5EF4-FFF2-40B4-BE49-F238E27FC236}">
                <a16:creationId xmlns:a16="http://schemas.microsoft.com/office/drawing/2014/main" id="{00000000-0008-0000-0C00-00000A000000}"/>
              </a:ext>
            </a:extLst>
          </xdr:cNvPr>
          <xdr:cNvCxnSpPr/>
        </xdr:nvCxnSpPr>
        <xdr:spPr>
          <a:xfrm flipH="1">
            <a:off x="5319350" y="1212605"/>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8">
            <a:extLst>
              <a:ext uri="{FF2B5EF4-FFF2-40B4-BE49-F238E27FC236}">
                <a16:creationId xmlns:a16="http://schemas.microsoft.com/office/drawing/2014/main" id="{00000000-0008-0000-0C00-00000B000000}"/>
              </a:ext>
            </a:extLst>
          </xdr:cNvPr>
          <xdr:cNvCxnSpPr/>
        </xdr:nvCxnSpPr>
        <xdr:spPr>
          <a:xfrm>
            <a:off x="6245469" y="1205280"/>
            <a:ext cx="0" cy="53486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23">
            <a:extLst>
              <a:ext uri="{FF2B5EF4-FFF2-40B4-BE49-F238E27FC236}">
                <a16:creationId xmlns:a16="http://schemas.microsoft.com/office/drawing/2014/main" id="{00000000-0008-0000-0C00-00000C000000}"/>
              </a:ext>
            </a:extLst>
          </xdr:cNvPr>
          <xdr:cNvCxnSpPr/>
        </xdr:nvCxnSpPr>
        <xdr:spPr>
          <a:xfrm>
            <a:off x="6582508" y="992800"/>
            <a:ext cx="0" cy="974479"/>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TextBox 25">
            <a:extLst>
              <a:ext uri="{FF2B5EF4-FFF2-40B4-BE49-F238E27FC236}">
                <a16:creationId xmlns:a16="http://schemas.microsoft.com/office/drawing/2014/main" id="{00000000-0008-0000-0C00-00000D000000}"/>
              </a:ext>
            </a:extLst>
          </xdr:cNvPr>
          <xdr:cNvSpPr txBox="1"/>
        </xdr:nvSpPr>
        <xdr:spPr>
          <a:xfrm>
            <a:off x="5863003" y="1337164"/>
            <a:ext cx="40444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D1</a:t>
            </a:r>
          </a:p>
        </xdr:txBody>
      </xdr:sp>
      <xdr:sp macro="" textlink="">
        <xdr:nvSpPr>
          <xdr:cNvPr id="14" name="TextBox 26">
            <a:extLst>
              <a:ext uri="{FF2B5EF4-FFF2-40B4-BE49-F238E27FC236}">
                <a16:creationId xmlns:a16="http://schemas.microsoft.com/office/drawing/2014/main" id="{00000000-0008-0000-0C00-00000E000000}"/>
              </a:ext>
            </a:extLst>
          </xdr:cNvPr>
          <xdr:cNvSpPr txBox="1"/>
        </xdr:nvSpPr>
        <xdr:spPr>
          <a:xfrm>
            <a:off x="6194179" y="1337164"/>
            <a:ext cx="40298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D2</a:t>
            </a:r>
          </a:p>
        </xdr:txBody>
      </xdr:sp>
      <xdr:sp macro="" textlink="">
        <xdr:nvSpPr>
          <xdr:cNvPr id="15" name="TextBox 27">
            <a:extLst>
              <a:ext uri="{FF2B5EF4-FFF2-40B4-BE49-F238E27FC236}">
                <a16:creationId xmlns:a16="http://schemas.microsoft.com/office/drawing/2014/main" id="{00000000-0008-0000-0C00-00000F000000}"/>
              </a:ext>
            </a:extLst>
          </xdr:cNvPr>
          <xdr:cNvSpPr txBox="1"/>
        </xdr:nvSpPr>
        <xdr:spPr>
          <a:xfrm>
            <a:off x="6582506" y="1337164"/>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D3</a:t>
            </a:r>
          </a:p>
        </xdr:txBody>
      </xdr:sp>
      <xdr:sp macro="" textlink="">
        <xdr:nvSpPr>
          <xdr:cNvPr id="16" name="TextBox 28">
            <a:extLst>
              <a:ext uri="{FF2B5EF4-FFF2-40B4-BE49-F238E27FC236}">
                <a16:creationId xmlns:a16="http://schemas.microsoft.com/office/drawing/2014/main" id="{00000000-0008-0000-0C00-000010000000}"/>
              </a:ext>
            </a:extLst>
          </xdr:cNvPr>
          <xdr:cNvSpPr txBox="1"/>
        </xdr:nvSpPr>
        <xdr:spPr>
          <a:xfrm>
            <a:off x="4201256" y="1060939"/>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Air</a:t>
            </a:r>
          </a:p>
        </xdr:txBody>
      </xdr:sp>
      <xdr:sp macro="" textlink="">
        <xdr:nvSpPr>
          <xdr:cNvPr id="17" name="TextBox 29">
            <a:extLst>
              <a:ext uri="{FF2B5EF4-FFF2-40B4-BE49-F238E27FC236}">
                <a16:creationId xmlns:a16="http://schemas.microsoft.com/office/drawing/2014/main" id="{00000000-0008-0000-0C00-000011000000}"/>
              </a:ext>
            </a:extLst>
          </xdr:cNvPr>
          <xdr:cNvSpPr txBox="1"/>
        </xdr:nvSpPr>
        <xdr:spPr>
          <a:xfrm>
            <a:off x="3971925" y="13752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Isolant</a:t>
            </a:r>
          </a:p>
        </xdr:txBody>
      </xdr:sp>
      <xdr:cxnSp macro="">
        <xdr:nvCxnSpPr>
          <xdr:cNvPr id="18" name="Straight Arrow Connector 31">
            <a:extLst>
              <a:ext uri="{FF2B5EF4-FFF2-40B4-BE49-F238E27FC236}">
                <a16:creationId xmlns:a16="http://schemas.microsoft.com/office/drawing/2014/main" id="{00000000-0008-0000-0C00-000012000000}"/>
              </a:ext>
            </a:extLst>
          </xdr:cNvPr>
          <xdr:cNvCxnSpPr/>
        </xdr:nvCxnSpPr>
        <xdr:spPr>
          <a:xfrm>
            <a:off x="4686300" y="1524000"/>
            <a:ext cx="2571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32">
            <a:extLst>
              <a:ext uri="{FF2B5EF4-FFF2-40B4-BE49-F238E27FC236}">
                <a16:creationId xmlns:a16="http://schemas.microsoft.com/office/drawing/2014/main" id="{00000000-0008-0000-0C00-000013000000}"/>
              </a:ext>
            </a:extLst>
          </xdr:cNvPr>
          <xdr:cNvCxnSpPr/>
        </xdr:nvCxnSpPr>
        <xdr:spPr>
          <a:xfrm flipV="1">
            <a:off x="4733925" y="1657350"/>
            <a:ext cx="428625" cy="15240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Box 34">
            <a:extLst>
              <a:ext uri="{FF2B5EF4-FFF2-40B4-BE49-F238E27FC236}">
                <a16:creationId xmlns:a16="http://schemas.microsoft.com/office/drawing/2014/main" id="{00000000-0008-0000-0C00-000014000000}"/>
              </a:ext>
            </a:extLst>
          </xdr:cNvPr>
          <xdr:cNvSpPr txBox="1"/>
        </xdr:nvSpPr>
        <xdr:spPr>
          <a:xfrm>
            <a:off x="3895725" y="1689589"/>
            <a:ext cx="10572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Composante</a:t>
            </a:r>
          </a:p>
        </xdr:txBody>
      </xdr:sp>
      <xdr:sp macro="" textlink="">
        <xdr:nvSpPr>
          <xdr:cNvPr id="21" name="TextBox 35">
            <a:extLst>
              <a:ext uri="{FF2B5EF4-FFF2-40B4-BE49-F238E27FC236}">
                <a16:creationId xmlns:a16="http://schemas.microsoft.com/office/drawing/2014/main" id="{00000000-0008-0000-0C00-000015000000}"/>
              </a:ext>
            </a:extLst>
          </xdr:cNvPr>
          <xdr:cNvSpPr txBox="1"/>
        </xdr:nvSpPr>
        <xdr:spPr>
          <a:xfrm>
            <a:off x="4429125" y="8418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Eau/vapeur</a:t>
            </a:r>
          </a:p>
        </xdr:txBody>
      </xdr:sp>
      <xdr:cxnSp macro="">
        <xdr:nvCxnSpPr>
          <xdr:cNvPr id="22" name="Straight Arrow Connector 36">
            <a:extLst>
              <a:ext uri="{FF2B5EF4-FFF2-40B4-BE49-F238E27FC236}">
                <a16:creationId xmlns:a16="http://schemas.microsoft.com/office/drawing/2014/main" id="{00000000-0008-0000-0C00-000016000000}"/>
              </a:ext>
            </a:extLst>
          </xdr:cNvPr>
          <xdr:cNvCxnSpPr/>
        </xdr:nvCxnSpPr>
        <xdr:spPr>
          <a:xfrm>
            <a:off x="4791075" y="1123950"/>
            <a:ext cx="552450" cy="381000"/>
          </a:xfrm>
          <a:prstGeom prst="straightConnector1">
            <a:avLst/>
          </a:pr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600075</xdr:colOff>
      <xdr:row>6</xdr:row>
      <xdr:rowOff>51289</xdr:rowOff>
    </xdr:from>
    <xdr:to>
      <xdr:col>11</xdr:col>
      <xdr:colOff>33701</xdr:colOff>
      <xdr:row>12</xdr:row>
      <xdr:rowOff>34437</xdr:rowOff>
    </xdr:to>
    <xdr:grpSp>
      <xdr:nvGrpSpPr>
        <xdr:cNvPr id="2" name="Group 38">
          <a:extLst>
            <a:ext uri="{FF2B5EF4-FFF2-40B4-BE49-F238E27FC236}">
              <a16:creationId xmlns:a16="http://schemas.microsoft.com/office/drawing/2014/main" id="{00000000-0008-0000-0D00-000002000000}"/>
            </a:ext>
          </a:extLst>
        </xdr:cNvPr>
        <xdr:cNvGrpSpPr/>
      </xdr:nvGrpSpPr>
      <xdr:grpSpPr>
        <a:xfrm>
          <a:off x="4135755" y="1529569"/>
          <a:ext cx="3228386" cy="1103288"/>
          <a:chOff x="3895725" y="841864"/>
          <a:chExt cx="3091226" cy="1126148"/>
        </a:xfrm>
      </xdr:grpSpPr>
      <xdr:cxnSp macro="">
        <xdr:nvCxnSpPr>
          <xdr:cNvPr id="3" name="Straight Connector 22">
            <a:extLst>
              <a:ext uri="{FF2B5EF4-FFF2-40B4-BE49-F238E27FC236}">
                <a16:creationId xmlns:a16="http://schemas.microsoft.com/office/drawing/2014/main" id="{00000000-0008-0000-0D00-000003000000}"/>
              </a:ext>
            </a:extLst>
          </xdr:cNvPr>
          <xdr:cNvCxnSpPr/>
        </xdr:nvCxnSpPr>
        <xdr:spPr>
          <a:xfrm flipH="1">
            <a:off x="5297370" y="1967278"/>
            <a:ext cx="14917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20">
            <a:extLst>
              <a:ext uri="{FF2B5EF4-FFF2-40B4-BE49-F238E27FC236}">
                <a16:creationId xmlns:a16="http://schemas.microsoft.com/office/drawing/2014/main" id="{00000000-0008-0000-0D00-000004000000}"/>
              </a:ext>
            </a:extLst>
          </xdr:cNvPr>
          <xdr:cNvCxnSpPr/>
        </xdr:nvCxnSpPr>
        <xdr:spPr>
          <a:xfrm flipH="1">
            <a:off x="5282716" y="992797"/>
            <a:ext cx="149029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5" name="Group 5">
            <a:extLst>
              <a:ext uri="{FF2B5EF4-FFF2-40B4-BE49-F238E27FC236}">
                <a16:creationId xmlns:a16="http://schemas.microsoft.com/office/drawing/2014/main" id="{00000000-0008-0000-0D00-000005000000}"/>
              </a:ext>
            </a:extLst>
          </xdr:cNvPr>
          <xdr:cNvGrpSpPr/>
        </xdr:nvGrpSpPr>
        <xdr:grpSpPr>
          <a:xfrm>
            <a:off x="4829174" y="990600"/>
            <a:ext cx="1000125" cy="971550"/>
            <a:chOff x="4829174" y="990600"/>
            <a:chExt cx="1000125" cy="971550"/>
          </a:xfrm>
        </xdr:grpSpPr>
        <xdr:sp macro="" textlink="">
          <xdr:nvSpPr>
            <xdr:cNvPr id="23" name="Oval 3">
              <a:extLst>
                <a:ext uri="{FF2B5EF4-FFF2-40B4-BE49-F238E27FC236}">
                  <a16:creationId xmlns:a16="http://schemas.microsoft.com/office/drawing/2014/main" id="{00000000-0008-0000-0D00-000017000000}"/>
                </a:ext>
              </a:extLst>
            </xdr:cNvPr>
            <xdr:cNvSpPr/>
          </xdr:nvSpPr>
          <xdr:spPr>
            <a:xfrm>
              <a:off x="4829174" y="990600"/>
              <a:ext cx="1000125" cy="9715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IN" sz="1100"/>
            </a:p>
          </xdr:txBody>
        </xdr:sp>
        <xdr:sp macro="" textlink="">
          <xdr:nvSpPr>
            <xdr:cNvPr id="24" name="Oval 2">
              <a:extLst>
                <a:ext uri="{FF2B5EF4-FFF2-40B4-BE49-F238E27FC236}">
                  <a16:creationId xmlns:a16="http://schemas.microsoft.com/office/drawing/2014/main" id="{00000000-0008-0000-0D00-000018000000}"/>
                </a:ext>
              </a:extLst>
            </xdr:cNvPr>
            <xdr:cNvSpPr/>
          </xdr:nvSpPr>
          <xdr:spPr>
            <a:xfrm>
              <a:off x="5038725" y="1209677"/>
              <a:ext cx="571500" cy="52387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IN" sz="1100"/>
            </a:p>
          </xdr:txBody>
        </xdr:sp>
        <xdr:sp macro="" textlink="">
          <xdr:nvSpPr>
            <xdr:cNvPr id="25" name="Oval 1">
              <a:extLst>
                <a:ext uri="{FF2B5EF4-FFF2-40B4-BE49-F238E27FC236}">
                  <a16:creationId xmlns:a16="http://schemas.microsoft.com/office/drawing/2014/main" id="{00000000-0008-0000-0D00-000019000000}"/>
                </a:ext>
              </a:extLst>
            </xdr:cNvPr>
            <xdr:cNvSpPr/>
          </xdr:nvSpPr>
          <xdr:spPr>
            <a:xfrm>
              <a:off x="5085626" y="1255899"/>
              <a:ext cx="487456" cy="440719"/>
            </a:xfrm>
            <a:prstGeom prst="ellipse">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grpSp>
      <xdr:cxnSp macro="">
        <xdr:nvCxnSpPr>
          <xdr:cNvPr id="6" name="Straight Connector 7">
            <a:extLst>
              <a:ext uri="{FF2B5EF4-FFF2-40B4-BE49-F238E27FC236}">
                <a16:creationId xmlns:a16="http://schemas.microsoft.com/office/drawing/2014/main" id="{00000000-0008-0000-0D00-000006000000}"/>
              </a:ext>
            </a:extLst>
          </xdr:cNvPr>
          <xdr:cNvCxnSpPr/>
        </xdr:nvCxnSpPr>
        <xdr:spPr>
          <a:xfrm flipH="1">
            <a:off x="5334002" y="1249241"/>
            <a:ext cx="7341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9">
            <a:extLst>
              <a:ext uri="{FF2B5EF4-FFF2-40B4-BE49-F238E27FC236}">
                <a16:creationId xmlns:a16="http://schemas.microsoft.com/office/drawing/2014/main" id="{00000000-0008-0000-0D00-000007000000}"/>
              </a:ext>
            </a:extLst>
          </xdr:cNvPr>
          <xdr:cNvCxnSpPr/>
        </xdr:nvCxnSpPr>
        <xdr:spPr>
          <a:xfrm flipH="1">
            <a:off x="5326676" y="1696183"/>
            <a:ext cx="778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14">
            <a:extLst>
              <a:ext uri="{FF2B5EF4-FFF2-40B4-BE49-F238E27FC236}">
                <a16:creationId xmlns:a16="http://schemas.microsoft.com/office/drawing/2014/main" id="{00000000-0008-0000-0D00-000008000000}"/>
              </a:ext>
            </a:extLst>
          </xdr:cNvPr>
          <xdr:cNvCxnSpPr/>
        </xdr:nvCxnSpPr>
        <xdr:spPr>
          <a:xfrm>
            <a:off x="5921619" y="1249241"/>
            <a:ext cx="0" cy="446942"/>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00000000-0008-0000-0D00-000009000000}"/>
              </a:ext>
            </a:extLst>
          </xdr:cNvPr>
          <xdr:cNvCxnSpPr/>
        </xdr:nvCxnSpPr>
        <xdr:spPr>
          <a:xfrm flipH="1">
            <a:off x="5326677" y="1732817"/>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17">
            <a:extLst>
              <a:ext uri="{FF2B5EF4-FFF2-40B4-BE49-F238E27FC236}">
                <a16:creationId xmlns:a16="http://schemas.microsoft.com/office/drawing/2014/main" id="{00000000-0008-0000-0D00-00000A000000}"/>
              </a:ext>
            </a:extLst>
          </xdr:cNvPr>
          <xdr:cNvCxnSpPr/>
        </xdr:nvCxnSpPr>
        <xdr:spPr>
          <a:xfrm flipH="1">
            <a:off x="5319350" y="1212605"/>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8">
            <a:extLst>
              <a:ext uri="{FF2B5EF4-FFF2-40B4-BE49-F238E27FC236}">
                <a16:creationId xmlns:a16="http://schemas.microsoft.com/office/drawing/2014/main" id="{00000000-0008-0000-0D00-00000B000000}"/>
              </a:ext>
            </a:extLst>
          </xdr:cNvPr>
          <xdr:cNvCxnSpPr/>
        </xdr:nvCxnSpPr>
        <xdr:spPr>
          <a:xfrm>
            <a:off x="6245469" y="1205280"/>
            <a:ext cx="0" cy="53486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23">
            <a:extLst>
              <a:ext uri="{FF2B5EF4-FFF2-40B4-BE49-F238E27FC236}">
                <a16:creationId xmlns:a16="http://schemas.microsoft.com/office/drawing/2014/main" id="{00000000-0008-0000-0D00-00000C000000}"/>
              </a:ext>
            </a:extLst>
          </xdr:cNvPr>
          <xdr:cNvCxnSpPr/>
        </xdr:nvCxnSpPr>
        <xdr:spPr>
          <a:xfrm>
            <a:off x="6582508" y="992800"/>
            <a:ext cx="0" cy="974479"/>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TextBox 25">
            <a:extLst>
              <a:ext uri="{FF2B5EF4-FFF2-40B4-BE49-F238E27FC236}">
                <a16:creationId xmlns:a16="http://schemas.microsoft.com/office/drawing/2014/main" id="{00000000-0008-0000-0D00-00000D000000}"/>
              </a:ext>
            </a:extLst>
          </xdr:cNvPr>
          <xdr:cNvSpPr txBox="1"/>
        </xdr:nvSpPr>
        <xdr:spPr>
          <a:xfrm>
            <a:off x="5863003" y="1337164"/>
            <a:ext cx="40444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D1</a:t>
            </a:r>
          </a:p>
        </xdr:txBody>
      </xdr:sp>
      <xdr:sp macro="" textlink="">
        <xdr:nvSpPr>
          <xdr:cNvPr id="14" name="TextBox 26">
            <a:extLst>
              <a:ext uri="{FF2B5EF4-FFF2-40B4-BE49-F238E27FC236}">
                <a16:creationId xmlns:a16="http://schemas.microsoft.com/office/drawing/2014/main" id="{00000000-0008-0000-0D00-00000E000000}"/>
              </a:ext>
            </a:extLst>
          </xdr:cNvPr>
          <xdr:cNvSpPr txBox="1"/>
        </xdr:nvSpPr>
        <xdr:spPr>
          <a:xfrm>
            <a:off x="6194179" y="1337164"/>
            <a:ext cx="40298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D2</a:t>
            </a:r>
          </a:p>
        </xdr:txBody>
      </xdr:sp>
      <xdr:sp macro="" textlink="">
        <xdr:nvSpPr>
          <xdr:cNvPr id="15" name="TextBox 27">
            <a:extLst>
              <a:ext uri="{FF2B5EF4-FFF2-40B4-BE49-F238E27FC236}">
                <a16:creationId xmlns:a16="http://schemas.microsoft.com/office/drawing/2014/main" id="{00000000-0008-0000-0D00-00000F000000}"/>
              </a:ext>
            </a:extLst>
          </xdr:cNvPr>
          <xdr:cNvSpPr txBox="1"/>
        </xdr:nvSpPr>
        <xdr:spPr>
          <a:xfrm>
            <a:off x="6582506" y="1337164"/>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D3</a:t>
            </a:r>
          </a:p>
        </xdr:txBody>
      </xdr:sp>
      <xdr:sp macro="" textlink="">
        <xdr:nvSpPr>
          <xdr:cNvPr id="16" name="TextBox 28">
            <a:extLst>
              <a:ext uri="{FF2B5EF4-FFF2-40B4-BE49-F238E27FC236}">
                <a16:creationId xmlns:a16="http://schemas.microsoft.com/office/drawing/2014/main" id="{00000000-0008-0000-0D00-000010000000}"/>
              </a:ext>
            </a:extLst>
          </xdr:cNvPr>
          <xdr:cNvSpPr txBox="1"/>
        </xdr:nvSpPr>
        <xdr:spPr>
          <a:xfrm>
            <a:off x="4201256" y="1060939"/>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Air</a:t>
            </a:r>
          </a:p>
        </xdr:txBody>
      </xdr:sp>
      <xdr:sp macro="" textlink="">
        <xdr:nvSpPr>
          <xdr:cNvPr id="17" name="TextBox 29">
            <a:extLst>
              <a:ext uri="{FF2B5EF4-FFF2-40B4-BE49-F238E27FC236}">
                <a16:creationId xmlns:a16="http://schemas.microsoft.com/office/drawing/2014/main" id="{00000000-0008-0000-0D00-000011000000}"/>
              </a:ext>
            </a:extLst>
          </xdr:cNvPr>
          <xdr:cNvSpPr txBox="1"/>
        </xdr:nvSpPr>
        <xdr:spPr>
          <a:xfrm>
            <a:off x="3971925" y="13752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Isolant</a:t>
            </a:r>
          </a:p>
        </xdr:txBody>
      </xdr:sp>
      <xdr:cxnSp macro="">
        <xdr:nvCxnSpPr>
          <xdr:cNvPr id="18" name="Straight Arrow Connector 31">
            <a:extLst>
              <a:ext uri="{FF2B5EF4-FFF2-40B4-BE49-F238E27FC236}">
                <a16:creationId xmlns:a16="http://schemas.microsoft.com/office/drawing/2014/main" id="{00000000-0008-0000-0D00-000012000000}"/>
              </a:ext>
            </a:extLst>
          </xdr:cNvPr>
          <xdr:cNvCxnSpPr/>
        </xdr:nvCxnSpPr>
        <xdr:spPr>
          <a:xfrm>
            <a:off x="4686300" y="1524000"/>
            <a:ext cx="2571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32">
            <a:extLst>
              <a:ext uri="{FF2B5EF4-FFF2-40B4-BE49-F238E27FC236}">
                <a16:creationId xmlns:a16="http://schemas.microsoft.com/office/drawing/2014/main" id="{00000000-0008-0000-0D00-000013000000}"/>
              </a:ext>
            </a:extLst>
          </xdr:cNvPr>
          <xdr:cNvCxnSpPr/>
        </xdr:nvCxnSpPr>
        <xdr:spPr>
          <a:xfrm flipV="1">
            <a:off x="4733925" y="1657350"/>
            <a:ext cx="428625" cy="15240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Box 34">
            <a:extLst>
              <a:ext uri="{FF2B5EF4-FFF2-40B4-BE49-F238E27FC236}">
                <a16:creationId xmlns:a16="http://schemas.microsoft.com/office/drawing/2014/main" id="{00000000-0008-0000-0D00-000014000000}"/>
              </a:ext>
            </a:extLst>
          </xdr:cNvPr>
          <xdr:cNvSpPr txBox="1"/>
        </xdr:nvSpPr>
        <xdr:spPr>
          <a:xfrm>
            <a:off x="3895725" y="1689589"/>
            <a:ext cx="10572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Composante</a:t>
            </a:r>
          </a:p>
        </xdr:txBody>
      </xdr:sp>
      <xdr:sp macro="" textlink="">
        <xdr:nvSpPr>
          <xdr:cNvPr id="21" name="TextBox 35">
            <a:extLst>
              <a:ext uri="{FF2B5EF4-FFF2-40B4-BE49-F238E27FC236}">
                <a16:creationId xmlns:a16="http://schemas.microsoft.com/office/drawing/2014/main" id="{00000000-0008-0000-0D00-000015000000}"/>
              </a:ext>
            </a:extLst>
          </xdr:cNvPr>
          <xdr:cNvSpPr txBox="1"/>
        </xdr:nvSpPr>
        <xdr:spPr>
          <a:xfrm>
            <a:off x="4429125" y="8418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Eau/vapeur</a:t>
            </a:r>
          </a:p>
        </xdr:txBody>
      </xdr:sp>
      <xdr:cxnSp macro="">
        <xdr:nvCxnSpPr>
          <xdr:cNvPr id="22" name="Straight Arrow Connector 36">
            <a:extLst>
              <a:ext uri="{FF2B5EF4-FFF2-40B4-BE49-F238E27FC236}">
                <a16:creationId xmlns:a16="http://schemas.microsoft.com/office/drawing/2014/main" id="{00000000-0008-0000-0D00-000016000000}"/>
              </a:ext>
            </a:extLst>
          </xdr:cNvPr>
          <xdr:cNvCxnSpPr/>
        </xdr:nvCxnSpPr>
        <xdr:spPr>
          <a:xfrm>
            <a:off x="4791075" y="1123950"/>
            <a:ext cx="552450" cy="381000"/>
          </a:xfrm>
          <a:prstGeom prst="straightConnector1">
            <a:avLst/>
          </a:pr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600075</xdr:colOff>
      <xdr:row>6</xdr:row>
      <xdr:rowOff>51289</xdr:rowOff>
    </xdr:from>
    <xdr:to>
      <xdr:col>11</xdr:col>
      <xdr:colOff>33701</xdr:colOff>
      <xdr:row>12</xdr:row>
      <xdr:rowOff>34437</xdr:rowOff>
    </xdr:to>
    <xdr:grpSp>
      <xdr:nvGrpSpPr>
        <xdr:cNvPr id="2" name="Group 38">
          <a:extLst>
            <a:ext uri="{FF2B5EF4-FFF2-40B4-BE49-F238E27FC236}">
              <a16:creationId xmlns:a16="http://schemas.microsoft.com/office/drawing/2014/main" id="{00000000-0008-0000-0E00-000002000000}"/>
            </a:ext>
          </a:extLst>
        </xdr:cNvPr>
        <xdr:cNvGrpSpPr/>
      </xdr:nvGrpSpPr>
      <xdr:grpSpPr>
        <a:xfrm>
          <a:off x="4029075" y="1529569"/>
          <a:ext cx="3228386" cy="1095668"/>
          <a:chOff x="3895725" y="841864"/>
          <a:chExt cx="3091226" cy="1126148"/>
        </a:xfrm>
      </xdr:grpSpPr>
      <xdr:cxnSp macro="">
        <xdr:nvCxnSpPr>
          <xdr:cNvPr id="3" name="Straight Connector 22">
            <a:extLst>
              <a:ext uri="{FF2B5EF4-FFF2-40B4-BE49-F238E27FC236}">
                <a16:creationId xmlns:a16="http://schemas.microsoft.com/office/drawing/2014/main" id="{00000000-0008-0000-0E00-000003000000}"/>
              </a:ext>
            </a:extLst>
          </xdr:cNvPr>
          <xdr:cNvCxnSpPr/>
        </xdr:nvCxnSpPr>
        <xdr:spPr>
          <a:xfrm flipH="1">
            <a:off x="5297370" y="1967278"/>
            <a:ext cx="14917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20">
            <a:extLst>
              <a:ext uri="{FF2B5EF4-FFF2-40B4-BE49-F238E27FC236}">
                <a16:creationId xmlns:a16="http://schemas.microsoft.com/office/drawing/2014/main" id="{00000000-0008-0000-0E00-000004000000}"/>
              </a:ext>
            </a:extLst>
          </xdr:cNvPr>
          <xdr:cNvCxnSpPr/>
        </xdr:nvCxnSpPr>
        <xdr:spPr>
          <a:xfrm flipH="1">
            <a:off x="5282716" y="992797"/>
            <a:ext cx="149029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5" name="Group 5">
            <a:extLst>
              <a:ext uri="{FF2B5EF4-FFF2-40B4-BE49-F238E27FC236}">
                <a16:creationId xmlns:a16="http://schemas.microsoft.com/office/drawing/2014/main" id="{00000000-0008-0000-0E00-000005000000}"/>
              </a:ext>
            </a:extLst>
          </xdr:cNvPr>
          <xdr:cNvGrpSpPr/>
        </xdr:nvGrpSpPr>
        <xdr:grpSpPr>
          <a:xfrm>
            <a:off x="4829174" y="990600"/>
            <a:ext cx="1000125" cy="971550"/>
            <a:chOff x="4829174" y="990600"/>
            <a:chExt cx="1000125" cy="971550"/>
          </a:xfrm>
        </xdr:grpSpPr>
        <xdr:sp macro="" textlink="">
          <xdr:nvSpPr>
            <xdr:cNvPr id="23" name="Oval 3">
              <a:extLst>
                <a:ext uri="{FF2B5EF4-FFF2-40B4-BE49-F238E27FC236}">
                  <a16:creationId xmlns:a16="http://schemas.microsoft.com/office/drawing/2014/main" id="{00000000-0008-0000-0E00-000017000000}"/>
                </a:ext>
              </a:extLst>
            </xdr:cNvPr>
            <xdr:cNvSpPr/>
          </xdr:nvSpPr>
          <xdr:spPr>
            <a:xfrm>
              <a:off x="4829174" y="990600"/>
              <a:ext cx="1000125" cy="9715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IN" sz="1100"/>
            </a:p>
          </xdr:txBody>
        </xdr:sp>
        <xdr:sp macro="" textlink="">
          <xdr:nvSpPr>
            <xdr:cNvPr id="24" name="Oval 2">
              <a:extLst>
                <a:ext uri="{FF2B5EF4-FFF2-40B4-BE49-F238E27FC236}">
                  <a16:creationId xmlns:a16="http://schemas.microsoft.com/office/drawing/2014/main" id="{00000000-0008-0000-0E00-000018000000}"/>
                </a:ext>
              </a:extLst>
            </xdr:cNvPr>
            <xdr:cNvSpPr/>
          </xdr:nvSpPr>
          <xdr:spPr>
            <a:xfrm>
              <a:off x="5038725" y="1209677"/>
              <a:ext cx="571500" cy="52387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IN" sz="1100"/>
            </a:p>
          </xdr:txBody>
        </xdr:sp>
        <xdr:sp macro="" textlink="">
          <xdr:nvSpPr>
            <xdr:cNvPr id="25" name="Oval 1">
              <a:extLst>
                <a:ext uri="{FF2B5EF4-FFF2-40B4-BE49-F238E27FC236}">
                  <a16:creationId xmlns:a16="http://schemas.microsoft.com/office/drawing/2014/main" id="{00000000-0008-0000-0E00-000019000000}"/>
                </a:ext>
              </a:extLst>
            </xdr:cNvPr>
            <xdr:cNvSpPr/>
          </xdr:nvSpPr>
          <xdr:spPr>
            <a:xfrm>
              <a:off x="5085626" y="1255899"/>
              <a:ext cx="487456" cy="440719"/>
            </a:xfrm>
            <a:prstGeom prst="ellipse">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grpSp>
      <xdr:cxnSp macro="">
        <xdr:nvCxnSpPr>
          <xdr:cNvPr id="6" name="Straight Connector 7">
            <a:extLst>
              <a:ext uri="{FF2B5EF4-FFF2-40B4-BE49-F238E27FC236}">
                <a16:creationId xmlns:a16="http://schemas.microsoft.com/office/drawing/2014/main" id="{00000000-0008-0000-0E00-000006000000}"/>
              </a:ext>
            </a:extLst>
          </xdr:cNvPr>
          <xdr:cNvCxnSpPr/>
        </xdr:nvCxnSpPr>
        <xdr:spPr>
          <a:xfrm flipH="1">
            <a:off x="5334002" y="1249241"/>
            <a:ext cx="7341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9">
            <a:extLst>
              <a:ext uri="{FF2B5EF4-FFF2-40B4-BE49-F238E27FC236}">
                <a16:creationId xmlns:a16="http://schemas.microsoft.com/office/drawing/2014/main" id="{00000000-0008-0000-0E00-000007000000}"/>
              </a:ext>
            </a:extLst>
          </xdr:cNvPr>
          <xdr:cNvCxnSpPr/>
        </xdr:nvCxnSpPr>
        <xdr:spPr>
          <a:xfrm flipH="1">
            <a:off x="5326676" y="1696183"/>
            <a:ext cx="778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14">
            <a:extLst>
              <a:ext uri="{FF2B5EF4-FFF2-40B4-BE49-F238E27FC236}">
                <a16:creationId xmlns:a16="http://schemas.microsoft.com/office/drawing/2014/main" id="{00000000-0008-0000-0E00-000008000000}"/>
              </a:ext>
            </a:extLst>
          </xdr:cNvPr>
          <xdr:cNvCxnSpPr/>
        </xdr:nvCxnSpPr>
        <xdr:spPr>
          <a:xfrm>
            <a:off x="5921619" y="1249241"/>
            <a:ext cx="0" cy="446942"/>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00000000-0008-0000-0E00-000009000000}"/>
              </a:ext>
            </a:extLst>
          </xdr:cNvPr>
          <xdr:cNvCxnSpPr/>
        </xdr:nvCxnSpPr>
        <xdr:spPr>
          <a:xfrm flipH="1">
            <a:off x="5326677" y="1732817"/>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17">
            <a:extLst>
              <a:ext uri="{FF2B5EF4-FFF2-40B4-BE49-F238E27FC236}">
                <a16:creationId xmlns:a16="http://schemas.microsoft.com/office/drawing/2014/main" id="{00000000-0008-0000-0E00-00000A000000}"/>
              </a:ext>
            </a:extLst>
          </xdr:cNvPr>
          <xdr:cNvCxnSpPr/>
        </xdr:nvCxnSpPr>
        <xdr:spPr>
          <a:xfrm flipH="1">
            <a:off x="5319350" y="1212605"/>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8">
            <a:extLst>
              <a:ext uri="{FF2B5EF4-FFF2-40B4-BE49-F238E27FC236}">
                <a16:creationId xmlns:a16="http://schemas.microsoft.com/office/drawing/2014/main" id="{00000000-0008-0000-0E00-00000B000000}"/>
              </a:ext>
            </a:extLst>
          </xdr:cNvPr>
          <xdr:cNvCxnSpPr/>
        </xdr:nvCxnSpPr>
        <xdr:spPr>
          <a:xfrm>
            <a:off x="6245469" y="1205280"/>
            <a:ext cx="0" cy="53486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23">
            <a:extLst>
              <a:ext uri="{FF2B5EF4-FFF2-40B4-BE49-F238E27FC236}">
                <a16:creationId xmlns:a16="http://schemas.microsoft.com/office/drawing/2014/main" id="{00000000-0008-0000-0E00-00000C000000}"/>
              </a:ext>
            </a:extLst>
          </xdr:cNvPr>
          <xdr:cNvCxnSpPr/>
        </xdr:nvCxnSpPr>
        <xdr:spPr>
          <a:xfrm>
            <a:off x="6582508" y="992800"/>
            <a:ext cx="0" cy="974479"/>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TextBox 25">
            <a:extLst>
              <a:ext uri="{FF2B5EF4-FFF2-40B4-BE49-F238E27FC236}">
                <a16:creationId xmlns:a16="http://schemas.microsoft.com/office/drawing/2014/main" id="{00000000-0008-0000-0E00-00000D000000}"/>
              </a:ext>
            </a:extLst>
          </xdr:cNvPr>
          <xdr:cNvSpPr txBox="1"/>
        </xdr:nvSpPr>
        <xdr:spPr>
          <a:xfrm>
            <a:off x="5863003" y="1337164"/>
            <a:ext cx="40444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D1</a:t>
            </a:r>
          </a:p>
        </xdr:txBody>
      </xdr:sp>
      <xdr:sp macro="" textlink="">
        <xdr:nvSpPr>
          <xdr:cNvPr id="14" name="TextBox 26">
            <a:extLst>
              <a:ext uri="{FF2B5EF4-FFF2-40B4-BE49-F238E27FC236}">
                <a16:creationId xmlns:a16="http://schemas.microsoft.com/office/drawing/2014/main" id="{00000000-0008-0000-0E00-00000E000000}"/>
              </a:ext>
            </a:extLst>
          </xdr:cNvPr>
          <xdr:cNvSpPr txBox="1"/>
        </xdr:nvSpPr>
        <xdr:spPr>
          <a:xfrm>
            <a:off x="6194179" y="1337164"/>
            <a:ext cx="40298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D2</a:t>
            </a:r>
          </a:p>
        </xdr:txBody>
      </xdr:sp>
      <xdr:sp macro="" textlink="">
        <xdr:nvSpPr>
          <xdr:cNvPr id="15" name="TextBox 27">
            <a:extLst>
              <a:ext uri="{FF2B5EF4-FFF2-40B4-BE49-F238E27FC236}">
                <a16:creationId xmlns:a16="http://schemas.microsoft.com/office/drawing/2014/main" id="{00000000-0008-0000-0E00-00000F000000}"/>
              </a:ext>
            </a:extLst>
          </xdr:cNvPr>
          <xdr:cNvSpPr txBox="1"/>
        </xdr:nvSpPr>
        <xdr:spPr>
          <a:xfrm>
            <a:off x="6582506" y="1337164"/>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D3</a:t>
            </a:r>
          </a:p>
        </xdr:txBody>
      </xdr:sp>
      <xdr:sp macro="" textlink="">
        <xdr:nvSpPr>
          <xdr:cNvPr id="16" name="TextBox 28">
            <a:extLst>
              <a:ext uri="{FF2B5EF4-FFF2-40B4-BE49-F238E27FC236}">
                <a16:creationId xmlns:a16="http://schemas.microsoft.com/office/drawing/2014/main" id="{00000000-0008-0000-0E00-000010000000}"/>
              </a:ext>
            </a:extLst>
          </xdr:cNvPr>
          <xdr:cNvSpPr txBox="1"/>
        </xdr:nvSpPr>
        <xdr:spPr>
          <a:xfrm>
            <a:off x="4201256" y="1060939"/>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Air</a:t>
            </a:r>
          </a:p>
        </xdr:txBody>
      </xdr:sp>
      <xdr:sp macro="" textlink="">
        <xdr:nvSpPr>
          <xdr:cNvPr id="17" name="TextBox 29">
            <a:extLst>
              <a:ext uri="{FF2B5EF4-FFF2-40B4-BE49-F238E27FC236}">
                <a16:creationId xmlns:a16="http://schemas.microsoft.com/office/drawing/2014/main" id="{00000000-0008-0000-0E00-000011000000}"/>
              </a:ext>
            </a:extLst>
          </xdr:cNvPr>
          <xdr:cNvSpPr txBox="1"/>
        </xdr:nvSpPr>
        <xdr:spPr>
          <a:xfrm>
            <a:off x="3971925" y="13752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Isolant</a:t>
            </a:r>
          </a:p>
        </xdr:txBody>
      </xdr:sp>
      <xdr:cxnSp macro="">
        <xdr:nvCxnSpPr>
          <xdr:cNvPr id="18" name="Straight Arrow Connector 31">
            <a:extLst>
              <a:ext uri="{FF2B5EF4-FFF2-40B4-BE49-F238E27FC236}">
                <a16:creationId xmlns:a16="http://schemas.microsoft.com/office/drawing/2014/main" id="{00000000-0008-0000-0E00-000012000000}"/>
              </a:ext>
            </a:extLst>
          </xdr:cNvPr>
          <xdr:cNvCxnSpPr/>
        </xdr:nvCxnSpPr>
        <xdr:spPr>
          <a:xfrm>
            <a:off x="4686300" y="1524000"/>
            <a:ext cx="2571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32">
            <a:extLst>
              <a:ext uri="{FF2B5EF4-FFF2-40B4-BE49-F238E27FC236}">
                <a16:creationId xmlns:a16="http://schemas.microsoft.com/office/drawing/2014/main" id="{00000000-0008-0000-0E00-000013000000}"/>
              </a:ext>
            </a:extLst>
          </xdr:cNvPr>
          <xdr:cNvCxnSpPr/>
        </xdr:nvCxnSpPr>
        <xdr:spPr>
          <a:xfrm flipV="1">
            <a:off x="4733925" y="1657350"/>
            <a:ext cx="428625" cy="15240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Box 34">
            <a:extLst>
              <a:ext uri="{FF2B5EF4-FFF2-40B4-BE49-F238E27FC236}">
                <a16:creationId xmlns:a16="http://schemas.microsoft.com/office/drawing/2014/main" id="{00000000-0008-0000-0E00-000014000000}"/>
              </a:ext>
            </a:extLst>
          </xdr:cNvPr>
          <xdr:cNvSpPr txBox="1"/>
        </xdr:nvSpPr>
        <xdr:spPr>
          <a:xfrm>
            <a:off x="3895725" y="1689589"/>
            <a:ext cx="10572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Composante</a:t>
            </a:r>
          </a:p>
        </xdr:txBody>
      </xdr:sp>
      <xdr:sp macro="" textlink="">
        <xdr:nvSpPr>
          <xdr:cNvPr id="21" name="TextBox 35">
            <a:extLst>
              <a:ext uri="{FF2B5EF4-FFF2-40B4-BE49-F238E27FC236}">
                <a16:creationId xmlns:a16="http://schemas.microsoft.com/office/drawing/2014/main" id="{00000000-0008-0000-0E00-000015000000}"/>
              </a:ext>
            </a:extLst>
          </xdr:cNvPr>
          <xdr:cNvSpPr txBox="1"/>
        </xdr:nvSpPr>
        <xdr:spPr>
          <a:xfrm>
            <a:off x="4429125" y="8418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Eau/vapeur</a:t>
            </a:r>
          </a:p>
        </xdr:txBody>
      </xdr:sp>
      <xdr:cxnSp macro="">
        <xdr:nvCxnSpPr>
          <xdr:cNvPr id="22" name="Straight Arrow Connector 36">
            <a:extLst>
              <a:ext uri="{FF2B5EF4-FFF2-40B4-BE49-F238E27FC236}">
                <a16:creationId xmlns:a16="http://schemas.microsoft.com/office/drawing/2014/main" id="{00000000-0008-0000-0E00-000016000000}"/>
              </a:ext>
            </a:extLst>
          </xdr:cNvPr>
          <xdr:cNvCxnSpPr/>
        </xdr:nvCxnSpPr>
        <xdr:spPr>
          <a:xfrm>
            <a:off x="4791075" y="1123950"/>
            <a:ext cx="552450" cy="381000"/>
          </a:xfrm>
          <a:prstGeom prst="straightConnector1">
            <a:avLst/>
          </a:pr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57150</xdr:colOff>
      <xdr:row>4</xdr:row>
      <xdr:rowOff>28575</xdr:rowOff>
    </xdr:from>
    <xdr:to>
      <xdr:col>21</xdr:col>
      <xdr:colOff>114300</xdr:colOff>
      <xdr:row>6</xdr:row>
      <xdr:rowOff>0</xdr:rowOff>
    </xdr:to>
    <xdr:sp macro="" textlink="">
      <xdr:nvSpPr>
        <xdr:cNvPr id="2" name="Accolade fermante 1">
          <a:extLst>
            <a:ext uri="{FF2B5EF4-FFF2-40B4-BE49-F238E27FC236}">
              <a16:creationId xmlns:a16="http://schemas.microsoft.com/office/drawing/2014/main" id="{00000000-0008-0000-0F00-000002000000}"/>
            </a:ext>
          </a:extLst>
        </xdr:cNvPr>
        <xdr:cNvSpPr/>
      </xdr:nvSpPr>
      <xdr:spPr>
        <a:xfrm>
          <a:off x="14201775" y="105727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85725</xdr:colOff>
      <xdr:row>10</xdr:row>
      <xdr:rowOff>9525</xdr:rowOff>
    </xdr:from>
    <xdr:to>
      <xdr:col>21</xdr:col>
      <xdr:colOff>142875</xdr:colOff>
      <xdr:row>11</xdr:row>
      <xdr:rowOff>171450</xdr:rowOff>
    </xdr:to>
    <xdr:sp macro="" textlink="">
      <xdr:nvSpPr>
        <xdr:cNvPr id="3" name="Accolade fermante 2">
          <a:extLst>
            <a:ext uri="{FF2B5EF4-FFF2-40B4-BE49-F238E27FC236}">
              <a16:creationId xmlns:a16="http://schemas.microsoft.com/office/drawing/2014/main" id="{00000000-0008-0000-0F00-000003000000}"/>
            </a:ext>
          </a:extLst>
        </xdr:cNvPr>
        <xdr:cNvSpPr/>
      </xdr:nvSpPr>
      <xdr:spPr>
        <a:xfrm>
          <a:off x="14230350" y="21812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85725</xdr:colOff>
      <xdr:row>16</xdr:row>
      <xdr:rowOff>9525</xdr:rowOff>
    </xdr:from>
    <xdr:to>
      <xdr:col>21</xdr:col>
      <xdr:colOff>142875</xdr:colOff>
      <xdr:row>17</xdr:row>
      <xdr:rowOff>171450</xdr:rowOff>
    </xdr:to>
    <xdr:sp macro="" textlink="">
      <xdr:nvSpPr>
        <xdr:cNvPr id="4" name="Accolade fermante 3">
          <a:extLst>
            <a:ext uri="{FF2B5EF4-FFF2-40B4-BE49-F238E27FC236}">
              <a16:creationId xmlns:a16="http://schemas.microsoft.com/office/drawing/2014/main" id="{00000000-0008-0000-0F00-000004000000}"/>
            </a:ext>
          </a:extLst>
        </xdr:cNvPr>
        <xdr:cNvSpPr/>
      </xdr:nvSpPr>
      <xdr:spPr>
        <a:xfrm>
          <a:off x="14230350" y="33242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95250</xdr:colOff>
      <xdr:row>22</xdr:row>
      <xdr:rowOff>19050</xdr:rowOff>
    </xdr:from>
    <xdr:to>
      <xdr:col>21</xdr:col>
      <xdr:colOff>152400</xdr:colOff>
      <xdr:row>23</xdr:row>
      <xdr:rowOff>180975</xdr:rowOff>
    </xdr:to>
    <xdr:sp macro="" textlink="">
      <xdr:nvSpPr>
        <xdr:cNvPr id="5" name="Accolade fermante 4">
          <a:extLst>
            <a:ext uri="{FF2B5EF4-FFF2-40B4-BE49-F238E27FC236}">
              <a16:creationId xmlns:a16="http://schemas.microsoft.com/office/drawing/2014/main" id="{00000000-0008-0000-0F00-000005000000}"/>
            </a:ext>
          </a:extLst>
        </xdr:cNvPr>
        <xdr:cNvSpPr/>
      </xdr:nvSpPr>
      <xdr:spPr>
        <a:xfrm>
          <a:off x="14239875" y="4476750"/>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114300</xdr:colOff>
      <xdr:row>28</xdr:row>
      <xdr:rowOff>38100</xdr:rowOff>
    </xdr:from>
    <xdr:to>
      <xdr:col>21</xdr:col>
      <xdr:colOff>171450</xdr:colOff>
      <xdr:row>30</xdr:row>
      <xdr:rowOff>9525</xdr:rowOff>
    </xdr:to>
    <xdr:sp macro="" textlink="">
      <xdr:nvSpPr>
        <xdr:cNvPr id="6" name="Accolade fermante 5">
          <a:extLst>
            <a:ext uri="{FF2B5EF4-FFF2-40B4-BE49-F238E27FC236}">
              <a16:creationId xmlns:a16="http://schemas.microsoft.com/office/drawing/2014/main" id="{00000000-0008-0000-0F00-000006000000}"/>
            </a:ext>
          </a:extLst>
        </xdr:cNvPr>
        <xdr:cNvSpPr/>
      </xdr:nvSpPr>
      <xdr:spPr>
        <a:xfrm>
          <a:off x="14258925" y="5638800"/>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104775</xdr:colOff>
      <xdr:row>34</xdr:row>
      <xdr:rowOff>28575</xdr:rowOff>
    </xdr:from>
    <xdr:to>
      <xdr:col>21</xdr:col>
      <xdr:colOff>161925</xdr:colOff>
      <xdr:row>36</xdr:row>
      <xdr:rowOff>0</xdr:rowOff>
    </xdr:to>
    <xdr:sp macro="" textlink="">
      <xdr:nvSpPr>
        <xdr:cNvPr id="7" name="Accolade fermante 6">
          <a:extLst>
            <a:ext uri="{FF2B5EF4-FFF2-40B4-BE49-F238E27FC236}">
              <a16:creationId xmlns:a16="http://schemas.microsoft.com/office/drawing/2014/main" id="{00000000-0008-0000-0F00-000007000000}"/>
            </a:ext>
          </a:extLst>
        </xdr:cNvPr>
        <xdr:cNvSpPr/>
      </xdr:nvSpPr>
      <xdr:spPr>
        <a:xfrm>
          <a:off x="14249400" y="677227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76200</xdr:colOff>
      <xdr:row>9</xdr:row>
      <xdr:rowOff>9525</xdr:rowOff>
    </xdr:from>
    <xdr:to>
      <xdr:col>10</xdr:col>
      <xdr:colOff>133350</xdr:colOff>
      <xdr:row>10</xdr:row>
      <xdr:rowOff>171450</xdr:rowOff>
    </xdr:to>
    <xdr:sp macro="" textlink="">
      <xdr:nvSpPr>
        <xdr:cNvPr id="2" name="Accolade fermante 1">
          <a:extLst>
            <a:ext uri="{FF2B5EF4-FFF2-40B4-BE49-F238E27FC236}">
              <a16:creationId xmlns:a16="http://schemas.microsoft.com/office/drawing/2014/main" id="{00000000-0008-0000-1000-000002000000}"/>
            </a:ext>
          </a:extLst>
        </xdr:cNvPr>
        <xdr:cNvSpPr/>
      </xdr:nvSpPr>
      <xdr:spPr>
        <a:xfrm>
          <a:off x="5981700" y="19907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11</xdr:col>
      <xdr:colOff>85725</xdr:colOff>
      <xdr:row>18</xdr:row>
      <xdr:rowOff>9525</xdr:rowOff>
    </xdr:from>
    <xdr:to>
      <xdr:col>11</xdr:col>
      <xdr:colOff>142875</xdr:colOff>
      <xdr:row>19</xdr:row>
      <xdr:rowOff>171450</xdr:rowOff>
    </xdr:to>
    <xdr:sp macro="" textlink="">
      <xdr:nvSpPr>
        <xdr:cNvPr id="3" name="Accolade fermante 2">
          <a:extLst>
            <a:ext uri="{FF2B5EF4-FFF2-40B4-BE49-F238E27FC236}">
              <a16:creationId xmlns:a16="http://schemas.microsoft.com/office/drawing/2014/main" id="{00000000-0008-0000-1000-000003000000}"/>
            </a:ext>
          </a:extLst>
        </xdr:cNvPr>
        <xdr:cNvSpPr/>
      </xdr:nvSpPr>
      <xdr:spPr>
        <a:xfrm>
          <a:off x="6781800" y="37052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276975"/>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0433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5247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236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28</xdr:col>
      <xdr:colOff>196215</xdr:colOff>
      <xdr:row>7</xdr:row>
      <xdr:rowOff>92392</xdr:rowOff>
    </xdr:from>
    <xdr:to>
      <xdr:col>33</xdr:col>
      <xdr:colOff>693420</xdr:colOff>
      <xdr:row>18</xdr:row>
      <xdr:rowOff>181927</xdr:rowOff>
    </xdr:to>
    <xdr:graphicFrame macro="">
      <xdr:nvGraphicFramePr>
        <xdr:cNvPr id="5" name="Graphique 4">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5247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236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5247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236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twoCellAnchor>
    <xdr:from>
      <xdr:col>6</xdr:col>
      <xdr:colOff>5715</xdr:colOff>
      <xdr:row>7</xdr:row>
      <xdr:rowOff>180975</xdr:rowOff>
    </xdr:from>
    <xdr:to>
      <xdr:col>12</xdr:col>
      <xdr:colOff>219075</xdr:colOff>
      <xdr:row>26</xdr:row>
      <xdr:rowOff>17145</xdr:rowOff>
    </xdr:to>
    <xdr:graphicFrame macro="">
      <xdr:nvGraphicFramePr>
        <xdr:cNvPr id="2" name="Graphique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27</xdr:row>
      <xdr:rowOff>76200</xdr:rowOff>
    </xdr:from>
    <xdr:to>
      <xdr:col>14</xdr:col>
      <xdr:colOff>660309</xdr:colOff>
      <xdr:row>54</xdr:row>
      <xdr:rowOff>84852</xdr:rowOff>
    </xdr:to>
    <xdr:grpSp>
      <xdr:nvGrpSpPr>
        <xdr:cNvPr id="3" name="Groupe 2">
          <a:extLst>
            <a:ext uri="{FF2B5EF4-FFF2-40B4-BE49-F238E27FC236}">
              <a16:creationId xmlns:a16="http://schemas.microsoft.com/office/drawing/2014/main" id="{00000000-0008-0000-1F00-000003000000}"/>
            </a:ext>
          </a:extLst>
        </xdr:cNvPr>
        <xdr:cNvGrpSpPr/>
      </xdr:nvGrpSpPr>
      <xdr:grpSpPr>
        <a:xfrm>
          <a:off x="5175885" y="5471160"/>
          <a:ext cx="7036344" cy="4946412"/>
          <a:chOff x="6343650" y="6172200"/>
          <a:chExt cx="6803934" cy="5152152"/>
        </a:xfrm>
      </xdr:grpSpPr>
      <xdr:pic>
        <xdr:nvPicPr>
          <xdr:cNvPr id="4" name="Image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stretch>
            <a:fillRect/>
          </a:stretch>
        </xdr:blipFill>
        <xdr:spPr>
          <a:xfrm>
            <a:off x="6343650" y="6172200"/>
            <a:ext cx="6803934" cy="5152152"/>
          </a:xfrm>
          <a:prstGeom prst="rect">
            <a:avLst/>
          </a:prstGeom>
        </xdr:spPr>
      </xdr:pic>
      <xdr:pic>
        <xdr:nvPicPr>
          <xdr:cNvPr id="5" name="Graphique 4" descr="Repère contour">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201150" y="6391275"/>
            <a:ext cx="504825" cy="504825"/>
          </a:xfrm>
          <a:prstGeom prst="rect">
            <a:avLst/>
          </a:prstGeom>
        </xdr:spPr>
      </xdr:pic>
      <xdr:pic>
        <xdr:nvPicPr>
          <xdr:cNvPr id="6" name="Graphique 5" descr="Repère contour">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1275" y="10334625"/>
            <a:ext cx="504825" cy="504825"/>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581025</xdr:colOff>
      <xdr:row>3</xdr:row>
      <xdr:rowOff>66675</xdr:rowOff>
    </xdr:from>
    <xdr:to>
      <xdr:col>12</xdr:col>
      <xdr:colOff>114300</xdr:colOff>
      <xdr:row>63</xdr:row>
      <xdr:rowOff>104775</xdr:rowOff>
    </xdr:to>
    <xdr:pic>
      <xdr:nvPicPr>
        <xdr:cNvPr id="2" name="Image 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638175"/>
          <a:ext cx="8677275" cy="1146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571500</xdr:colOff>
      <xdr:row>64</xdr:row>
      <xdr:rowOff>0</xdr:rowOff>
    </xdr:from>
    <xdr:to>
      <xdr:col>12</xdr:col>
      <xdr:colOff>66675</xdr:colOff>
      <xdr:row>122</xdr:row>
      <xdr:rowOff>104775</xdr:rowOff>
    </xdr:to>
    <xdr:pic>
      <xdr:nvPicPr>
        <xdr:cNvPr id="3" name="Image 2">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12192000"/>
          <a:ext cx="8639175" cy="1123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552450</xdr:colOff>
      <xdr:row>123</xdr:row>
      <xdr:rowOff>47625</xdr:rowOff>
    </xdr:from>
    <xdr:to>
      <xdr:col>12</xdr:col>
      <xdr:colOff>47625</xdr:colOff>
      <xdr:row>182</xdr:row>
      <xdr:rowOff>95250</xdr:rowOff>
    </xdr:to>
    <xdr:pic>
      <xdr:nvPicPr>
        <xdr:cNvPr id="4" name="Image 3">
          <a:extLst>
            <a:ext uri="{FF2B5EF4-FFF2-40B4-BE49-F238E27FC236}">
              <a16:creationId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2450" y="23479125"/>
          <a:ext cx="8639175" cy="1128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628650</xdr:colOff>
      <xdr:row>182</xdr:row>
      <xdr:rowOff>180975</xdr:rowOff>
    </xdr:from>
    <xdr:to>
      <xdr:col>12</xdr:col>
      <xdr:colOff>85725</xdr:colOff>
      <xdr:row>238</xdr:row>
      <xdr:rowOff>142875</xdr:rowOff>
    </xdr:to>
    <xdr:pic>
      <xdr:nvPicPr>
        <xdr:cNvPr id="5" name="Image 4">
          <a:extLst>
            <a:ext uri="{FF2B5EF4-FFF2-40B4-BE49-F238E27FC236}">
              <a16:creationId xmlns:a16="http://schemas.microsoft.com/office/drawing/2014/main" id="{00000000-0008-0000-2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8650" y="34851975"/>
          <a:ext cx="8601075" cy="1062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676275</xdr:colOff>
      <xdr:row>239</xdr:row>
      <xdr:rowOff>57150</xdr:rowOff>
    </xdr:from>
    <xdr:to>
      <xdr:col>11</xdr:col>
      <xdr:colOff>742950</xdr:colOff>
      <xdr:row>270</xdr:row>
      <xdr:rowOff>66675</xdr:rowOff>
    </xdr:to>
    <xdr:pic>
      <xdr:nvPicPr>
        <xdr:cNvPr id="8" name="Image 7">
          <a:extLst>
            <a:ext uri="{FF2B5EF4-FFF2-40B4-BE49-F238E27FC236}">
              <a16:creationId xmlns:a16="http://schemas.microsoft.com/office/drawing/2014/main" id="{00000000-0008-0000-21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 y="45586650"/>
          <a:ext cx="84486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éline Hertz" id="{7BA2C6CB-8FAD-4123-9FB6-D31293453FD0}" userId="S::Celine.Hertz@ctgn.qc.ca::4502ce34-59fb-4a5e-b202-d0bf66128a7c"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1</v>
  </rv>
  <rv s="1">
    <v>13</v>
    <v>3</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2" dT="2024-01-09T17:42:04.68" personId="{7BA2C6CB-8FAD-4123-9FB6-D31293453FD0}" id="{4B673AA1-4771-4522-8E4A-A996F218D3DC}">
    <text xml:space="preserve">Selon la norme européenne EN 12953, il est recommandé de limiter à 1% les pertes par les parois des chaudières.
</text>
  </threadedComment>
  <threadedComment ref="E71" dT="2023-05-19T16:09:55.38" personId="{7BA2C6CB-8FAD-4123-9FB6-D31293453FD0}" id="{EF22D831-52B7-4A27-AE23-27629B00F34C}">
    <text>https://www.yorkland.net/downloads/ControLinks%20Savings%20Worksheet_case%20study.pdf</text>
    <extLst>
      <x:ext xmlns:xltc2="http://schemas.microsoft.com/office/spreadsheetml/2020/threadedcomments2" uri="{F7C98A9C-CBB3-438F-8F68-D28B6AF4A901}">
        <xltc2:checksum>1692123603</xltc2:checksum>
        <xltc2:hyperlink startIndex="0" length="85" url="https://www.yorkland.net/downloads/ControLinks%20Savings%20Worksheet_case%20study.pdf"/>
      </x:ext>
    </extLst>
  </threadedComment>
  <threadedComment ref="D75" dT="2023-07-13T13:16:24.21" personId="{7BA2C6CB-8FAD-4123-9FB6-D31293453FD0}" id="{1B3D1917-937B-413C-B6B8-8CC588056A66}" done="1">
    <text xml:space="preserve">Peut-être 5% plutôt - voir rapport "144712 - Linkageless calculator improvements </text>
  </threadedComment>
  <threadedComment ref="D195" dT="2023-09-12T13:25:01.14" personId="{7BA2C6CB-8FAD-4123-9FB6-D31293453FD0}" id="{6FF0E1CC-6167-4AE1-8AD8-278A9F3D771E}">
    <text xml:space="preserve">Même class que les données du DoE: </text>
  </threadedComment>
  <threadedComment ref="D195" dT="2023-09-12T13:29:58.81" personId="{7BA2C6CB-8FAD-4123-9FB6-D31293453FD0}" id="{BD4C2DAF-9C19-4F8D-AE3B-E8D4D50A2259}" parentId="{6FF0E1CC-6167-4AE1-8AD8-278A9F3D771E}">
    <text>https://www1.eere.energy.gov/manufacturing/tech_assistance/pdfs/steam17_valves_fittings.pdf</text>
    <extLst>
      <x:ext xmlns:xltc2="http://schemas.microsoft.com/office/spreadsheetml/2020/threadedcomments2" uri="{F7C98A9C-CBB3-438F-8F68-D28B6AF4A901}">
        <xltc2:checksum>5321048</xltc2:checksum>
        <xltc2:hyperlink startIndex="0" length="91" url="https://www1.eere.energy.gov/manufacturing/tech_assistance/pdfs/steam17_valves_fittings.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W13" dT="2023-09-20T13:21:22.94" personId="{7BA2C6CB-8FAD-4123-9FB6-D31293453FD0}" id="{D7ED36F9-79D2-423A-915E-B37FD8E5C1E6}">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 ref="E50" dT="2023-10-13T14:01:42.16" personId="{7BA2C6CB-8FAD-4123-9FB6-D31293453FD0}" id="{35BB67A2-33B6-49A0-9130-997C6C0D39A1}">
    <text>Re = D3/1000*vitesse / viscosité</text>
  </threadedComment>
</ThreadedComments>
</file>

<file path=xl/threadedComments/threadedComment3.xml><?xml version="1.0" encoding="utf-8"?>
<ThreadedComments xmlns="http://schemas.microsoft.com/office/spreadsheetml/2018/threadedcomments" xmlns:x="http://schemas.openxmlformats.org/spreadsheetml/2006/main">
  <threadedComment ref="W13" dT="2023-09-20T13:21:28.65" personId="{7BA2C6CB-8FAD-4123-9FB6-D31293453FD0}" id="{59B34C0A-8874-47DC-B3B9-3C4B8228503C}">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4.xml><?xml version="1.0" encoding="utf-8"?>
<ThreadedComments xmlns="http://schemas.microsoft.com/office/spreadsheetml/2018/threadedcomments" xmlns:x="http://schemas.openxmlformats.org/spreadsheetml/2006/main">
  <threadedComment ref="W13" dT="2023-09-20T13:21:33.78" personId="{7BA2C6CB-8FAD-4123-9FB6-D31293453FD0}" id="{B549DAE8-EA2B-48EF-A441-5C18ADA7E723}">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5.xml><?xml version="1.0" encoding="utf-8"?>
<ThreadedComments xmlns="http://schemas.microsoft.com/office/spreadsheetml/2018/threadedcomments" xmlns:x="http://schemas.openxmlformats.org/spreadsheetml/2006/main">
  <threadedComment ref="V5" dT="2023-09-12T14:30:47.55" personId="{7BA2C6CB-8FAD-4123-9FB6-D31293453FD0}" id="{F72E5FFC-7552-4C5D-BE22-53D0E7A4B125}">
    <text xml:space="preserve">Si statistiques est VRAI, LA DROITE renvoie les statistiques de régression supplémentaires ; Par conséquent, le tableau renvoyé est {mn.mn-1,...,m1.b;sen.sen-1,...,se1.seb;r2,sey; F,df;ssreg,ssresid}.
</text>
  </threadedComment>
  <threadedComment ref="V11" dT="2023-09-12T14:30:47.55" personId="{7BA2C6CB-8FAD-4123-9FB6-D31293453FD0}" id="{9DD617EB-EBCF-483F-92E8-46559BEEBD29}">
    <text xml:space="preserve">Si statistiques est VRAI, LA DROITE renvoie les statistiques de régression supplémentaires ; Par conséquent, le tableau renvoyé est {mn.mn-1,...,m1.b;sen.sen-1,...,se1.seb;r2,sey; F,df;ssreg,ssresid}.
</text>
  </threadedComment>
  <threadedComment ref="V17" dT="2023-09-12T14:30:47.55" personId="{7BA2C6CB-8FAD-4123-9FB6-D31293453FD0}" id="{118C4D8F-842A-4A9E-8FE3-5C50911BBB45}">
    <text xml:space="preserve">Si statistiques est VRAI, LA DROITE renvoie les statistiques de régression supplémentaires ; Par conséquent, le tableau renvoyé est {mn.mn-1,...,m1.b;sen.sen-1,...,se1.seb;r2,sey; F,df;ssreg,ssresid}.
</text>
  </threadedComment>
  <threadedComment ref="V23" dT="2023-09-12T14:30:47.55" personId="{7BA2C6CB-8FAD-4123-9FB6-D31293453FD0}" id="{56525BC0-A248-4F5A-B5CF-F26AB7CEB0ED}">
    <text xml:space="preserve">Si statistiques est VRAI, LA DROITE renvoie les statistiques de régression supplémentaires ; Par conséquent, le tableau renvoyé est {mn.mn-1,...,m1.b;sen.sen-1,...,se1.seb;r2,sey; F,df;ssreg,ssresid}.
</text>
  </threadedComment>
  <threadedComment ref="V29" dT="2023-09-12T14:30:47.55" personId="{7BA2C6CB-8FAD-4123-9FB6-D31293453FD0}" id="{B3472081-9029-4E36-803C-80B18F7EB119}">
    <text xml:space="preserve">Si statistiques est VRAI, LA DROITE renvoie les statistiques de régression supplémentaires ; Par conséquent, le tableau renvoyé est {mn.mn-1,...,m1.b;sen.sen-1,...,se1.seb;r2,sey; F,df;ssreg,ssresid}.
</text>
  </threadedComment>
  <threadedComment ref="V35" dT="2023-09-12T14:30:47.55" personId="{7BA2C6CB-8FAD-4123-9FB6-D31293453FD0}" id="{44A18F68-BC8B-4646-AFAA-E05F2A7EFF63}">
    <text xml:space="preserve">Si statistiques est VRAI, LA DROITE renvoie les statistiques de régression supplémentaires ; Par conséquent, le tableau renvoyé est {mn.mn-1,...,m1.b;sen.sen-1,...,se1.seb;r2,sey; F,df;ssreg,ssresid}.
</text>
  </threadedComment>
</ThreadedComments>
</file>

<file path=xl/threadedComments/threadedComment6.xml><?xml version="1.0" encoding="utf-8"?>
<ThreadedComments xmlns="http://schemas.microsoft.com/office/spreadsheetml/2018/threadedcomments" xmlns:x="http://schemas.openxmlformats.org/spreadsheetml/2006/main">
  <threadedComment ref="K10" dT="2023-09-12T14:30:47.55" personId="{7BA2C6CB-8FAD-4123-9FB6-D31293453FD0}" id="{CD83E46A-5108-4E28-93B9-E7834ADDF6CB}">
    <text xml:space="preserve">Si statistiques est VRAI, LA DROITE renvoie les statistiques de régression supplémentaires ; Par conséquent, le tableau renvoyé est {mn.mn-1,...,m1.b;sen.sen-1,...,se1.seb;r2,sey; F,df;ssreg,ssresid}.
</text>
  </threadedComment>
  <threadedComment ref="L19" dT="2023-09-12T14:30:47.55" personId="{7BA2C6CB-8FAD-4123-9FB6-D31293453FD0}" id="{AF71BF00-3E1A-4E5C-B907-A382A62517E1}">
    <text xml:space="preserve">Si statistiques est VRAI, LA DROITE renvoie les statistiques de régression supplémentaires ; Par conséquent, le tableau renvoyé est {mn.mn-1,...,m1.b;sen.sen-1,...,se1.seb;r2,sey; F,df;ssreg,ssresid}.
</text>
  </threadedComment>
</ThreadedComments>
</file>

<file path=xl/threadedComments/threadedComment7.xml><?xml version="1.0" encoding="utf-8"?>
<ThreadedComments xmlns="http://schemas.microsoft.com/office/spreadsheetml/2018/threadedcomments" xmlns:x="http://schemas.openxmlformats.org/spreadsheetml/2006/main">
  <threadedComment ref="AA1" dT="2023-05-17T20:13:24.16" personId="{7BA2C6CB-8FAD-4123-9FB6-D31293453FD0}" id="{D9070BAE-CCF4-4E5C-81BF-CC1D2396D0E9}">
    <text>L'option "Analyse de scénarios" -&gt; Table de données (Menu Données) a été utilisé pour générer les efficacité aux diverses température de fumées.</text>
  </threadedComment>
  <threadedComment ref="AA1" dT="2023-05-17T20:13:35.75" personId="{7BA2C6CB-8FAD-4123-9FB6-D31293453FD0}" id="{21E136FD-6A51-41DD-B0AE-617DBD6A9BCC}" parentId="{D9070BAE-CCF4-4E5C-81BF-CC1D2396D0E9}">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8.xml><?xml version="1.0" encoding="utf-8"?>
<ThreadedComments xmlns="http://schemas.microsoft.com/office/spreadsheetml/2018/threadedcomments" xmlns:x="http://schemas.openxmlformats.org/spreadsheetml/2006/main">
  <threadedComment ref="AA1" dT="2023-05-17T20:13:24.16" personId="{7BA2C6CB-8FAD-4123-9FB6-D31293453FD0}" id="{26E270EF-E91D-4F30-B844-A5C6F704D976}">
    <text>L'option "Analyse de scénarios" -&gt; Table de données (Menu Données) a été utilisé pour générer les efficacité aux diverses température de fumées.</text>
  </threadedComment>
  <threadedComment ref="AA1" dT="2023-05-17T20:13:35.75" personId="{7BA2C6CB-8FAD-4123-9FB6-D31293453FD0}" id="{F7CE2E5C-F0AE-42FD-9E51-71521C430D2D}" parentId="{26E270EF-E91D-4F30-B844-A5C6F704D976}">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9.xml><?xml version="1.0" encoding="utf-8"?>
<ThreadedComments xmlns="http://schemas.microsoft.com/office/spreadsheetml/2018/threadedcomments" xmlns:x="http://schemas.openxmlformats.org/spreadsheetml/2006/main">
  <threadedComment ref="AA1" dT="2023-05-17T20:13:24.16" personId="{7BA2C6CB-8FAD-4123-9FB6-D31293453FD0}" id="{4832862B-4F13-4D3B-B26E-3EA223491B4A}">
    <text>L'option "Analyse de scénarios" -&gt; Table de données (Menu Données) a été utilisé pour générer les efficacité aux diverses température de fumées.</text>
  </threadedComment>
  <threadedComment ref="AA1" dT="2023-05-17T20:13:35.75" personId="{7BA2C6CB-8FAD-4123-9FB6-D31293453FD0}" id="{91866D55-86F5-4FB9-AFBA-A4F69C74B63E}" parentId="{4832862B-4F13-4D3B-B26E-3EA223491B4A}">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10.xml><?xml version="1.0" encoding="utf-8"?>
<ThreadedComments xmlns="http://schemas.microsoft.com/office/spreadsheetml/2018/threadedcomments" xmlns:x="http://schemas.openxmlformats.org/spreadsheetml/2006/main">
  <threadedComment ref="AA1" dT="2023-05-17T20:13:24.16" personId="{7BA2C6CB-8FAD-4123-9FB6-D31293453FD0}" id="{A8DB3656-6650-4320-BACB-9E63EEF93AC8}">
    <text>L'option "Analyse de scénarios" -&gt; Table de données (Menu Données) a été utilisé pour générer les efficacité aux diverses température de fumées.</text>
  </threadedComment>
  <threadedComment ref="AA1" dT="2023-05-17T20:13:35.75" personId="{7BA2C6CB-8FAD-4123-9FB6-D31293453FD0}" id="{7112779D-A3BA-424D-B5E4-03DB10F0AD78}" parentId="{A8DB3656-6650-4320-BACB-9E63EEF93AC8}">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91" Type="http://schemas.openxmlformats.org/officeDocument/2006/relationships/ctrlProp" Target="../ctrlProps/ctrlProp189.xml"/><Relationship Id="rId205" Type="http://schemas.openxmlformats.org/officeDocument/2006/relationships/ctrlProp" Target="../ctrlProps/ctrlProp203.xml"/><Relationship Id="rId226" Type="http://schemas.openxmlformats.org/officeDocument/2006/relationships/ctrlProp" Target="../ctrlProps/ctrlProp224.xml"/><Relationship Id="rId247" Type="http://schemas.openxmlformats.org/officeDocument/2006/relationships/ctrlProp" Target="../ctrlProps/ctrlProp245.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16" Type="http://schemas.openxmlformats.org/officeDocument/2006/relationships/ctrlProp" Target="../ctrlProps/ctrlProp214.xml"/><Relationship Id="rId237" Type="http://schemas.openxmlformats.org/officeDocument/2006/relationships/ctrlProp" Target="../ctrlProps/ctrlProp235.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92" Type="http://schemas.openxmlformats.org/officeDocument/2006/relationships/ctrlProp" Target="../ctrlProps/ctrlProp190.xml"/><Relationship Id="rId206" Type="http://schemas.openxmlformats.org/officeDocument/2006/relationships/ctrlProp" Target="../ctrlProps/ctrlProp204.xml"/><Relationship Id="rId227" Type="http://schemas.openxmlformats.org/officeDocument/2006/relationships/ctrlProp" Target="../ctrlProps/ctrlProp225.xml"/><Relationship Id="rId248" Type="http://schemas.openxmlformats.org/officeDocument/2006/relationships/ctrlProp" Target="../ctrlProps/ctrlProp246.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217" Type="http://schemas.openxmlformats.org/officeDocument/2006/relationships/ctrlProp" Target="../ctrlProps/ctrlProp215.xml"/><Relationship Id="rId6" Type="http://schemas.openxmlformats.org/officeDocument/2006/relationships/ctrlProp" Target="../ctrlProps/ctrlProp4.xml"/><Relationship Id="rId238" Type="http://schemas.openxmlformats.org/officeDocument/2006/relationships/ctrlProp" Target="../ctrlProps/ctrlProp236.xml"/><Relationship Id="rId23" Type="http://schemas.openxmlformats.org/officeDocument/2006/relationships/ctrlProp" Target="../ctrlProps/ctrlProp21.xml"/><Relationship Id="rId119" Type="http://schemas.openxmlformats.org/officeDocument/2006/relationships/ctrlProp" Target="../ctrlProps/ctrlProp117.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ctrlProp" Target="../ctrlProps/ctrlProp205.xml"/><Relationship Id="rId228" Type="http://schemas.openxmlformats.org/officeDocument/2006/relationships/ctrlProp" Target="../ctrlProps/ctrlProp226.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250" Type="http://schemas.openxmlformats.org/officeDocument/2006/relationships/ctrlProp" Target="../ctrlProps/ctrlProp248.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drawing" Target="../drawings/drawing1.xm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vmlDrawing" Target="../drawings/vmlDrawing2.vml"/><Relationship Id="rId29" Type="http://schemas.openxmlformats.org/officeDocument/2006/relationships/ctrlProp" Target="../ctrlProps/ctrlProp27.xml"/><Relationship Id="rId255" Type="http://schemas.openxmlformats.org/officeDocument/2006/relationships/ctrlProp" Target="../ctrlProps/ctrlProp253.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openxmlformats.org/officeDocument/2006/relationships/ctrlProp" Target="../ctrlProps/ctrlProp257.xml"/><Relationship Id="rId4"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trlProp" Target="../ctrlProps/ctrlProp25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3.xml"/><Relationship Id="rId13" Type="http://schemas.openxmlformats.org/officeDocument/2006/relationships/ctrlProp" Target="../ctrlProps/ctrlProp268.xml"/><Relationship Id="rId3" Type="http://schemas.openxmlformats.org/officeDocument/2006/relationships/vmlDrawing" Target="../drawings/vmlDrawing5.vml"/><Relationship Id="rId7" Type="http://schemas.openxmlformats.org/officeDocument/2006/relationships/ctrlProp" Target="../ctrlProps/ctrlProp262.xml"/><Relationship Id="rId12" Type="http://schemas.openxmlformats.org/officeDocument/2006/relationships/ctrlProp" Target="../ctrlProps/ctrlProp267.xml"/><Relationship Id="rId2" Type="http://schemas.openxmlformats.org/officeDocument/2006/relationships/drawing" Target="../drawings/drawing6.xml"/><Relationship Id="rId16" Type="http://schemas.openxmlformats.org/officeDocument/2006/relationships/comments" Target="../comments2.xml"/><Relationship Id="rId1" Type="http://schemas.openxmlformats.org/officeDocument/2006/relationships/hyperlink" Target="mailto:efficaciteenergetique@energir.com" TargetMode="External"/><Relationship Id="rId6" Type="http://schemas.openxmlformats.org/officeDocument/2006/relationships/ctrlProp" Target="../ctrlProps/ctrlProp261.xml"/><Relationship Id="rId11" Type="http://schemas.openxmlformats.org/officeDocument/2006/relationships/ctrlProp" Target="../ctrlProps/ctrlProp266.xml"/><Relationship Id="rId5" Type="http://schemas.openxmlformats.org/officeDocument/2006/relationships/ctrlProp" Target="../ctrlProps/ctrlProp260.xml"/><Relationship Id="rId15" Type="http://schemas.openxmlformats.org/officeDocument/2006/relationships/ctrlProp" Target="../ctrlProps/ctrlProp270.xml"/><Relationship Id="rId10" Type="http://schemas.openxmlformats.org/officeDocument/2006/relationships/ctrlProp" Target="../ctrlProps/ctrlProp265.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8.bin"/><Relationship Id="rId5" Type="http://schemas.microsoft.com/office/2017/10/relationships/threadedComment" Target="../threadedComments/threadedComment3.xml"/><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9.bin"/><Relationship Id="rId5" Type="http://schemas.microsoft.com/office/2017/10/relationships/threadedComment" Target="../threadedComments/threadedComment4.xml"/><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0.bin"/><Relationship Id="rId1" Type="http://schemas.openxmlformats.org/officeDocument/2006/relationships/hyperlink" Target="http://cheguide.com/" TargetMode="External"/><Relationship Id="rId6" Type="http://schemas.microsoft.com/office/2017/10/relationships/threadedComment" Target="../threadedComments/threadedComment5.xml"/><Relationship Id="rId5" Type="http://schemas.openxmlformats.org/officeDocument/2006/relationships/comments" Target="../comments9.xml"/><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cheguide.com/" TargetMode="External"/><Relationship Id="rId6" Type="http://schemas.microsoft.com/office/2017/10/relationships/threadedComment" Target="../threadedComments/threadedComment6.xml"/><Relationship Id="rId5" Type="http://schemas.openxmlformats.org/officeDocument/2006/relationships/comments" Target="../comments10.xml"/><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microsoft.com/office/2017/10/relationships/threadedComment" Target="../threadedComments/threadedComment7.xml"/><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microsoft.com/office/2017/10/relationships/threadedComment" Target="../threadedComments/threadedComment8.xml"/><Relationship Id="rId4"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microsoft.com/office/2017/10/relationships/threadedComment" Target="../threadedComments/threadedComment9.xml"/><Relationship Id="rId4" Type="http://schemas.openxmlformats.org/officeDocument/2006/relationships/comments" Target="../comments1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microsoft.com/office/2017/10/relationships/threadedComment" Target="../threadedComments/threadedComment10.xml"/><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climat.meteo.gc.ca/climate_normals/results_1981_2010_f.html?searchType=stnName&amp;txtStationName=trudeau&amp;searchMethod=contains&amp;txtCentralLatMin=0&amp;txtCentralLatSec=0&amp;txtCentralLongMin=0&amp;txtCentralLongSec=0&amp;stnID=5415&amp;dispBack=1"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s://tidesandcurrents.noaa.gov/physocean.html?id=8510560" TargetMode="Externa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https://cheguide.com/heat_loss_insulatio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DD59-24CC-483E-A761-A8F2A1BD0233}">
  <sheetPr codeName="Feuil2">
    <tabColor theme="0"/>
  </sheetPr>
  <dimension ref="B2:V130"/>
  <sheetViews>
    <sheetView topLeftCell="B1" zoomScale="117" workbookViewId="0">
      <selection activeCell="I8" sqref="I8"/>
    </sheetView>
  </sheetViews>
  <sheetFormatPr baseColWidth="10" defaultColWidth="11.44140625" defaultRowHeight="14.4" outlineLevelRow="1"/>
  <cols>
    <col min="1" max="1" width="3.44140625" style="6" customWidth="1"/>
    <col min="2" max="2" width="3.21875" style="6" customWidth="1"/>
    <col min="3" max="4" width="12.5546875" style="6" customWidth="1"/>
    <col min="5" max="5" width="33.21875" style="6" customWidth="1"/>
    <col min="6" max="6" width="29.21875" style="6" customWidth="1"/>
    <col min="7" max="7" width="24.21875" style="6" customWidth="1"/>
    <col min="8" max="8" width="22" style="6" customWidth="1"/>
    <col min="9" max="13" width="24.21875" style="6" customWidth="1"/>
    <col min="14" max="14" width="10" style="6" customWidth="1"/>
    <col min="15" max="15" width="26.21875" style="6" customWidth="1"/>
    <col min="16" max="16" width="11.44140625" style="6" customWidth="1"/>
    <col min="17" max="18" width="24.21875" style="6" customWidth="1"/>
    <col min="19" max="19" width="3" style="6" customWidth="1"/>
    <col min="20" max="20" width="11.44140625" style="6"/>
    <col min="21" max="21" width="15.5546875" style="6" customWidth="1"/>
    <col min="22" max="16384" width="11.44140625" style="6"/>
  </cols>
  <sheetData>
    <row r="2" spans="2:22" ht="21">
      <c r="B2" s="453" t="s">
        <v>1373</v>
      </c>
    </row>
    <row r="3" spans="2:22" ht="21">
      <c r="B3" s="453"/>
    </row>
    <row r="4" spans="2:22" ht="21">
      <c r="B4" s="453"/>
      <c r="C4" s="856" t="s">
        <v>1294</v>
      </c>
    </row>
    <row r="5" spans="2:22" ht="21.6" thickBot="1">
      <c r="B5" s="453"/>
      <c r="C5" s="828"/>
    </row>
    <row r="6" spans="2:22" ht="15" customHeight="1" thickBot="1">
      <c r="B6" s="817"/>
      <c r="D6" s="814"/>
      <c r="E6" s="814"/>
      <c r="F6" s="814"/>
      <c r="G6" s="829" t="s">
        <v>1297</v>
      </c>
      <c r="H6" s="819"/>
      <c r="I6" s="813" t="s">
        <v>470</v>
      </c>
      <c r="K6" s="818"/>
      <c r="L6" s="818"/>
      <c r="M6" s="818"/>
      <c r="N6" s="818"/>
      <c r="O6" s="818"/>
      <c r="P6" s="818"/>
      <c r="Q6" s="818"/>
      <c r="R6" s="818"/>
      <c r="S6" s="814"/>
      <c r="T6" s="807"/>
      <c r="U6" s="813"/>
      <c r="V6" s="813"/>
    </row>
    <row r="7" spans="2:22" ht="15" customHeight="1">
      <c r="B7" s="817"/>
      <c r="D7" s="814"/>
      <c r="E7" s="814"/>
      <c r="F7" s="814"/>
      <c r="G7" s="829"/>
      <c r="H7" s="827"/>
      <c r="I7" s="818"/>
      <c r="J7" s="813"/>
      <c r="K7" s="818"/>
      <c r="L7" s="818"/>
      <c r="M7" s="818"/>
      <c r="N7" s="818"/>
      <c r="O7" s="818"/>
      <c r="P7" s="818"/>
      <c r="Q7" s="818"/>
      <c r="R7" s="818"/>
      <c r="S7" s="814"/>
      <c r="T7" s="807"/>
      <c r="U7" s="813"/>
      <c r="V7" s="813"/>
    </row>
    <row r="8" spans="2:22" ht="21.6" customHeight="1">
      <c r="B8" s="817"/>
      <c r="D8" s="814"/>
      <c r="E8" s="814"/>
      <c r="F8" s="814"/>
      <c r="G8" s="829" t="s">
        <v>1389</v>
      </c>
      <c r="H8" s="160" t="str" cm="1">
        <f t="array" ref="H8">_xlfn.IFS(O49="Oui","Oui",O53="Oui","Oui",O54="Oui","Oui",O59="Oui","Oui",O66="Oui","Oui",O70="Oui","Oui",O74="Oui","Oui",O81="Oui","Oui",O86="Oui","Oui",O49="Non","Non",O53="Non","Non",O54="Non","Non",O59="Non","Non",O66="Non","Non",O70="Non","Non",O74="Non","Non",O81="Non","Non",O86="Non","Non")</f>
        <v>Non</v>
      </c>
      <c r="I8" s="844" t="str">
        <f>IF(O86="Oui","Datech : Entrer le prix du gaz du client à la section e)","")</f>
        <v/>
      </c>
      <c r="J8" s="813"/>
      <c r="K8" s="818"/>
      <c r="L8" s="818"/>
      <c r="M8" s="818"/>
      <c r="N8" s="818"/>
      <c r="O8" s="818"/>
      <c r="P8" s="818"/>
      <c r="Q8" s="818"/>
      <c r="R8" s="818"/>
      <c r="S8" s="814"/>
      <c r="T8" s="807"/>
      <c r="U8" s="813"/>
      <c r="V8" s="813"/>
    </row>
    <row r="9" spans="2:22" ht="15" customHeight="1">
      <c r="B9" s="817"/>
      <c r="D9" s="814"/>
      <c r="E9" s="814"/>
      <c r="F9" s="814"/>
      <c r="G9" s="829"/>
      <c r="H9" s="829"/>
      <c r="I9" s="818"/>
      <c r="J9" s="813"/>
      <c r="K9" s="818"/>
      <c r="L9" s="818"/>
      <c r="M9" s="818"/>
      <c r="N9" s="818"/>
      <c r="O9" s="818"/>
      <c r="P9" s="818"/>
      <c r="Q9" s="818"/>
      <c r="R9" s="818"/>
      <c r="S9" s="814"/>
      <c r="T9" s="807"/>
      <c r="U9" s="813"/>
      <c r="V9" s="813"/>
    </row>
    <row r="10" spans="2:22" ht="15" customHeight="1">
      <c r="B10" s="817"/>
      <c r="C10" s="828" t="s">
        <v>1295</v>
      </c>
      <c r="D10" s="814"/>
      <c r="E10" s="814"/>
      <c r="F10" s="814"/>
      <c r="G10" s="824"/>
      <c r="H10" s="827"/>
      <c r="I10" s="818"/>
      <c r="J10" s="813"/>
      <c r="K10" s="818"/>
      <c r="L10" s="818"/>
      <c r="M10" s="818"/>
      <c r="N10" s="818"/>
      <c r="O10" s="818"/>
      <c r="P10" s="818"/>
      <c r="Q10" s="818"/>
      <c r="R10" s="818"/>
      <c r="S10" s="814"/>
      <c r="T10" s="807"/>
      <c r="U10" s="813"/>
      <c r="V10" s="813"/>
    </row>
    <row r="11" spans="2:22" ht="15" customHeight="1">
      <c r="B11" s="817"/>
      <c r="D11" s="814"/>
      <c r="E11" s="814"/>
      <c r="F11" s="814"/>
      <c r="G11" s="824"/>
      <c r="H11" s="827"/>
      <c r="I11" s="818"/>
      <c r="J11" s="813"/>
      <c r="K11" s="818"/>
      <c r="L11" s="818"/>
      <c r="M11" s="818"/>
      <c r="N11" s="818"/>
      <c r="O11" s="818"/>
      <c r="P11" s="818"/>
      <c r="Q11" s="818"/>
      <c r="R11" s="818"/>
      <c r="S11" s="814"/>
      <c r="T11" s="807"/>
      <c r="U11" s="813"/>
      <c r="V11" s="813"/>
    </row>
    <row r="12" spans="2:22" ht="15" customHeight="1">
      <c r="B12" s="817"/>
      <c r="C12" s="1522" t="s">
        <v>1271</v>
      </c>
      <c r="D12" s="1522"/>
      <c r="E12" s="1522"/>
      <c r="F12" s="1522"/>
      <c r="G12" s="1502"/>
      <c r="H12" s="1502"/>
      <c r="I12" s="1502"/>
      <c r="J12" s="1502"/>
      <c r="K12" s="1502"/>
      <c r="L12" s="836"/>
      <c r="M12" s="836"/>
      <c r="N12" s="1520"/>
      <c r="O12" s="1520"/>
      <c r="P12" s="837"/>
      <c r="Q12" s="818"/>
      <c r="R12" s="818"/>
      <c r="S12" s="814"/>
      <c r="T12" s="807"/>
      <c r="U12" s="813"/>
      <c r="V12" s="813"/>
    </row>
    <row r="13" spans="2:22" ht="60" customHeight="1">
      <c r="B13" s="817"/>
      <c r="C13" s="1524" t="s">
        <v>1269</v>
      </c>
      <c r="D13" s="1524"/>
      <c r="E13" s="763" t="s">
        <v>1270</v>
      </c>
      <c r="F13" s="763" t="s">
        <v>795</v>
      </c>
      <c r="G13" s="838"/>
      <c r="H13" s="1521"/>
      <c r="I13" s="1521"/>
      <c r="J13" s="1521"/>
      <c r="K13" s="1521"/>
      <c r="L13" s="1521"/>
      <c r="M13" s="1521"/>
      <c r="N13" s="838"/>
      <c r="O13" s="838"/>
      <c r="P13" s="838"/>
      <c r="Q13" s="818"/>
      <c r="R13" s="818"/>
      <c r="S13" s="814"/>
      <c r="T13" s="807"/>
      <c r="U13" s="813"/>
      <c r="V13" s="813"/>
    </row>
    <row r="14" spans="2:22" ht="15" customHeight="1">
      <c r="B14" s="817"/>
      <c r="C14" s="1503" t="s">
        <v>179</v>
      </c>
      <c r="D14" s="1503"/>
      <c r="E14" s="890" t="str">
        <f>IF('3c. Calculator EEM 2-3'!G17=0,"",'3c. Calculator EEM 2-3'!G17)</f>
        <v/>
      </c>
      <c r="F14" s="885" t="str">
        <f>IF(F21="","",F21&amp;" "&amp;E21)</f>
        <v/>
      </c>
      <c r="G14" s="882"/>
      <c r="H14" s="1523"/>
      <c r="I14" s="1523"/>
      <c r="J14" s="1525"/>
      <c r="K14" s="1525"/>
      <c r="L14" s="1523"/>
      <c r="M14" s="1523"/>
      <c r="N14" s="1526"/>
      <c r="O14" s="1526"/>
      <c r="P14" s="839"/>
      <c r="Q14" s="818"/>
      <c r="R14" s="818"/>
      <c r="S14" s="814"/>
      <c r="T14" s="807"/>
      <c r="U14" s="813"/>
      <c r="V14" s="813"/>
    </row>
    <row r="15" spans="2:22" ht="15" customHeight="1">
      <c r="B15" s="817"/>
      <c r="C15" s="1503" t="s">
        <v>180</v>
      </c>
      <c r="D15" s="1503"/>
      <c r="E15" s="890" t="str">
        <f>IF('3c. Calculator EEM 2-3'!I17=0,"",'3c. Calculator EEM 2-3'!I17)</f>
        <v/>
      </c>
      <c r="F15" s="885" t="str">
        <f>IF(F22="","",F22&amp;" "&amp;E22)</f>
        <v/>
      </c>
      <c r="G15" s="882"/>
      <c r="H15" s="1523"/>
      <c r="I15" s="1523"/>
      <c r="J15" s="1525"/>
      <c r="K15" s="1525"/>
      <c r="L15" s="1523"/>
      <c r="M15" s="1523"/>
      <c r="N15" s="1526"/>
      <c r="O15" s="1526"/>
      <c r="P15" s="839"/>
      <c r="Q15" s="818"/>
      <c r="R15" s="818"/>
      <c r="S15" s="814"/>
      <c r="T15" s="807"/>
      <c r="U15" s="813"/>
      <c r="V15" s="813"/>
    </row>
    <row r="16" spans="2:22" ht="15" customHeight="1">
      <c r="B16" s="817"/>
      <c r="C16" s="1503" t="s">
        <v>181</v>
      </c>
      <c r="D16" s="1503"/>
      <c r="E16" s="890" t="str">
        <f>IF('3c. Calculator EEM 2-3'!K17=0,"",'3c. Calculator EEM 2-3'!K17)</f>
        <v/>
      </c>
      <c r="F16" s="885" t="str">
        <f>IF(F23="","",F23&amp;" "&amp;E23)</f>
        <v/>
      </c>
      <c r="G16" s="882"/>
      <c r="H16" s="1523"/>
      <c r="I16" s="1523"/>
      <c r="J16" s="1525"/>
      <c r="K16" s="1525"/>
      <c r="L16" s="1523"/>
      <c r="M16" s="1523"/>
      <c r="N16" s="1526"/>
      <c r="O16" s="1526"/>
      <c r="P16" s="839"/>
      <c r="Q16" s="818"/>
      <c r="R16" s="818"/>
      <c r="S16" s="814"/>
      <c r="T16" s="807"/>
      <c r="U16" s="813"/>
      <c r="V16" s="813"/>
    </row>
    <row r="17" spans="2:22" ht="15" customHeight="1">
      <c r="B17" s="817"/>
      <c r="C17" s="1503" t="s">
        <v>182</v>
      </c>
      <c r="D17" s="1503"/>
      <c r="E17" s="890" t="str">
        <f>IF('3c. Calculator EEM 2-3'!M17=0,"",'3c. Calculator EEM 2-3'!M17)</f>
        <v/>
      </c>
      <c r="F17" s="885" t="str">
        <f>IF(F24="","",F24&amp;" "&amp;E24)</f>
        <v/>
      </c>
      <c r="G17" s="882"/>
      <c r="H17" s="1523"/>
      <c r="I17" s="1523"/>
      <c r="J17" s="1525"/>
      <c r="K17" s="1525"/>
      <c r="L17" s="1523"/>
      <c r="M17" s="1523"/>
      <c r="N17" s="1526"/>
      <c r="O17" s="1526"/>
      <c r="P17" s="839"/>
      <c r="Q17" s="818"/>
      <c r="R17" s="818"/>
      <c r="S17" s="814"/>
      <c r="T17" s="807"/>
      <c r="U17" s="813"/>
      <c r="V17" s="813"/>
    </row>
    <row r="18" spans="2:22" ht="15" customHeight="1">
      <c r="B18" s="817"/>
      <c r="Q18" s="818"/>
      <c r="R18" s="818"/>
      <c r="S18" s="814"/>
      <c r="T18" s="807"/>
      <c r="U18" s="813"/>
      <c r="V18" s="813"/>
    </row>
    <row r="19" spans="2:22" ht="15" hidden="1" customHeight="1" outlineLevel="1">
      <c r="B19" s="817"/>
      <c r="C19" s="425" t="s">
        <v>1273</v>
      </c>
      <c r="Q19" s="818"/>
      <c r="R19" s="818"/>
      <c r="S19" s="814"/>
      <c r="T19" s="807"/>
      <c r="U19" s="813"/>
      <c r="V19" s="813"/>
    </row>
    <row r="20" spans="2:22" ht="26.25" hidden="1" customHeight="1" outlineLevel="1">
      <c r="B20" s="817"/>
      <c r="C20" s="1505" t="s">
        <v>1269</v>
      </c>
      <c r="D20" s="1506"/>
      <c r="E20" s="763" t="s">
        <v>795</v>
      </c>
      <c r="F20" s="763" t="s">
        <v>1272</v>
      </c>
      <c r="Q20" s="818"/>
      <c r="R20" s="818"/>
      <c r="S20" s="814"/>
      <c r="T20" s="807"/>
      <c r="U20" s="813"/>
      <c r="V20" s="813"/>
    </row>
    <row r="21" spans="2:22" ht="25.5" hidden="1" customHeight="1" outlineLevel="1">
      <c r="B21" s="817"/>
      <c r="C21" s="1507" t="s">
        <v>179</v>
      </c>
      <c r="D21" s="1508"/>
      <c r="E21" s="885" t="s">
        <v>245</v>
      </c>
      <c r="F21" s="885" t="str">
        <f>IF('3c. Calculator EEM 2-3'!G36="","",IF('3c. Calculator EEM 2-3'!G36&lt;3,"New","Existante"))</f>
        <v/>
      </c>
      <c r="Q21" s="818"/>
      <c r="R21" s="818"/>
      <c r="S21" s="814"/>
      <c r="T21" s="807"/>
      <c r="U21" s="813"/>
      <c r="V21" s="813"/>
    </row>
    <row r="22" spans="2:22" ht="25.5" hidden="1" customHeight="1" outlineLevel="1">
      <c r="B22" s="817"/>
      <c r="C22" s="1507" t="s">
        <v>180</v>
      </c>
      <c r="D22" s="1508"/>
      <c r="E22" s="885" t="s">
        <v>245</v>
      </c>
      <c r="F22" s="885" t="str">
        <f>IF('3c. Calculator EEM 2-3'!I36="","",IF('3c. Calculator EEM 2-3'!I36&lt;3,"New","Existante"))</f>
        <v/>
      </c>
      <c r="Q22" s="818"/>
      <c r="R22" s="818"/>
      <c r="S22" s="814"/>
      <c r="T22" s="807"/>
      <c r="U22" s="813"/>
      <c r="V22" s="813"/>
    </row>
    <row r="23" spans="2:22" ht="25.5" hidden="1" customHeight="1" outlineLevel="1">
      <c r="B23" s="817"/>
      <c r="C23" s="1507" t="s">
        <v>181</v>
      </c>
      <c r="D23" s="1508"/>
      <c r="E23" s="885" t="s">
        <v>245</v>
      </c>
      <c r="F23" s="885" t="str">
        <f>IF('3c. Calculator EEM 2-3'!K36="","",IF('3c. Calculator EEM 2-3'!K36&lt;3,"New","Existante"))</f>
        <v/>
      </c>
      <c r="Q23" s="818"/>
      <c r="R23" s="818"/>
      <c r="S23" s="814"/>
      <c r="T23" s="807"/>
      <c r="U23" s="813"/>
      <c r="V23" s="813"/>
    </row>
    <row r="24" spans="2:22" ht="25.5" hidden="1" customHeight="1" outlineLevel="1">
      <c r="B24" s="817"/>
      <c r="C24" s="1507" t="s">
        <v>182</v>
      </c>
      <c r="D24" s="1508"/>
      <c r="E24" s="885" t="s">
        <v>245</v>
      </c>
      <c r="F24" s="885" t="str">
        <f>IF('3c. Calculator EEM 2-3'!M36="","",IF('3c. Calculator EEM 2-3'!M36&lt;3,"New","Existante"))</f>
        <v/>
      </c>
      <c r="Q24" s="818"/>
      <c r="R24" s="818"/>
      <c r="S24" s="814"/>
      <c r="T24" s="807"/>
      <c r="U24" s="813"/>
      <c r="V24" s="813"/>
    </row>
    <row r="25" spans="2:22" ht="15" hidden="1" customHeight="1" outlineLevel="1">
      <c r="B25" s="817"/>
      <c r="Q25" s="818"/>
      <c r="R25" s="818"/>
      <c r="S25" s="814"/>
      <c r="T25" s="807"/>
      <c r="U25" s="813"/>
      <c r="V25" s="813"/>
    </row>
    <row r="26" spans="2:22" ht="33.75" customHeight="1" collapsed="1">
      <c r="B26" s="817"/>
      <c r="C26" s="1514" t="s">
        <v>1275</v>
      </c>
      <c r="D26" s="1515"/>
      <c r="E26" s="1516"/>
      <c r="F26" s="808" t="s">
        <v>1284</v>
      </c>
      <c r="G26" s="808" t="s">
        <v>1323</v>
      </c>
      <c r="H26" s="808" t="s">
        <v>1344</v>
      </c>
      <c r="I26" s="808" t="s">
        <v>1456</v>
      </c>
      <c r="Q26" s="818"/>
      <c r="R26" s="818"/>
      <c r="S26" s="814"/>
      <c r="T26" s="807"/>
      <c r="U26" s="813"/>
      <c r="V26" s="813"/>
    </row>
    <row r="27" spans="2:22" ht="15" customHeight="1">
      <c r="B27" s="817"/>
      <c r="C27" s="1511" t="s">
        <v>1721</v>
      </c>
      <c r="D27" s="1512"/>
      <c r="E27" s="1513"/>
      <c r="F27" s="891" t="str">
        <f>IF(L66=0, "Mesure non installée",L66)</f>
        <v>Mesure non installée</v>
      </c>
      <c r="G27" s="891" t="str" cm="1">
        <f t="array" ref="G27">_xlfn.IFS(F27="Mesure non installée","Mesure non installée",'3b. Calculator - EEM 1'!I148*277.778/Hypothèses!D165=0,0,'3b. Calculator - EEM 1'!I148*277.778/Hypothèses!D165&gt;0,'3b. Calculator - EEM 1'!I148*277.778/Hypothèses!D165)</f>
        <v>Mesure non installée</v>
      </c>
      <c r="H27" s="898">
        <f>'2. Detailed report of costs'!E141</f>
        <v>0</v>
      </c>
      <c r="I27" s="891">
        <f>IF(F27="Mesure non installée",0,1)</f>
        <v>0</v>
      </c>
      <c r="Q27" s="818"/>
      <c r="R27" s="818"/>
      <c r="S27" s="814"/>
      <c r="T27" s="807"/>
      <c r="U27" s="813"/>
      <c r="V27" s="813"/>
    </row>
    <row r="28" spans="2:22" ht="15" customHeight="1">
      <c r="B28" s="817"/>
      <c r="C28" s="1517" t="s">
        <v>1276</v>
      </c>
      <c r="D28" s="1518"/>
      <c r="E28" s="1519"/>
      <c r="F28" s="891" t="str">
        <f>IF(H70=0,"Mesure non installée",H70)</f>
        <v>Mesure non installée</v>
      </c>
      <c r="G28" s="859"/>
      <c r="H28" s="898">
        <f>'2. Detailed report of costs'!F145</f>
        <v>0</v>
      </c>
      <c r="I28" s="891">
        <f t="shared" ref="I28:I35" si="0">IF(F28="Mesure non installée",0,1)</f>
        <v>0</v>
      </c>
      <c r="Q28" s="818"/>
      <c r="R28" s="818"/>
      <c r="S28" s="814"/>
      <c r="T28" s="807"/>
      <c r="U28" s="813"/>
      <c r="V28" s="813"/>
    </row>
    <row r="29" spans="2:22" ht="15" customHeight="1">
      <c r="B29" s="817"/>
      <c r="C29" s="1517" t="s">
        <v>1277</v>
      </c>
      <c r="D29" s="1518"/>
      <c r="E29" s="1519"/>
      <c r="F29" s="891" t="str">
        <f>IF(I70=0,"Mesure non installée",I70)</f>
        <v>Mesure non installée</v>
      </c>
      <c r="G29" s="859"/>
      <c r="H29" s="898">
        <f>'2. Detailed report of costs'!F146</f>
        <v>0</v>
      </c>
      <c r="I29" s="891">
        <f t="shared" si="0"/>
        <v>0</v>
      </c>
      <c r="Q29" s="818"/>
      <c r="R29" s="818"/>
      <c r="S29" s="814"/>
      <c r="T29" s="807"/>
      <c r="U29" s="813"/>
      <c r="V29" s="813"/>
    </row>
    <row r="30" spans="2:22" ht="15" customHeight="1">
      <c r="B30" s="817"/>
      <c r="C30" s="1517" t="s">
        <v>1278</v>
      </c>
      <c r="D30" s="1518"/>
      <c r="E30" s="1519"/>
      <c r="F30" s="891" t="str">
        <f>IF(J70=0,"Mesure non installée",J70)</f>
        <v>Mesure non installée</v>
      </c>
      <c r="G30" s="859"/>
      <c r="H30" s="898">
        <f>'2. Detailed report of costs'!F147</f>
        <v>0</v>
      </c>
      <c r="I30" s="891">
        <f t="shared" si="0"/>
        <v>0</v>
      </c>
      <c r="Q30" s="818"/>
      <c r="R30" s="818"/>
      <c r="S30" s="814"/>
      <c r="T30" s="807"/>
      <c r="U30" s="813"/>
      <c r="V30" s="813"/>
    </row>
    <row r="31" spans="2:22" ht="15" customHeight="1">
      <c r="B31" s="817"/>
      <c r="C31" s="1517" t="s">
        <v>1279</v>
      </c>
      <c r="D31" s="1518"/>
      <c r="E31" s="1519"/>
      <c r="F31" s="891" t="str">
        <f>IF(K70=0,"Mesure non installée",K70)</f>
        <v>Mesure non installée</v>
      </c>
      <c r="G31" s="859"/>
      <c r="H31" s="898">
        <f>'2. Detailed report of costs'!F148</f>
        <v>0</v>
      </c>
      <c r="I31" s="891">
        <f t="shared" si="0"/>
        <v>0</v>
      </c>
      <c r="Q31" s="818"/>
      <c r="R31" s="818"/>
      <c r="S31" s="814"/>
      <c r="T31" s="807"/>
      <c r="U31" s="813"/>
      <c r="V31" s="813"/>
    </row>
    <row r="32" spans="2:22" ht="15" customHeight="1">
      <c r="B32" s="817"/>
      <c r="C32" s="1517" t="s">
        <v>1307</v>
      </c>
      <c r="D32" s="1518"/>
      <c r="E32" s="1519"/>
      <c r="F32" s="891" t="str">
        <f>IF(H74=0,"Mesure non installée",H74)</f>
        <v>Mesure non installée</v>
      </c>
      <c r="G32" s="859"/>
      <c r="H32" s="898">
        <f>'2. Detailed report of costs'!H145</f>
        <v>0</v>
      </c>
      <c r="I32" s="891">
        <f t="shared" si="0"/>
        <v>0</v>
      </c>
      <c r="Q32" s="818"/>
      <c r="R32" s="818"/>
      <c r="S32" s="814"/>
      <c r="T32" s="807"/>
      <c r="U32" s="813"/>
      <c r="V32" s="813"/>
    </row>
    <row r="33" spans="2:22" ht="15" customHeight="1">
      <c r="B33" s="817"/>
      <c r="C33" s="1517" t="s">
        <v>1308</v>
      </c>
      <c r="D33" s="1518"/>
      <c r="E33" s="1519"/>
      <c r="F33" s="891" t="str">
        <f>IF(I74=0,"Mesure non installée",I74)</f>
        <v>Mesure non installée</v>
      </c>
      <c r="G33" s="859"/>
      <c r="H33" s="898">
        <f>'2. Detailed report of costs'!H146</f>
        <v>0</v>
      </c>
      <c r="I33" s="891">
        <f t="shared" si="0"/>
        <v>0</v>
      </c>
      <c r="Q33" s="818"/>
      <c r="R33" s="818"/>
      <c r="S33" s="814"/>
      <c r="T33" s="807"/>
      <c r="U33" s="813"/>
      <c r="V33" s="813"/>
    </row>
    <row r="34" spans="2:22" ht="15.6">
      <c r="B34" s="817"/>
      <c r="C34" s="1517" t="s">
        <v>1309</v>
      </c>
      <c r="D34" s="1518"/>
      <c r="E34" s="1519"/>
      <c r="F34" s="891" t="str">
        <f>IF(J74=0,"Mesure non installée",J74)</f>
        <v>Mesure non installée</v>
      </c>
      <c r="G34" s="859"/>
      <c r="H34" s="898">
        <f>'2. Detailed report of costs'!H147</f>
        <v>0</v>
      </c>
      <c r="I34" s="891">
        <f t="shared" si="0"/>
        <v>0</v>
      </c>
      <c r="Q34" s="818"/>
      <c r="R34" s="818"/>
      <c r="S34" s="814"/>
      <c r="T34" s="807"/>
      <c r="U34" s="813"/>
      <c r="V34" s="813"/>
    </row>
    <row r="35" spans="2:22" ht="15.6">
      <c r="B35" s="817"/>
      <c r="C35" s="1517" t="s">
        <v>1310</v>
      </c>
      <c r="D35" s="1518"/>
      <c r="E35" s="1519"/>
      <c r="F35" s="891" t="str">
        <f>IF(K74=0,"Mesure non installée",K74)</f>
        <v>Mesure non installée</v>
      </c>
      <c r="G35" s="859"/>
      <c r="H35" s="898">
        <f>'2. Detailed report of costs'!H148</f>
        <v>0</v>
      </c>
      <c r="I35" s="891">
        <f t="shared" si="0"/>
        <v>0</v>
      </c>
      <c r="Q35" s="818"/>
      <c r="R35" s="818"/>
      <c r="S35" s="814"/>
      <c r="T35" s="807"/>
      <c r="U35" s="813"/>
      <c r="V35" s="813"/>
    </row>
    <row r="36" spans="2:22">
      <c r="B36" s="817"/>
      <c r="D36" s="814"/>
      <c r="E36" s="814"/>
      <c r="F36" s="814"/>
      <c r="G36" s="824"/>
      <c r="H36" s="899" t="s">
        <v>18</v>
      </c>
      <c r="I36" s="900">
        <f>SUM(I27:I35)</f>
        <v>0</v>
      </c>
      <c r="J36" s="813"/>
      <c r="K36" s="818"/>
      <c r="L36" s="818"/>
      <c r="M36" s="818"/>
      <c r="N36" s="818"/>
      <c r="O36" s="818"/>
      <c r="P36" s="818"/>
      <c r="Q36" s="818"/>
      <c r="R36" s="818"/>
      <c r="S36" s="814"/>
      <c r="T36" s="807"/>
      <c r="U36" s="813"/>
      <c r="V36" s="813"/>
    </row>
    <row r="37" spans="2:22">
      <c r="B37" s="817"/>
      <c r="C37" s="1535" t="s">
        <v>1345</v>
      </c>
      <c r="D37" s="1535"/>
      <c r="E37" s="951">
        <f>'4. Request for payment'!G64</f>
        <v>0</v>
      </c>
      <c r="F37" s="814"/>
      <c r="G37" s="824"/>
      <c r="H37" s="827"/>
      <c r="I37" s="818"/>
      <c r="J37" s="813"/>
      <c r="K37" s="818"/>
      <c r="L37" s="818"/>
      <c r="M37" s="818"/>
      <c r="N37" s="818"/>
      <c r="O37" s="818"/>
      <c r="P37" s="818"/>
      <c r="Q37" s="818"/>
      <c r="R37" s="818"/>
      <c r="S37" s="814"/>
      <c r="T37" s="807"/>
      <c r="U37" s="813"/>
      <c r="V37" s="813"/>
    </row>
    <row r="38" spans="2:22">
      <c r="B38" s="817"/>
      <c r="D38" s="814"/>
      <c r="E38" s="814"/>
      <c r="F38" s="814"/>
      <c r="G38" s="824"/>
      <c r="H38" s="827"/>
      <c r="I38" s="818"/>
      <c r="J38" s="813"/>
      <c r="K38" s="818"/>
      <c r="L38" s="818"/>
      <c r="M38" s="818"/>
      <c r="N38" s="818"/>
      <c r="O38" s="818"/>
      <c r="P38" s="818"/>
      <c r="Q38" s="818"/>
      <c r="R38" s="818"/>
      <c r="S38" s="814"/>
      <c r="T38" s="807"/>
      <c r="U38" s="813"/>
      <c r="V38" s="813"/>
    </row>
    <row r="39" spans="2:22" ht="15" customHeight="1">
      <c r="C39" s="828" t="s">
        <v>1374</v>
      </c>
      <c r="D39" s="814"/>
      <c r="E39" s="814"/>
      <c r="F39" s="814"/>
      <c r="G39" s="824"/>
      <c r="H39" s="827"/>
      <c r="I39" s="818"/>
      <c r="J39" s="813"/>
      <c r="K39" s="818"/>
      <c r="L39" s="818"/>
      <c r="M39" s="818"/>
      <c r="N39" s="818"/>
      <c r="O39" s="818"/>
      <c r="P39" s="818"/>
      <c r="Q39" s="818"/>
      <c r="R39" s="818"/>
      <c r="S39" s="814"/>
      <c r="T39" s="807"/>
      <c r="U39" s="813"/>
      <c r="V39" s="813"/>
    </row>
    <row r="40" spans="2:22" ht="15" customHeight="1">
      <c r="C40" s="856"/>
      <c r="D40" s="814"/>
      <c r="E40" s="814"/>
      <c r="F40" s="814"/>
      <c r="G40" s="824"/>
      <c r="H40" s="827"/>
      <c r="I40" s="818"/>
      <c r="J40" s="813"/>
      <c r="K40" s="818"/>
      <c r="L40" s="818"/>
      <c r="M40" s="818"/>
      <c r="N40" s="818"/>
      <c r="O40" s="818"/>
      <c r="P40" s="818"/>
      <c r="Q40" s="818"/>
      <c r="R40" s="818"/>
      <c r="S40" s="814"/>
      <c r="T40" s="807"/>
      <c r="U40" s="813"/>
      <c r="V40" s="813"/>
    </row>
    <row r="41" spans="2:22" ht="60" customHeight="1">
      <c r="C41" s="1505" t="s">
        <v>1390</v>
      </c>
      <c r="D41" s="1506"/>
      <c r="E41" s="883" t="s">
        <v>1316</v>
      </c>
      <c r="F41" s="883" t="s">
        <v>1324</v>
      </c>
      <c r="G41" s="886" t="s">
        <v>1376</v>
      </c>
      <c r="H41" s="886" t="s">
        <v>1377</v>
      </c>
      <c r="I41" s="818"/>
      <c r="J41" s="813"/>
      <c r="K41" s="818"/>
      <c r="L41" s="818"/>
      <c r="M41" s="818"/>
      <c r="N41" s="818"/>
      <c r="O41" s="818"/>
      <c r="P41" s="818"/>
      <c r="Q41" s="818"/>
      <c r="R41" s="818"/>
      <c r="S41" s="814"/>
      <c r="T41" s="807"/>
      <c r="U41" s="813"/>
      <c r="V41" s="813"/>
    </row>
    <row r="42" spans="2:22" ht="15" customHeight="1">
      <c r="C42" s="1509" t="s">
        <v>1281</v>
      </c>
      <c r="D42" s="1510"/>
      <c r="E42" s="1534">
        <v>3</v>
      </c>
      <c r="F42" s="892">
        <v>0.1</v>
      </c>
      <c r="G42" s="887"/>
      <c r="H42" s="887"/>
      <c r="I42" s="818"/>
      <c r="J42" s="813"/>
      <c r="K42" s="818"/>
      <c r="L42" s="818"/>
      <c r="M42" s="818"/>
      <c r="N42" s="818"/>
      <c r="O42" s="818"/>
      <c r="P42" s="818"/>
      <c r="Q42" s="818"/>
      <c r="R42" s="818"/>
      <c r="S42" s="814"/>
      <c r="T42" s="807"/>
      <c r="U42" s="813"/>
      <c r="V42" s="813"/>
    </row>
    <row r="43" spans="2:22" ht="15" customHeight="1">
      <c r="C43" s="1509" t="s">
        <v>1282</v>
      </c>
      <c r="D43" s="1510"/>
      <c r="E43" s="1534"/>
      <c r="F43" s="892">
        <v>0.1</v>
      </c>
      <c r="G43" s="1483">
        <v>0.8</v>
      </c>
      <c r="H43" s="1483">
        <v>0.97</v>
      </c>
      <c r="I43" s="818"/>
      <c r="J43" s="813"/>
      <c r="K43" s="818"/>
      <c r="L43" s="818"/>
      <c r="M43" s="818"/>
      <c r="N43" s="818"/>
      <c r="O43" s="818"/>
      <c r="P43" s="818"/>
      <c r="Q43" s="818"/>
      <c r="R43" s="818"/>
      <c r="S43" s="814"/>
      <c r="T43" s="807"/>
      <c r="U43" s="813"/>
      <c r="V43" s="813"/>
    </row>
    <row r="44" spans="2:22" ht="15" customHeight="1">
      <c r="C44" s="1509" t="s">
        <v>1375</v>
      </c>
      <c r="D44" s="1510"/>
      <c r="E44" s="1534"/>
      <c r="F44" s="892">
        <v>0.05</v>
      </c>
      <c r="G44" s="1483"/>
      <c r="H44" s="1483"/>
      <c r="I44" s="818"/>
      <c r="J44" s="813"/>
      <c r="K44" s="818"/>
      <c r="L44" s="818"/>
      <c r="M44" s="818"/>
      <c r="N44" s="818"/>
      <c r="O44" s="818"/>
      <c r="P44" s="818"/>
      <c r="Q44" s="818"/>
      <c r="R44" s="818"/>
      <c r="S44" s="814"/>
      <c r="T44" s="807"/>
      <c r="U44" s="813"/>
      <c r="V44" s="813"/>
    </row>
    <row r="45" spans="2:22" ht="15" customHeight="1">
      <c r="C45" s="856"/>
      <c r="D45" s="814"/>
      <c r="E45" s="814"/>
      <c r="F45" s="814"/>
      <c r="G45" s="824"/>
      <c r="H45" s="827"/>
      <c r="I45" s="818"/>
      <c r="J45" s="813"/>
      <c r="K45" s="818"/>
      <c r="L45" s="818"/>
      <c r="M45" s="818"/>
      <c r="N45" s="818"/>
      <c r="O45" s="818"/>
      <c r="P45" s="818"/>
      <c r="Q45" s="818"/>
      <c r="R45" s="818"/>
      <c r="S45" s="814"/>
      <c r="T45" s="807"/>
      <c r="U45" s="813"/>
      <c r="V45" s="813"/>
    </row>
    <row r="46" spans="2:22" ht="15" customHeight="1">
      <c r="B46" s="817"/>
      <c r="C46" s="812" t="s">
        <v>1298</v>
      </c>
      <c r="D46" s="814"/>
      <c r="E46" s="814"/>
      <c r="F46" s="814"/>
      <c r="G46" s="824"/>
      <c r="H46" s="827"/>
      <c r="I46" s="818"/>
      <c r="J46" s="813"/>
      <c r="K46" s="818"/>
      <c r="L46" s="818"/>
      <c r="M46" s="818"/>
      <c r="N46" s="818"/>
      <c r="O46" s="818"/>
      <c r="P46" s="818"/>
      <c r="Q46" s="818"/>
      <c r="R46" s="818"/>
      <c r="S46" s="814"/>
      <c r="T46" s="807"/>
      <c r="U46" s="813"/>
      <c r="V46" s="813"/>
    </row>
    <row r="47" spans="2:22" ht="15" customHeight="1">
      <c r="B47" s="817"/>
      <c r="C47" s="841"/>
      <c r="D47" s="814"/>
      <c r="E47" s="814"/>
      <c r="F47" s="814"/>
      <c r="G47" s="824"/>
      <c r="H47" s="827"/>
      <c r="I47" s="818"/>
      <c r="J47" s="813"/>
      <c r="K47" s="818"/>
      <c r="L47" s="818"/>
      <c r="M47" s="818"/>
      <c r="N47" s="818"/>
      <c r="O47" s="818"/>
      <c r="P47" s="818"/>
      <c r="Q47" s="818"/>
      <c r="R47" s="818"/>
      <c r="S47" s="814"/>
      <c r="T47" s="807"/>
      <c r="U47" s="813"/>
      <c r="V47" s="813"/>
    </row>
    <row r="48" spans="2:22" s="758" customFormat="1" ht="74.25" customHeight="1">
      <c r="B48" s="845"/>
      <c r="C48" s="1504" t="s">
        <v>19</v>
      </c>
      <c r="D48" s="1504"/>
      <c r="E48" s="1504"/>
      <c r="F48" s="848" t="s">
        <v>1321</v>
      </c>
      <c r="G48" s="848" t="s">
        <v>200</v>
      </c>
      <c r="H48" s="848" t="s">
        <v>1301</v>
      </c>
      <c r="I48" s="848" t="s">
        <v>1311</v>
      </c>
      <c r="J48" s="848" t="s">
        <v>1304</v>
      </c>
      <c r="K48" s="849" t="s">
        <v>1305</v>
      </c>
      <c r="L48" s="818"/>
      <c r="M48" s="844"/>
      <c r="N48" s="844"/>
      <c r="O48" s="888" t="s">
        <v>1391</v>
      </c>
      <c r="P48" s="844"/>
      <c r="Q48" s="844"/>
      <c r="R48" s="844"/>
      <c r="S48" s="846"/>
      <c r="T48" s="845"/>
      <c r="U48" s="847"/>
      <c r="V48" s="847"/>
    </row>
    <row r="49" spans="2:22" ht="29.25" customHeight="1">
      <c r="B49" s="817"/>
      <c r="C49" s="1531" t="s">
        <v>1317</v>
      </c>
      <c r="D49" s="1532"/>
      <c r="E49" s="1533"/>
      <c r="F49" s="893">
        <f>625*2</f>
        <v>1250</v>
      </c>
      <c r="G49" s="894" t="s">
        <v>1302</v>
      </c>
      <c r="H49" s="895">
        <f>SUM('3b. Calculator - EEM 1'!I36:I55)</f>
        <v>0</v>
      </c>
      <c r="I49" s="859"/>
      <c r="J49" s="893">
        <f t="shared" ref="J49:J54" si="1">F49*H49</f>
        <v>0</v>
      </c>
      <c r="K49" s="1485">
        <f>'2. Detailed report of costs'!E141</f>
        <v>0</v>
      </c>
      <c r="L49" s="818"/>
      <c r="M49" s="1489" t="s">
        <v>22</v>
      </c>
      <c r="N49" s="1490"/>
      <c r="O49" s="1484" t="str">
        <f>IF(K49&gt;3*(J49+J50+J51+J52),"Oui","Non")</f>
        <v>Non</v>
      </c>
      <c r="P49" s="818"/>
      <c r="Q49" s="818"/>
      <c r="R49" s="818"/>
      <c r="S49" s="814"/>
      <c r="T49" s="807"/>
      <c r="U49" s="813"/>
      <c r="V49" s="813"/>
    </row>
    <row r="50" spans="2:22" ht="15" customHeight="1">
      <c r="B50" s="817"/>
      <c r="C50" s="1528" t="s">
        <v>1318</v>
      </c>
      <c r="D50" s="1529"/>
      <c r="E50" s="1530"/>
      <c r="F50" s="893">
        <f>5000*1.5</f>
        <v>7500</v>
      </c>
      <c r="G50" s="894" t="s">
        <v>1302</v>
      </c>
      <c r="H50" s="895">
        <f>SUM('3b. Calculator - EEM 1'!I60:I69)</f>
        <v>0</v>
      </c>
      <c r="I50" s="859"/>
      <c r="J50" s="893">
        <f t="shared" si="1"/>
        <v>0</v>
      </c>
      <c r="K50" s="1486"/>
      <c r="M50" s="1489"/>
      <c r="N50" s="1490"/>
      <c r="O50" s="1484"/>
      <c r="P50" s="818"/>
      <c r="Q50" s="818"/>
      <c r="R50" s="818"/>
      <c r="S50" s="814"/>
      <c r="T50" s="807"/>
      <c r="U50" s="813"/>
      <c r="V50" s="813"/>
    </row>
    <row r="51" spans="2:22" ht="15" customHeight="1">
      <c r="B51" s="817"/>
      <c r="C51" s="1528" t="s">
        <v>1319</v>
      </c>
      <c r="D51" s="1529"/>
      <c r="E51" s="1530"/>
      <c r="F51" s="893">
        <f>8000*1.5</f>
        <v>12000</v>
      </c>
      <c r="G51" s="894" t="s">
        <v>1302</v>
      </c>
      <c r="H51" s="895">
        <f>SUM('3b. Calculator - EEM 1'!I74:I83)</f>
        <v>0</v>
      </c>
      <c r="I51" s="859"/>
      <c r="J51" s="893">
        <f t="shared" si="1"/>
        <v>0</v>
      </c>
      <c r="K51" s="1486"/>
      <c r="M51" s="1489"/>
      <c r="N51" s="1490"/>
      <c r="O51" s="1484"/>
      <c r="P51" s="818"/>
      <c r="Q51" s="818"/>
      <c r="R51" s="818"/>
      <c r="S51" s="814"/>
      <c r="T51" s="807"/>
      <c r="U51" s="813"/>
      <c r="V51" s="813"/>
    </row>
    <row r="52" spans="2:22" ht="15" customHeight="1">
      <c r="B52" s="817"/>
      <c r="C52" s="1528" t="s">
        <v>1320</v>
      </c>
      <c r="D52" s="1529"/>
      <c r="E52" s="1530"/>
      <c r="F52" s="893">
        <f>F51</f>
        <v>12000</v>
      </c>
      <c r="G52" s="894" t="s">
        <v>1302</v>
      </c>
      <c r="H52" s="895">
        <f>SUM('3b. Calculator - EEM 1'!I88:I97)</f>
        <v>0</v>
      </c>
      <c r="I52" s="859"/>
      <c r="J52" s="893">
        <f t="shared" si="1"/>
        <v>0</v>
      </c>
      <c r="K52" s="1487"/>
      <c r="M52" s="1489"/>
      <c r="N52" s="1490"/>
      <c r="O52" s="1484"/>
      <c r="P52" s="818"/>
      <c r="Q52" s="818"/>
      <c r="R52" s="818"/>
      <c r="S52" s="814"/>
      <c r="T52" s="807"/>
      <c r="U52" s="813"/>
      <c r="V52" s="813"/>
    </row>
    <row r="53" spans="2:22" ht="15" customHeight="1">
      <c r="B53" s="817"/>
      <c r="C53" s="1527" t="s">
        <v>14</v>
      </c>
      <c r="D53" s="1527"/>
      <c r="E53" s="1527"/>
      <c r="F53" s="893">
        <v>51471</v>
      </c>
      <c r="G53" s="894" t="s">
        <v>1303</v>
      </c>
      <c r="H53" s="896">
        <f>COUNTIF('4. Request for payment'!D26:G26,"&gt;0")</f>
        <v>0</v>
      </c>
      <c r="I53" s="859"/>
      <c r="J53" s="893">
        <f t="shared" si="1"/>
        <v>0</v>
      </c>
      <c r="K53" s="893">
        <f>'2. Detailed report of costs'!F141</f>
        <v>0</v>
      </c>
      <c r="M53" s="818"/>
      <c r="N53" s="857" t="s">
        <v>14</v>
      </c>
      <c r="O53" s="850" t="str">
        <f>IF(K53&gt;3*J53,"Oui","Non")</f>
        <v>Non</v>
      </c>
      <c r="P53" s="818"/>
      <c r="Q53" s="818"/>
      <c r="R53" s="818"/>
      <c r="S53" s="814"/>
      <c r="T53" s="807"/>
      <c r="U53" s="813"/>
      <c r="V53" s="813"/>
    </row>
    <row r="54" spans="2:22" ht="15" customHeight="1">
      <c r="B54" s="817"/>
      <c r="C54" s="1527" t="s">
        <v>1306</v>
      </c>
      <c r="D54" s="1527"/>
      <c r="E54" s="1527"/>
      <c r="F54" s="893">
        <v>16250</v>
      </c>
      <c r="G54" s="894" t="s">
        <v>1303</v>
      </c>
      <c r="H54" s="896">
        <f>COUNTIF('4. Request for payment'!D28:G28,"&gt;0")</f>
        <v>0</v>
      </c>
      <c r="I54" s="859"/>
      <c r="J54" s="893">
        <f t="shared" si="1"/>
        <v>0</v>
      </c>
      <c r="K54" s="893">
        <f>'2. Detailed report of costs'!H141</f>
        <v>0</v>
      </c>
      <c r="M54" s="818"/>
      <c r="N54" s="857" t="s">
        <v>1315</v>
      </c>
      <c r="O54" s="850" t="str">
        <f>IF(K54&gt;3*J54,"Oui","Non")</f>
        <v>Non</v>
      </c>
      <c r="P54" s="818"/>
      <c r="Q54" s="818"/>
      <c r="R54" s="818"/>
      <c r="S54" s="814"/>
      <c r="T54" s="807"/>
      <c r="U54" s="813"/>
      <c r="V54" s="813"/>
    </row>
    <row r="55" spans="2:22" ht="15" customHeight="1">
      <c r="B55" s="817"/>
      <c r="D55" s="814"/>
      <c r="E55" s="814"/>
      <c r="F55" s="814"/>
      <c r="G55" s="824"/>
      <c r="H55" s="827"/>
      <c r="I55" s="818"/>
      <c r="J55" s="813"/>
      <c r="K55" s="818"/>
      <c r="L55" s="818"/>
      <c r="M55" s="818"/>
      <c r="N55" s="818"/>
      <c r="O55" s="818"/>
      <c r="P55" s="818"/>
      <c r="Q55" s="818"/>
      <c r="R55" s="818"/>
      <c r="S55" s="814"/>
      <c r="T55" s="807"/>
      <c r="U55" s="813"/>
      <c r="V55" s="813"/>
    </row>
    <row r="56" spans="2:22" ht="15" customHeight="1">
      <c r="B56" s="817"/>
      <c r="C56" s="812" t="s">
        <v>1299</v>
      </c>
      <c r="D56" s="814"/>
      <c r="E56" s="814"/>
      <c r="F56" s="814"/>
      <c r="G56" s="824"/>
      <c r="H56" s="827"/>
      <c r="I56" s="818"/>
      <c r="J56" s="813"/>
      <c r="K56" s="818"/>
      <c r="L56" s="818"/>
      <c r="M56" s="818"/>
      <c r="N56" s="818"/>
      <c r="O56" s="818"/>
      <c r="P56" s="818"/>
      <c r="Q56" s="818"/>
      <c r="R56" s="818"/>
      <c r="S56" s="814"/>
      <c r="T56" s="807"/>
      <c r="U56" s="813"/>
      <c r="V56" s="813"/>
    </row>
    <row r="57" spans="2:22" ht="35.25" customHeight="1">
      <c r="B57" s="817"/>
      <c r="C57" s="841"/>
      <c r="D57" s="814"/>
      <c r="E57" s="814"/>
      <c r="F57" s="814"/>
      <c r="G57" s="824"/>
      <c r="H57" s="827"/>
      <c r="I57" s="818"/>
      <c r="K57" s="818"/>
      <c r="L57" s="818"/>
      <c r="M57" s="818"/>
      <c r="N57" s="1481" t="s">
        <v>1392</v>
      </c>
      <c r="O57" s="1481"/>
      <c r="P57" s="1481"/>
      <c r="Q57" s="818"/>
      <c r="R57" s="818"/>
      <c r="S57" s="814"/>
      <c r="T57" s="807"/>
      <c r="U57" s="813"/>
      <c r="V57" s="813"/>
    </row>
    <row r="58" spans="2:22" ht="15" customHeight="1">
      <c r="B58" s="817"/>
      <c r="C58" s="812"/>
      <c r="D58" s="814"/>
      <c r="E58" s="814"/>
      <c r="F58" s="814"/>
      <c r="G58" s="842" t="s">
        <v>1312</v>
      </c>
      <c r="H58" s="843">
        <f>'3c. Calculator EEM 2-3'!I103</f>
        <v>0</v>
      </c>
      <c r="I58" s="820" t="s">
        <v>1296</v>
      </c>
      <c r="K58" s="818"/>
      <c r="L58" s="818"/>
      <c r="M58" s="818"/>
      <c r="N58" s="818"/>
      <c r="O58" s="813"/>
      <c r="P58" s="818"/>
      <c r="Q58" s="818"/>
      <c r="R58" s="818"/>
      <c r="S58" s="814"/>
      <c r="T58" s="807"/>
      <c r="U58" s="813"/>
      <c r="V58" s="813"/>
    </row>
    <row r="59" spans="2:22" ht="15" customHeight="1">
      <c r="B59" s="817"/>
      <c r="D59" s="814"/>
      <c r="E59" s="814"/>
      <c r="F59" s="814"/>
      <c r="G59" s="824"/>
      <c r="H59" s="827"/>
      <c r="I59" s="818"/>
      <c r="K59" s="818"/>
      <c r="L59" s="818"/>
      <c r="M59" s="818"/>
      <c r="N59" s="818"/>
      <c r="O59" s="160" t="str">
        <f>IF(H58&gt;H60,"Oui","Non")</f>
        <v>Non</v>
      </c>
      <c r="P59" s="818"/>
      <c r="Q59" s="818"/>
      <c r="R59" s="818"/>
      <c r="S59" s="814"/>
      <c r="T59" s="807"/>
      <c r="U59" s="813"/>
      <c r="V59" s="813"/>
    </row>
    <row r="60" spans="2:22" ht="15" customHeight="1">
      <c r="B60" s="817"/>
      <c r="D60" s="814"/>
      <c r="E60" s="814"/>
      <c r="F60" s="814"/>
      <c r="G60" s="829" t="s">
        <v>1313</v>
      </c>
      <c r="H60" s="843">
        <f>H6</f>
        <v>0</v>
      </c>
      <c r="I60" s="820" t="s">
        <v>1296</v>
      </c>
      <c r="J60" s="813"/>
      <c r="K60" s="818"/>
      <c r="L60" s="818"/>
      <c r="M60" s="818"/>
      <c r="N60" s="818"/>
      <c r="O60" s="818"/>
      <c r="P60" s="818"/>
      <c r="Q60" s="818"/>
      <c r="R60" s="818"/>
      <c r="S60" s="814"/>
      <c r="T60" s="807"/>
      <c r="U60" s="813"/>
      <c r="V60" s="813"/>
    </row>
    <row r="61" spans="2:22" ht="15" customHeight="1">
      <c r="B61" s="817"/>
      <c r="D61" s="814"/>
      <c r="E61" s="814"/>
      <c r="F61" s="814"/>
      <c r="G61" s="824"/>
      <c r="H61" s="827"/>
      <c r="I61" s="818"/>
      <c r="J61" s="813"/>
      <c r="K61" s="818"/>
      <c r="L61" s="818"/>
      <c r="M61" s="818"/>
      <c r="N61" s="818"/>
      <c r="O61" s="818"/>
      <c r="P61" s="818"/>
      <c r="Q61" s="818"/>
      <c r="R61" s="818"/>
      <c r="S61" s="814"/>
      <c r="T61" s="807"/>
      <c r="U61" s="813"/>
      <c r="V61" s="813"/>
    </row>
    <row r="62" spans="2:22" ht="15" customHeight="1">
      <c r="C62" s="841" t="s">
        <v>1300</v>
      </c>
      <c r="D62" s="814"/>
      <c r="E62" s="814"/>
      <c r="F62" s="814"/>
      <c r="G62" s="814"/>
      <c r="H62" s="820"/>
      <c r="I62" s="818"/>
      <c r="J62" s="820"/>
      <c r="K62" s="818"/>
      <c r="L62" s="820"/>
      <c r="M62" s="818"/>
      <c r="N62" s="820"/>
      <c r="O62" s="820"/>
      <c r="P62" s="820"/>
      <c r="Q62" s="820"/>
      <c r="R62" s="820"/>
      <c r="S62" s="814"/>
      <c r="T62" s="813"/>
      <c r="U62" s="813"/>
      <c r="V62" s="813"/>
    </row>
    <row r="63" spans="2:22" ht="15" customHeight="1">
      <c r="C63" s="812"/>
      <c r="D63" s="814"/>
      <c r="E63" s="814"/>
      <c r="F63" s="814"/>
      <c r="G63" s="814"/>
      <c r="H63" s="1488" t="s">
        <v>965</v>
      </c>
      <c r="I63" s="1488"/>
      <c r="J63" s="1488"/>
      <c r="K63" s="1488"/>
      <c r="L63" s="1488"/>
      <c r="M63" s="1488"/>
      <c r="N63" s="820"/>
      <c r="O63" s="820"/>
      <c r="P63" s="820"/>
      <c r="Q63" s="820"/>
      <c r="R63" s="820"/>
      <c r="S63" s="814"/>
      <c r="T63" s="813"/>
      <c r="U63" s="813"/>
      <c r="V63" s="813"/>
    </row>
    <row r="64" spans="2:22" ht="33" customHeight="1">
      <c r="B64" s="817"/>
      <c r="C64" s="813"/>
      <c r="D64" s="814"/>
      <c r="E64" s="814"/>
      <c r="F64" s="814"/>
      <c r="G64" s="814"/>
      <c r="H64" s="818" t="s">
        <v>179</v>
      </c>
      <c r="I64" s="818" t="s">
        <v>180</v>
      </c>
      <c r="J64" s="818" t="s">
        <v>181</v>
      </c>
      <c r="K64" s="818" t="s">
        <v>182</v>
      </c>
      <c r="L64" s="818" t="s">
        <v>1358</v>
      </c>
      <c r="M64" s="818" t="s">
        <v>1264</v>
      </c>
      <c r="N64" s="1481" t="s">
        <v>1393</v>
      </c>
      <c r="O64" s="1481"/>
      <c r="P64" s="1481"/>
      <c r="Q64" s="818"/>
      <c r="V64" s="813"/>
    </row>
    <row r="65" spans="2:22" ht="5.25" customHeight="1">
      <c r="B65" s="817"/>
      <c r="C65" s="813"/>
      <c r="D65" s="814"/>
      <c r="E65" s="814"/>
      <c r="F65" s="814"/>
      <c r="G65" s="814"/>
      <c r="H65" s="820"/>
      <c r="I65" s="820"/>
      <c r="J65" s="820"/>
      <c r="K65" s="820"/>
      <c r="L65" s="820"/>
      <c r="M65" s="820"/>
      <c r="N65" s="814"/>
      <c r="O65" s="813"/>
      <c r="Q65" s="820"/>
      <c r="V65" s="813"/>
    </row>
    <row r="66" spans="2:22" ht="15" customHeight="1">
      <c r="B66" s="817"/>
      <c r="C66" s="416"/>
      <c r="D66" s="814"/>
      <c r="E66" s="814"/>
      <c r="F66" s="814"/>
      <c r="G66" s="824" t="s">
        <v>1265</v>
      </c>
      <c r="H66" s="859"/>
      <c r="I66" s="859"/>
      <c r="J66" s="859"/>
      <c r="K66" s="859"/>
      <c r="L66" s="809">
        <f>IF('3b. Calculator - EEM 1'!$G$148="-",0,'3b. Calculator - EEM 1'!$G$148)</f>
        <v>0</v>
      </c>
      <c r="M66" s="809">
        <f>L66</f>
        <v>0</v>
      </c>
      <c r="N66" s="823" t="s">
        <v>1197</v>
      </c>
      <c r="O66" s="160" t="str">
        <f>IF(L68&gt;F42,"Oui","Non")</f>
        <v>Non</v>
      </c>
      <c r="Q66" s="820"/>
      <c r="V66" s="823"/>
    </row>
    <row r="67" spans="2:22" ht="5.25" customHeight="1">
      <c r="B67" s="817"/>
      <c r="C67" s="416"/>
      <c r="D67" s="814"/>
      <c r="E67" s="814"/>
      <c r="F67" s="814"/>
      <c r="G67" s="824"/>
      <c r="H67" s="820"/>
      <c r="I67" s="820"/>
      <c r="J67" s="820"/>
      <c r="K67" s="820"/>
      <c r="L67" s="820"/>
      <c r="M67" s="820"/>
      <c r="N67" s="813"/>
      <c r="O67" s="821"/>
      <c r="Q67" s="820"/>
      <c r="V67" s="813"/>
    </row>
    <row r="68" spans="2:22" ht="15" customHeight="1">
      <c r="B68" s="817"/>
      <c r="D68" s="814"/>
      <c r="E68" s="814"/>
      <c r="F68" s="814"/>
      <c r="G68" s="824"/>
      <c r="H68" s="820"/>
      <c r="I68" s="820"/>
      <c r="J68" s="820"/>
      <c r="K68" s="820"/>
      <c r="L68" s="858">
        <f>IF(L66=0,0,L66/H6)</f>
        <v>0</v>
      </c>
      <c r="M68" s="820"/>
      <c r="N68" s="813"/>
      <c r="O68" s="821"/>
      <c r="Q68" s="820"/>
      <c r="V68" s="813"/>
    </row>
    <row r="69" spans="2:22" ht="5.25" customHeight="1">
      <c r="B69" s="817"/>
      <c r="D69" s="814"/>
      <c r="E69" s="814"/>
      <c r="F69" s="814"/>
      <c r="G69" s="824"/>
      <c r="H69" s="820"/>
      <c r="I69" s="820"/>
      <c r="J69" s="820"/>
      <c r="K69" s="820"/>
      <c r="L69" s="820"/>
      <c r="M69" s="820"/>
      <c r="N69" s="813"/>
      <c r="O69" s="821"/>
      <c r="Q69" s="820"/>
      <c r="V69" s="813"/>
    </row>
    <row r="70" spans="2:22" ht="15" customHeight="1">
      <c r="B70" s="817"/>
      <c r="D70" s="814"/>
      <c r="E70" s="814"/>
      <c r="F70" s="814"/>
      <c r="G70" s="824" t="s">
        <v>1266</v>
      </c>
      <c r="H70" s="809">
        <f>IF('3c. Calculator EEM 2-3'!$G$107="-",0,'3c. Calculator EEM 2-3'!$G$107)</f>
        <v>0</v>
      </c>
      <c r="I70" s="809">
        <f>IF('3c. Calculator EEM 2-3'!$I$107="-",0,'3c. Calculator EEM 2-3'!$I$107)</f>
        <v>0</v>
      </c>
      <c r="J70" s="809">
        <f>IF('3c. Calculator EEM 2-3'!$K$107="-",0,'3c. Calculator EEM 2-3'!$K$107)</f>
        <v>0</v>
      </c>
      <c r="K70" s="809">
        <f>IF('3c. Calculator EEM 2-3'!$M$107="-",0,'3c. Calculator EEM 2-3'!$M$107)</f>
        <v>0</v>
      </c>
      <c r="L70" s="859"/>
      <c r="M70" s="809">
        <f>H70+I70+J70+K70</f>
        <v>0</v>
      </c>
      <c r="N70" s="823" t="s">
        <v>1197</v>
      </c>
      <c r="O70" s="160" t="str" cm="1">
        <f t="array" ref="O70">_xlfn.IFS(H72&gt;$F$43,"Oui",I72&gt;$F$43,"Oui",J72&gt;$F$43,"Oui",K72&gt;$F$43,"Oui",H72&lt;=$F$43,"Non",I72&lt;=$F$43,"Non",J72&lt;=$F$43,"Non",K72&lt;=$F$43,"Non")</f>
        <v>Non</v>
      </c>
      <c r="Q70" s="818"/>
      <c r="V70" s="813"/>
    </row>
    <row r="71" spans="2:22" ht="6.75" customHeight="1">
      <c r="B71" s="817"/>
      <c r="D71" s="814"/>
      <c r="E71" s="814"/>
      <c r="F71" s="814"/>
      <c r="G71" s="824"/>
      <c r="H71" s="814"/>
      <c r="I71" s="814"/>
      <c r="J71" s="814"/>
      <c r="K71" s="814"/>
      <c r="L71" s="818"/>
      <c r="M71" s="818"/>
      <c r="N71" s="813"/>
      <c r="O71" s="821"/>
      <c r="Q71" s="818"/>
      <c r="V71" s="813"/>
    </row>
    <row r="72" spans="2:22" ht="15" customHeight="1">
      <c r="B72" s="817"/>
      <c r="D72" s="814"/>
      <c r="E72" s="814"/>
      <c r="F72" s="814"/>
      <c r="G72" s="815"/>
      <c r="H72" s="825">
        <f>IF(H70=0,0,H70/H6)</f>
        <v>0</v>
      </c>
      <c r="I72" s="825">
        <f>IF(I70=0,0,I70/H6)</f>
        <v>0</v>
      </c>
      <c r="J72" s="825">
        <f>IF(J70=0,0,J70/H6)</f>
        <v>0</v>
      </c>
      <c r="K72" s="825">
        <f>IF(K70=0,0,K70/H6)</f>
        <v>0</v>
      </c>
      <c r="L72" s="818"/>
      <c r="M72" s="818"/>
      <c r="N72" s="813"/>
      <c r="O72" s="821"/>
      <c r="Q72" s="818"/>
      <c r="V72" s="813"/>
    </row>
    <row r="73" spans="2:22" ht="5.25" customHeight="1">
      <c r="B73" s="817"/>
      <c r="D73" s="814"/>
      <c r="E73" s="814"/>
      <c r="F73" s="814"/>
      <c r="G73" s="824"/>
      <c r="H73" s="820"/>
      <c r="I73" s="820"/>
      <c r="J73" s="820"/>
      <c r="K73" s="820"/>
      <c r="L73" s="820"/>
      <c r="M73" s="820"/>
      <c r="N73" s="813"/>
      <c r="O73" s="821"/>
      <c r="Q73" s="820"/>
      <c r="V73" s="813"/>
    </row>
    <row r="74" spans="2:22" ht="15" customHeight="1">
      <c r="B74" s="817"/>
      <c r="D74" s="814"/>
      <c r="E74" s="814"/>
      <c r="F74" s="814"/>
      <c r="G74" s="824" t="s">
        <v>1267</v>
      </c>
      <c r="H74" s="809">
        <f>IF('3c. Calculator EEM 2-3'!$G$111="-",0,'3c. Calculator EEM 2-3'!$G$111)</f>
        <v>0</v>
      </c>
      <c r="I74" s="809">
        <f>IF('3c. Calculator EEM 2-3'!$I$111="-",0,'3c. Calculator EEM 2-3'!$I$111)</f>
        <v>0</v>
      </c>
      <c r="J74" s="809">
        <f>IF('3c. Calculator EEM 2-3'!$K$111="-",0,'3c. Calculator EEM 2-3'!$K$111)</f>
        <v>0</v>
      </c>
      <c r="K74" s="809">
        <f>IF('3c. Calculator EEM 2-3'!$M$111="-",0,'3c. Calculator EEM 2-3'!$M$111)</f>
        <v>0</v>
      </c>
      <c r="L74" s="859"/>
      <c r="M74" s="809">
        <f>H74+I74+J74+K74</f>
        <v>0</v>
      </c>
      <c r="N74" s="823" t="s">
        <v>1197</v>
      </c>
      <c r="O74" s="160" t="str" cm="1">
        <f t="array" ref="O74">_xlfn.IFS(H76&gt;$F$44,"Oui",I76&gt;$F$44,"Oui",J76&gt;$F$44,"Oui",K76&gt;$F$44,"Oui",H76&lt;=$F$44,"Non",I76&lt;=$F$44,"Non",J76&lt;=$F$44,"Non",K76&lt;=$F$44,"Non")</f>
        <v>Non</v>
      </c>
      <c r="Q74" s="820"/>
      <c r="V74" s="813"/>
    </row>
    <row r="75" spans="2:22" ht="6.75" customHeight="1">
      <c r="B75" s="817"/>
      <c r="D75" s="814"/>
      <c r="E75" s="814"/>
      <c r="F75" s="814"/>
      <c r="G75" s="824"/>
      <c r="H75" s="820"/>
      <c r="I75" s="820"/>
      <c r="J75" s="820"/>
      <c r="K75" s="820"/>
      <c r="L75" s="820"/>
      <c r="M75" s="820"/>
      <c r="N75" s="813"/>
      <c r="O75" s="821"/>
      <c r="Q75" s="820"/>
      <c r="V75" s="813"/>
    </row>
    <row r="76" spans="2:22" ht="15" customHeight="1">
      <c r="B76" s="817"/>
      <c r="D76" s="814"/>
      <c r="E76" s="814"/>
      <c r="F76" s="814"/>
      <c r="G76" s="815"/>
      <c r="H76" s="825">
        <f>IF(H74=0,0,H74/H6)</f>
        <v>0</v>
      </c>
      <c r="I76" s="825">
        <f>IF(I74=0,0,I74/H6)</f>
        <v>0</v>
      </c>
      <c r="J76" s="825">
        <f>IF(J74=0,0,J74/H6)</f>
        <v>0</v>
      </c>
      <c r="K76" s="825">
        <f>IF(K74=0,0,K74/H6)</f>
        <v>0</v>
      </c>
      <c r="L76" s="818"/>
      <c r="M76" s="820"/>
      <c r="N76" s="813"/>
      <c r="O76" s="821"/>
      <c r="Q76" s="820"/>
      <c r="V76" s="813"/>
    </row>
    <row r="77" spans="2:22" ht="6.75" customHeight="1">
      <c r="B77" s="817"/>
      <c r="D77" s="814"/>
      <c r="E77" s="814"/>
      <c r="F77" s="814"/>
      <c r="G77" s="824"/>
      <c r="H77" s="820"/>
      <c r="I77" s="820"/>
      <c r="J77" s="820"/>
      <c r="K77" s="820"/>
      <c r="L77" s="820"/>
      <c r="M77" s="820"/>
      <c r="N77" s="813"/>
      <c r="O77" s="821"/>
      <c r="Q77" s="820"/>
      <c r="V77" s="813"/>
    </row>
    <row r="78" spans="2:22" ht="15" customHeight="1">
      <c r="B78" s="817"/>
      <c r="C78" s="813"/>
      <c r="D78" s="814"/>
      <c r="E78" s="814"/>
      <c r="F78" s="814"/>
      <c r="G78" s="814"/>
      <c r="H78" s="820"/>
      <c r="I78" s="818"/>
      <c r="J78" s="820"/>
      <c r="K78" s="818"/>
      <c r="L78" s="820"/>
      <c r="M78" s="818"/>
      <c r="N78" s="820"/>
      <c r="O78" s="818"/>
      <c r="P78" s="820"/>
      <c r="Q78" s="820"/>
      <c r="R78" s="820"/>
      <c r="S78" s="814"/>
      <c r="T78" s="813"/>
      <c r="U78" s="813"/>
      <c r="V78" s="813"/>
    </row>
    <row r="79" spans="2:22" ht="15" customHeight="1">
      <c r="C79" s="812" t="s">
        <v>1322</v>
      </c>
      <c r="D79" s="817"/>
      <c r="E79" s="817"/>
      <c r="F79" s="817"/>
      <c r="G79" s="817"/>
      <c r="H79" s="817"/>
      <c r="I79" s="818"/>
      <c r="J79" s="820"/>
      <c r="K79" s="818"/>
      <c r="L79" s="820"/>
      <c r="M79" s="818"/>
      <c r="N79" s="820"/>
      <c r="O79" s="818"/>
      <c r="P79" s="820"/>
      <c r="Q79" s="820"/>
      <c r="R79" s="820"/>
      <c r="S79" s="814"/>
      <c r="T79" s="813"/>
      <c r="U79" s="813"/>
      <c r="V79" s="813"/>
    </row>
    <row r="80" spans="2:22" ht="36.75" customHeight="1">
      <c r="B80" s="817"/>
      <c r="C80" s="816"/>
      <c r="D80" s="817"/>
      <c r="E80" s="817"/>
      <c r="F80" s="817"/>
      <c r="G80" s="817"/>
      <c r="H80" s="817"/>
      <c r="I80" s="820"/>
      <c r="J80" s="820"/>
      <c r="K80" s="820"/>
      <c r="M80" s="818"/>
      <c r="N80" s="1481" t="s">
        <v>1394</v>
      </c>
      <c r="O80" s="1481"/>
      <c r="P80" s="1481"/>
      <c r="Q80" s="820"/>
      <c r="R80" s="820"/>
      <c r="S80" s="814"/>
      <c r="T80" s="813"/>
      <c r="U80" s="813"/>
      <c r="V80" s="813"/>
    </row>
    <row r="81" spans="2:22" ht="12.6" customHeight="1">
      <c r="B81" s="817"/>
      <c r="D81" s="817"/>
      <c r="E81" s="817"/>
      <c r="F81" s="817"/>
      <c r="G81" s="824" t="s">
        <v>1314</v>
      </c>
      <c r="H81" s="810" t="str">
        <f>IF(AND('3c. Calculator EEM 2-3'!G20="",'3c. Calculator EEM 2-3'!G28=""),"",'P opération brûleur - avant MEE'!D37)</f>
        <v/>
      </c>
      <c r="I81" s="810" t="str">
        <f>IF(AND('3c. Calculator EEM 2-3'!I20="",'3c. Calculator EEM 2-3'!I28=""),"",'P opération brûleur - avant MEE'!E37)</f>
        <v/>
      </c>
      <c r="J81" s="810" t="str">
        <f>IF(AND('3c. Calculator EEM 2-3'!K20="",'3c. Calculator EEM 2-3'!K28=""),"",'P opération brûleur - avant MEE'!F37)</f>
        <v/>
      </c>
      <c r="K81" s="810" t="str">
        <f>IF(AND('3c. Calculator EEM 2-3'!M20="",'3c. Calculator EEM 2-3'!M28=""),"",'P opération brûleur - avant MEE'!G37)</f>
        <v/>
      </c>
      <c r="M81" s="818"/>
      <c r="O81" s="160" t="str" cm="1">
        <f t="array" ref="O81">_xlfn.IFS(H82="Oui","Oui",I82="Oui","Oui",J82="Oui","Oui",K82="Oui","Oui",H82="Non","Non",I82="Non","Non",J82="Non","Non",K82="Non","Non")</f>
        <v>Non</v>
      </c>
      <c r="P81" s="820"/>
      <c r="Q81" s="820"/>
      <c r="R81" s="820"/>
      <c r="S81" s="814"/>
      <c r="T81" s="813"/>
      <c r="V81" s="813"/>
    </row>
    <row r="82" spans="2:22" ht="12.6" hidden="1" customHeight="1">
      <c r="B82" s="817"/>
      <c r="C82" s="826" t="s">
        <v>1274</v>
      </c>
      <c r="D82" s="817"/>
      <c r="E82" s="817"/>
      <c r="F82" s="817"/>
      <c r="G82" s="815" t="s">
        <v>1268</v>
      </c>
      <c r="H82" s="811" t="str" cm="1">
        <f t="array" ref="H82">_xlfn.IFS(H81="","Non",H81&lt;G43,"Oui",H81&gt;H43,"Oui",H81&gt;G43,"Non",H81&lt;H43,"Non")</f>
        <v>Non</v>
      </c>
      <c r="I82" s="811" t="str" cm="1">
        <f t="array" ref="I82">_xlfn.IFS(I81="","Non",I81&lt;G43,"Oui",I81&gt;H43,"Oui",I81&gt;G43,"Non",I81&lt;H43,"Non")</f>
        <v>Non</v>
      </c>
      <c r="J82" s="811" t="str" cm="1">
        <f t="array" ref="J82">_xlfn.IFS(J81="","Non",J81&lt;G43,"Oui",J81&gt;H43,"Oui",J81&gt;G43,"Non",J81&lt;H43,"Non")</f>
        <v>Non</v>
      </c>
      <c r="K82" s="811" t="str" cm="1">
        <f t="array" ref="K82">_xlfn.IFS(K81="","Non",K81&lt;G43,"Oui",K81&gt;H43,"Oui",K81&gt;G43,"Non",K81&lt;H43,"Non")</f>
        <v>Non</v>
      </c>
      <c r="M82" s="822"/>
      <c r="P82" s="820"/>
      <c r="Q82" s="820"/>
      <c r="R82" s="820"/>
      <c r="S82" s="814"/>
      <c r="T82" s="813"/>
      <c r="U82" s="813"/>
      <c r="V82" s="813"/>
    </row>
    <row r="83" spans="2:22" ht="12.6" customHeight="1">
      <c r="B83" s="817"/>
      <c r="C83" s="816"/>
      <c r="D83" s="817"/>
      <c r="E83" s="817"/>
      <c r="F83" s="817"/>
      <c r="G83" s="817"/>
      <c r="H83" s="820"/>
      <c r="I83" s="820"/>
      <c r="J83" s="820"/>
      <c r="K83" s="820"/>
      <c r="M83" s="818"/>
      <c r="P83" s="820"/>
      <c r="Q83" s="820"/>
      <c r="R83" s="820"/>
      <c r="S83" s="814"/>
      <c r="T83" s="813"/>
      <c r="U83" s="813"/>
      <c r="V83" s="813"/>
    </row>
    <row r="84" spans="2:22" ht="15.6">
      <c r="B84" s="817"/>
      <c r="C84" s="1445" t="s">
        <v>1712</v>
      </c>
      <c r="D84" s="817"/>
      <c r="E84" s="817"/>
      <c r="F84" s="817"/>
      <c r="G84" s="817"/>
      <c r="H84" s="820"/>
      <c r="I84" s="820"/>
      <c r="J84" s="820"/>
      <c r="K84" s="820"/>
      <c r="M84" s="818"/>
      <c r="P84" s="820"/>
      <c r="Q84" s="820"/>
      <c r="R84" s="820"/>
      <c r="S84" s="814"/>
      <c r="T84" s="813"/>
      <c r="U84" s="813"/>
      <c r="V84" s="813"/>
    </row>
    <row r="85" spans="2:22" ht="24.6" customHeight="1">
      <c r="B85" s="817"/>
      <c r="C85" s="1445"/>
      <c r="D85" s="817"/>
      <c r="E85" s="817"/>
      <c r="F85" s="817"/>
      <c r="G85" s="817"/>
      <c r="H85" s="820"/>
      <c r="I85" s="820"/>
      <c r="J85" s="820"/>
      <c r="K85" s="820"/>
      <c r="M85" s="818"/>
      <c r="O85" s="1481" t="s">
        <v>1719</v>
      </c>
      <c r="P85" s="1481"/>
      <c r="Q85" s="820"/>
      <c r="R85" s="820"/>
      <c r="S85" s="814"/>
      <c r="T85" s="813"/>
      <c r="U85" s="813"/>
      <c r="V85" s="813"/>
    </row>
    <row r="86" spans="2:22">
      <c r="B86" s="817"/>
      <c r="C86" s="1480" t="s">
        <v>1718</v>
      </c>
      <c r="E86" s="416" t="str" cm="1">
        <f t="array" ref="E86">_xlfn.IFS('3c. Calculator EEM 2-3'!G28="","",'3c. Calculator EEM 2-3'!G28&lt;=2000,"Chaudière 1",'3c. Calculator EEM 2-3'!G28&gt;2000,"")</f>
        <v/>
      </c>
      <c r="F86" s="416" t="str" cm="1">
        <f t="array" ref="F86">_xlfn.IFS('3c. Calculator EEM 2-3'!I28="","",'3c. Calculator EEM 2-3'!I28&lt;=2000,"Chaudière 2",'3c. Calculator EEM 2-3'!I28&gt;2000,"")</f>
        <v/>
      </c>
      <c r="G86" s="416" t="str" cm="1">
        <f t="array" ref="G86">_xlfn.IFS('3c. Calculator EEM 2-3'!K28="","",'3c. Calculator EEM 2-3'!K28&lt;=2000,"Chaudière 3",'3c. Calculator EEM 2-3'!K28&gt;2000,"")</f>
        <v/>
      </c>
      <c r="H86" s="416" t="str" cm="1">
        <f t="array" ref="H86">_xlfn.IFS('3c. Calculator EEM 2-3'!M28="","",'3c. Calculator EEM 2-3'!M28&lt;=2000,"Chaudière 4",'3c. Calculator EEM 2-3'!M28&gt;2000,"")</f>
        <v/>
      </c>
      <c r="I86" s="820"/>
      <c r="J86" s="820"/>
      <c r="K86" s="820"/>
      <c r="M86" s="818"/>
      <c r="O86" s="160" t="str">
        <f>IF(OR(E87&lt;2000,F87&lt;2000,G87&lt;2000,H87&lt;2000),"Oui","Non")</f>
        <v>Non</v>
      </c>
      <c r="Q86" s="820"/>
      <c r="R86" s="820"/>
      <c r="S86" s="814"/>
      <c r="T86" s="813"/>
      <c r="U86" s="813"/>
      <c r="V86" s="813"/>
    </row>
    <row r="87" spans="2:22" ht="15" thickBot="1">
      <c r="E87" s="6" t="str" cm="1">
        <f t="array" ref="E87">_xlfn.IFS('3c. Calculator EEM 2-3'!G28="","",'3c. Calculator EEM 2-3'!G28&lt;=2000,'3c. Calculator EEM 2-3'!G28,'3c. Calculator EEM 2-3'!G28&gt;2000,"")</f>
        <v/>
      </c>
      <c r="F87" s="6" t="str" cm="1">
        <f t="array" ref="F87">_xlfn.IFS('3c. Calculator EEM 2-3'!I28="","",'3c. Calculator EEM 2-3'!I28&lt;=2000,'3c. Calculator EEM 2-3'!I28,'3c. Calculator EEM 2-3'!I28&gt;2000,"")</f>
        <v/>
      </c>
      <c r="G87" s="6" t="str" cm="1">
        <f t="array" ref="G87">_xlfn.IFS('3c. Calculator EEM 2-3'!K28="","",'3c. Calculator EEM 2-3'!K28&lt;=2000,'3c. Calculator EEM 2-3'!K28,'3c. Calculator EEM 2-3'!K28&gt;2000,"")</f>
        <v/>
      </c>
      <c r="H87" s="6" t="str" cm="1">
        <f t="array" ref="H87">_xlfn.IFS('3c. Calculator EEM 2-3'!M28="","",'3c. Calculator EEM 2-3'!M28&lt;=2000,'3c. Calculator EEM 2-3'!M28,'3c. Calculator EEM 2-3'!M28&gt;2000,"")</f>
        <v/>
      </c>
      <c r="T87" s="411"/>
      <c r="U87" s="411"/>
      <c r="V87" s="411"/>
    </row>
    <row r="88" spans="2:22" ht="16.2" thickBot="1">
      <c r="C88" s="1491" t="s">
        <v>1689</v>
      </c>
      <c r="D88" s="1492"/>
      <c r="E88" s="1492"/>
      <c r="F88" s="1492"/>
      <c r="G88" s="1492"/>
      <c r="H88" s="1492"/>
      <c r="I88" s="1492"/>
      <c r="J88" s="1492"/>
      <c r="K88" s="1492"/>
      <c r="L88" s="1493"/>
    </row>
    <row r="89" spans="2:22" ht="15" thickBot="1">
      <c r="C89" s="1412" t="s">
        <v>1690</v>
      </c>
      <c r="D89" s="399"/>
      <c r="E89" s="1413"/>
      <c r="F89" s="1414"/>
      <c r="G89" s="411"/>
      <c r="H89" s="571"/>
      <c r="I89" s="571"/>
      <c r="J89" s="571"/>
      <c r="K89" s="571"/>
      <c r="L89" s="1415"/>
      <c r="M89" s="851"/>
    </row>
    <row r="90" spans="2:22" ht="16.8" thickBot="1">
      <c r="C90" s="1416" t="s">
        <v>1691</v>
      </c>
      <c r="D90" s="1417" t="s">
        <v>1692</v>
      </c>
      <c r="E90" s="1418"/>
      <c r="F90" s="411" t="s">
        <v>1693</v>
      </c>
      <c r="G90" s="411"/>
      <c r="H90" s="571"/>
      <c r="I90" s="571"/>
      <c r="J90" s="571"/>
      <c r="K90" s="571"/>
      <c r="L90" s="1415"/>
      <c r="M90" s="852"/>
      <c r="O90" s="852"/>
    </row>
    <row r="91" spans="2:22">
      <c r="C91" s="1419"/>
      <c r="E91" s="1027"/>
      <c r="F91" s="1028"/>
      <c r="G91" s="1028"/>
      <c r="H91" s="1028"/>
      <c r="I91" s="1028"/>
      <c r="J91" s="1028"/>
      <c r="L91" s="1420"/>
      <c r="M91" s="853"/>
      <c r="O91" s="853"/>
    </row>
    <row r="92" spans="2:22">
      <c r="C92" s="1412" t="s">
        <v>1694</v>
      </c>
      <c r="D92"/>
      <c r="E92" s="1421"/>
      <c r="F92" s="1028"/>
      <c r="G92" s="1028"/>
      <c r="H92" s="1028"/>
      <c r="I92" s="1028"/>
      <c r="J92" s="1028"/>
      <c r="L92" s="1420"/>
      <c r="M92" s="853"/>
      <c r="O92" s="853"/>
    </row>
    <row r="93" spans="2:22" ht="55.8" thickBot="1">
      <c r="C93" s="1422" t="s">
        <v>1695</v>
      </c>
      <c r="D93" s="1494" t="s">
        <v>1696</v>
      </c>
      <c r="E93" s="1495"/>
      <c r="F93"/>
      <c r="G93" s="1496" t="s">
        <v>1697</v>
      </c>
      <c r="H93" s="1496"/>
      <c r="I93" s="1497"/>
      <c r="J93" s="1497"/>
      <c r="K93" s="1497"/>
      <c r="L93" s="1423"/>
      <c r="M93" s="853"/>
      <c r="O93" s="853"/>
    </row>
    <row r="94" spans="2:22" ht="55.2">
      <c r="C94" s="1424" t="s">
        <v>1698</v>
      </c>
      <c r="D94" s="1425" t="s">
        <v>1699</v>
      </c>
      <c r="E94" s="1426"/>
      <c r="F94" s="817" t="s">
        <v>1700</v>
      </c>
      <c r="G94" s="1498" t="s">
        <v>1699</v>
      </c>
      <c r="H94" s="1499"/>
      <c r="I94" s="1427"/>
      <c r="J94" s="1500"/>
      <c r="K94" s="1501"/>
      <c r="L94" s="1428" t="s">
        <v>1700</v>
      </c>
      <c r="M94" s="853"/>
      <c r="O94" s="853"/>
    </row>
    <row r="95" spans="2:22" ht="15">
      <c r="C95" s="1429" t="s">
        <v>1701</v>
      </c>
      <c r="D95" s="1430" t="s">
        <v>1702</v>
      </c>
      <c r="E95" s="1431"/>
      <c r="F95" s="817" t="s">
        <v>1700</v>
      </c>
      <c r="G95" s="1546" t="s">
        <v>1703</v>
      </c>
      <c r="H95" s="1547"/>
      <c r="I95" s="1432"/>
      <c r="J95" s="1536"/>
      <c r="K95" s="1537"/>
      <c r="L95" s="1428" t="s">
        <v>1700</v>
      </c>
      <c r="M95" s="853"/>
      <c r="O95" s="853"/>
    </row>
    <row r="96" spans="2:22" ht="15.6" thickBot="1">
      <c r="C96" s="1429" t="s">
        <v>1704</v>
      </c>
      <c r="D96" s="1430" t="s">
        <v>1702</v>
      </c>
      <c r="E96" s="1433"/>
      <c r="F96" s="817" t="s">
        <v>1700</v>
      </c>
      <c r="G96" s="1538" t="s">
        <v>1703</v>
      </c>
      <c r="H96" s="1539"/>
      <c r="I96" s="1434"/>
      <c r="J96" s="1540"/>
      <c r="K96" s="1541"/>
      <c r="L96" s="1428" t="s">
        <v>1700</v>
      </c>
    </row>
    <row r="97" spans="3:22" ht="15">
      <c r="C97" s="1435"/>
      <c r="D97" s="457" t="s">
        <v>1705</v>
      </c>
      <c r="E97" s="1436">
        <f>E94+E95+E96</f>
        <v>0</v>
      </c>
      <c r="F97" s="817" t="s">
        <v>1700</v>
      </c>
      <c r="G97"/>
      <c r="I97" s="1437" t="s">
        <v>1706</v>
      </c>
      <c r="J97" s="1542">
        <f>J94+J95+J96</f>
        <v>0</v>
      </c>
      <c r="K97" s="1542"/>
      <c r="L97" s="1428" t="s">
        <v>1700</v>
      </c>
    </row>
    <row r="98" spans="3:22" ht="15" thickBot="1">
      <c r="C98" s="1438"/>
      <c r="D98" s="1439"/>
      <c r="E98" s="1439"/>
      <c r="F98" s="1439"/>
      <c r="G98" s="1439"/>
      <c r="H98" s="1439"/>
      <c r="I98" s="1439"/>
      <c r="J98" s="1439"/>
      <c r="K98" s="1439"/>
      <c r="L98" s="1440"/>
    </row>
    <row r="101" spans="3:22" ht="39.6">
      <c r="C101" s="1543" t="s">
        <v>1275</v>
      </c>
      <c r="D101" s="1544"/>
      <c r="E101" s="1545"/>
      <c r="F101" s="1410" t="s">
        <v>1713</v>
      </c>
      <c r="G101" s="1441" t="str">
        <f t="shared" ref="G101:G110" si="2">H26</f>
        <v>Coûts admissibles</v>
      </c>
      <c r="H101" s="1409" t="s">
        <v>1707</v>
      </c>
      <c r="I101" s="808" t="s">
        <v>1708</v>
      </c>
    </row>
    <row r="102" spans="3:22">
      <c r="C102" s="1517" t="str">
        <f t="shared" ref="C102:C110" si="3">C27</f>
        <v>MEÉ1- Isolation thermique</v>
      </c>
      <c r="D102" s="1518"/>
      <c r="E102" s="1519"/>
      <c r="F102" s="1442" t="str">
        <f t="shared" ref="F102:F110" si="4">F27</f>
        <v>Mesure non installée</v>
      </c>
      <c r="G102" s="1383">
        <f t="shared" si="2"/>
        <v>0</v>
      </c>
      <c r="H102" s="1383" t="str" cm="1">
        <f t="array" ref="H102">IFERROR(_xlfn.IFS(AND($E$90="",$E$97=0,$J$97=0),"Remplir le prix du gaz",$E$90&lt;&gt;"",$E$90*F102,$E$97&lt;&gt;0,$E$97*F102,$J$97&lt;&gt;0,$J$97*F102),0)</f>
        <v>Remplir le prix du gaz</v>
      </c>
      <c r="I102" s="1444">
        <f>IFERROR(G102/H102,0)</f>
        <v>0</v>
      </c>
    </row>
    <row r="103" spans="3:22">
      <c r="C103" s="1548" t="str">
        <f t="shared" si="3"/>
        <v>MEÉ2 - Micromodulation - chaudière 1</v>
      </c>
      <c r="D103" s="1549"/>
      <c r="E103" s="1550"/>
      <c r="F103" s="1443" t="str">
        <f t="shared" si="4"/>
        <v>Mesure non installée</v>
      </c>
      <c r="G103" s="1383">
        <f t="shared" si="2"/>
        <v>0</v>
      </c>
      <c r="H103" s="1383" t="str" cm="1">
        <f t="array" ref="H103">IFERROR(_xlfn.IFS(AND($E$90="",$E$97=0,$J$97=0),"Remplir le prix du gaz",$E$90&lt;&gt;"",$E$90*F103,$E$97&lt;&gt;0,$E$97*F103,$J$97&lt;&gt;0,$J$97*F103),0)</f>
        <v>Remplir le prix du gaz</v>
      </c>
      <c r="I103" s="1444">
        <f>IFERROR(G103/H103,0)</f>
        <v>0</v>
      </c>
    </row>
    <row r="104" spans="3:22">
      <c r="C104" s="1548" t="str">
        <f t="shared" si="3"/>
        <v>MEÉ2 - Micromodulation - chaudière 2</v>
      </c>
      <c r="D104" s="1549"/>
      <c r="E104" s="1550"/>
      <c r="F104" s="1443" t="str">
        <f t="shared" si="4"/>
        <v>Mesure non installée</v>
      </c>
      <c r="G104" s="1383">
        <f t="shared" si="2"/>
        <v>0</v>
      </c>
      <c r="H104" s="1383" t="str" cm="1">
        <f t="array" ref="H104">IFERROR(_xlfn.IFS(AND($E$90="",$E$97=0,$J$97=0),"Remplir le prix du gaz",$E$90&lt;&gt;"",$E$90*F104,$E$97&lt;&gt;0,$E$97*F104,$J$97&lt;&gt;0,$J$97*F104),0)</f>
        <v>Remplir le prix du gaz</v>
      </c>
      <c r="I104" s="1444">
        <f t="shared" ref="I104:I110" si="5">IFERROR(G104/H104,0)</f>
        <v>0</v>
      </c>
    </row>
    <row r="105" spans="3:22">
      <c r="C105" s="1548" t="str">
        <f t="shared" si="3"/>
        <v>MEÉ2 - Micromodulation - chaudière 3</v>
      </c>
      <c r="D105" s="1549"/>
      <c r="E105" s="1550"/>
      <c r="F105" s="1443" t="str">
        <f t="shared" si="4"/>
        <v>Mesure non installée</v>
      </c>
      <c r="G105" s="1383">
        <f t="shared" si="2"/>
        <v>0</v>
      </c>
      <c r="H105" s="1383" t="str" cm="1">
        <f t="array" ref="H105">IFERROR(_xlfn.IFS(AND($E$90="",$E$97=0,$J$97=0),"Remplir le prix du gaz",$E$90&lt;&gt;"",$E$90*F105,$E$97&lt;&gt;0,$E$97*F105,$J$97&lt;&gt;0,$J$97*F105),0)</f>
        <v>Remplir le prix du gaz</v>
      </c>
      <c r="I105" s="1444">
        <f t="shared" si="5"/>
        <v>0</v>
      </c>
    </row>
    <row r="106" spans="3:22">
      <c r="C106" s="1548" t="str">
        <f t="shared" si="3"/>
        <v>MEÉ2 - Micromodulation - chaudière 4</v>
      </c>
      <c r="D106" s="1549"/>
      <c r="E106" s="1550"/>
      <c r="F106" s="1443" t="str">
        <f t="shared" si="4"/>
        <v>Mesure non installée</v>
      </c>
      <c r="G106" s="1383">
        <f t="shared" si="2"/>
        <v>0</v>
      </c>
      <c r="H106" s="1383" t="str" cm="1">
        <f t="array" ref="H106">IFERROR(_xlfn.IFS(AND($E$90="",$E$97=0,$J$97=0),"Remplir le prix du gaz",$E$90&lt;&gt;"",$E$90*F106,$E$97&lt;&gt;0,$E$97*F106,$J$97&lt;&gt;0,$J$97*F106),0)</f>
        <v>Remplir le prix du gaz</v>
      </c>
      <c r="I106" s="1444">
        <f t="shared" si="5"/>
        <v>0</v>
      </c>
    </row>
    <row r="107" spans="3:22">
      <c r="C107" s="1548" t="str">
        <f t="shared" si="3"/>
        <v>MEÉ3 - Sonde de O2 - chaudière 1</v>
      </c>
      <c r="D107" s="1549"/>
      <c r="E107" s="1550"/>
      <c r="F107" s="1443" t="str">
        <f t="shared" si="4"/>
        <v>Mesure non installée</v>
      </c>
      <c r="G107" s="1383">
        <f t="shared" si="2"/>
        <v>0</v>
      </c>
      <c r="H107" s="1383" t="str" cm="1">
        <f t="array" ref="H107">IFERROR(_xlfn.IFS(AND($E$90="",$E$97=0,$J$97=0),"Remplir le prix du gaz",$E$90&lt;&gt;"",$E$90*F107,$E$97&lt;&gt;0,$E$97*F107,$J$97&lt;&gt;0,$J$97*F107),0)</f>
        <v>Remplir le prix du gaz</v>
      </c>
      <c r="I107" s="1444">
        <f t="shared" si="5"/>
        <v>0</v>
      </c>
    </row>
    <row r="108" spans="3:22">
      <c r="C108" s="1548" t="str">
        <f t="shared" si="3"/>
        <v>MEÉ3 - Sonde O2 - chaudière 2</v>
      </c>
      <c r="D108" s="1549"/>
      <c r="E108" s="1550"/>
      <c r="F108" s="1443" t="str">
        <f t="shared" si="4"/>
        <v>Mesure non installée</v>
      </c>
      <c r="G108" s="1383">
        <f t="shared" si="2"/>
        <v>0</v>
      </c>
      <c r="H108" s="1383" t="str" cm="1">
        <f t="array" ref="H108">IFERROR(_xlfn.IFS(AND($E$90="",$E$97=0,$J$97=0),"Remplir le prix du gaz",$E$90&lt;&gt;"",$E$90*F108,$E$97&lt;&gt;0,$E$97*F108,$J$97&lt;&gt;0,$J$97*F108),0)</f>
        <v>Remplir le prix du gaz</v>
      </c>
      <c r="I108" s="1444">
        <f t="shared" si="5"/>
        <v>0</v>
      </c>
    </row>
    <row r="109" spans="3:22">
      <c r="C109" s="1548" t="str">
        <f t="shared" si="3"/>
        <v>MEÉ3 -  Sonde de O2 - chaudière 3</v>
      </c>
      <c r="D109" s="1549"/>
      <c r="E109" s="1550"/>
      <c r="F109" s="1443" t="str">
        <f t="shared" si="4"/>
        <v>Mesure non installée</v>
      </c>
      <c r="G109" s="1383">
        <f t="shared" si="2"/>
        <v>0</v>
      </c>
      <c r="H109" s="1383" t="str" cm="1">
        <f t="array" ref="H109">IFERROR(_xlfn.IFS(AND($E$90="",$E$97=0,$J$97=0),"Remplir le prix du gaz",$E$90&lt;&gt;"",$E$90*F109,$E$97&lt;&gt;0,$E$97*F109,$J$97&lt;&gt;0,$J$97*F109),0)</f>
        <v>Remplir le prix du gaz</v>
      </c>
      <c r="I109" s="1444">
        <f t="shared" si="5"/>
        <v>0</v>
      </c>
    </row>
    <row r="110" spans="3:22">
      <c r="C110" s="1548" t="str">
        <f t="shared" si="3"/>
        <v>MEÉ3 -  Sonde de O2 - chaudière 4</v>
      </c>
      <c r="D110" s="1549"/>
      <c r="E110" s="1550"/>
      <c r="F110" s="1443" t="str">
        <f t="shared" si="4"/>
        <v>Mesure non installée</v>
      </c>
      <c r="G110" s="1383">
        <f t="shared" si="2"/>
        <v>0</v>
      </c>
      <c r="H110" s="1383" t="str" cm="1">
        <f t="array" ref="H110">IFERROR(_xlfn.IFS(AND($E$90="",$E$97=0,$J$97=0),"Remplir le prix du gaz",$E$90&lt;&gt;"",$E$90*F110,$E$97&lt;&gt;0,$E$97*F110,$J$97&lt;&gt;0,$J$97*F110),0)</f>
        <v>Remplir le prix du gaz</v>
      </c>
      <c r="I110" s="1444">
        <f t="shared" si="5"/>
        <v>0</v>
      </c>
    </row>
    <row r="111" spans="3:22" ht="15" customHeight="1">
      <c r="T111" s="411"/>
      <c r="U111" s="411"/>
      <c r="V111" s="411"/>
    </row>
    <row r="112" spans="3:22">
      <c r="C112" s="425" t="s">
        <v>1722</v>
      </c>
    </row>
    <row r="113" spans="8:15" ht="100.5" customHeight="1">
      <c r="H113" s="854"/>
      <c r="I113" s="854"/>
      <c r="K113" s="851"/>
      <c r="M113" s="851"/>
    </row>
    <row r="114" spans="8:15">
      <c r="H114" s="855"/>
      <c r="I114" s="855"/>
      <c r="K114" s="852"/>
      <c r="M114" s="852"/>
      <c r="O114" s="852"/>
    </row>
    <row r="115" spans="8:15">
      <c r="H115" s="1482"/>
      <c r="I115" s="853"/>
      <c r="K115" s="853"/>
      <c r="M115" s="853"/>
      <c r="O115" s="853"/>
    </row>
    <row r="116" spans="8:15">
      <c r="H116" s="1482"/>
      <c r="I116" s="853"/>
      <c r="K116" s="853"/>
      <c r="M116" s="853"/>
      <c r="O116" s="853"/>
    </row>
    <row r="117" spans="8:15" ht="32.25" customHeight="1">
      <c r="H117" s="855"/>
      <c r="I117" s="853"/>
      <c r="K117" s="853"/>
      <c r="M117" s="853"/>
      <c r="O117" s="853"/>
    </row>
    <row r="118" spans="8:15" ht="29.25" customHeight="1">
      <c r="H118" s="855"/>
      <c r="I118" s="853"/>
      <c r="K118" s="853"/>
      <c r="M118" s="853"/>
      <c r="O118" s="853"/>
    </row>
    <row r="119" spans="8:15" ht="30" customHeight="1">
      <c r="H119" s="855"/>
      <c r="I119" s="853"/>
      <c r="K119" s="853"/>
      <c r="M119" s="853"/>
      <c r="O119" s="853"/>
    </row>
    <row r="123" spans="8:15" ht="32.25" customHeight="1"/>
    <row r="130" ht="28.5" customHeight="1"/>
  </sheetData>
  <mergeCells count="86">
    <mergeCell ref="C107:E107"/>
    <mergeCell ref="C108:E108"/>
    <mergeCell ref="C109:E109"/>
    <mergeCell ref="C110:E110"/>
    <mergeCell ref="C102:E102"/>
    <mergeCell ref="C103:E103"/>
    <mergeCell ref="C104:E104"/>
    <mergeCell ref="C105:E105"/>
    <mergeCell ref="C106:E106"/>
    <mergeCell ref="J95:K95"/>
    <mergeCell ref="G96:H96"/>
    <mergeCell ref="J96:K96"/>
    <mergeCell ref="J97:K97"/>
    <mergeCell ref="C101:E101"/>
    <mergeCell ref="G95:H95"/>
    <mergeCell ref="C54:E54"/>
    <mergeCell ref="C52:E52"/>
    <mergeCell ref="C31:E31"/>
    <mergeCell ref="C32:E32"/>
    <mergeCell ref="C33:E33"/>
    <mergeCell ref="C34:E34"/>
    <mergeCell ref="C35:E35"/>
    <mergeCell ref="C53:E53"/>
    <mergeCell ref="C49:E49"/>
    <mergeCell ref="C50:E50"/>
    <mergeCell ref="C51:E51"/>
    <mergeCell ref="E42:E44"/>
    <mergeCell ref="C43:D43"/>
    <mergeCell ref="C44:D44"/>
    <mergeCell ref="C37:D37"/>
    <mergeCell ref="N16:O16"/>
    <mergeCell ref="N17:O17"/>
    <mergeCell ref="H16:I16"/>
    <mergeCell ref="H17:I17"/>
    <mergeCell ref="J16:K16"/>
    <mergeCell ref="J17:K17"/>
    <mergeCell ref="L16:M16"/>
    <mergeCell ref="L17:M17"/>
    <mergeCell ref="N12:O12"/>
    <mergeCell ref="H13:I13"/>
    <mergeCell ref="J13:K13"/>
    <mergeCell ref="L13:M13"/>
    <mergeCell ref="C15:D15"/>
    <mergeCell ref="C12:F12"/>
    <mergeCell ref="H14:I14"/>
    <mergeCell ref="H15:I15"/>
    <mergeCell ref="C14:D14"/>
    <mergeCell ref="C13:D13"/>
    <mergeCell ref="J14:K14"/>
    <mergeCell ref="J15:K15"/>
    <mergeCell ref="L14:M14"/>
    <mergeCell ref="L15:M15"/>
    <mergeCell ref="N14:O14"/>
    <mergeCell ref="N15:O15"/>
    <mergeCell ref="G12:K12"/>
    <mergeCell ref="C16:D16"/>
    <mergeCell ref="C17:D17"/>
    <mergeCell ref="C48:E48"/>
    <mergeCell ref="C20:D20"/>
    <mergeCell ref="C21:D21"/>
    <mergeCell ref="C22:D22"/>
    <mergeCell ref="C23:D23"/>
    <mergeCell ref="C24:D24"/>
    <mergeCell ref="C41:D41"/>
    <mergeCell ref="C42:D42"/>
    <mergeCell ref="C27:E27"/>
    <mergeCell ref="C26:E26"/>
    <mergeCell ref="C28:E28"/>
    <mergeCell ref="C29:E29"/>
    <mergeCell ref="C30:E30"/>
    <mergeCell ref="O85:P85"/>
    <mergeCell ref="H115:H116"/>
    <mergeCell ref="G43:G44"/>
    <mergeCell ref="H43:H44"/>
    <mergeCell ref="N57:P57"/>
    <mergeCell ref="N80:P80"/>
    <mergeCell ref="O49:O52"/>
    <mergeCell ref="K49:K52"/>
    <mergeCell ref="N64:P64"/>
    <mergeCell ref="H63:M63"/>
    <mergeCell ref="M49:N52"/>
    <mergeCell ref="C88:L88"/>
    <mergeCell ref="D93:E93"/>
    <mergeCell ref="G93:K93"/>
    <mergeCell ref="G94:H94"/>
    <mergeCell ref="J94:K94"/>
  </mergeCells>
  <phoneticPr fontId="65" type="noConversion"/>
  <conditionalFormatting sqref="H8 O53:O54">
    <cfRule type="cellIs" dxfId="61" priority="14" operator="equal">
      <formula>"Non"</formula>
    </cfRule>
    <cfRule type="cellIs" dxfId="60" priority="15" operator="equal">
      <formula>"Oui"</formula>
    </cfRule>
  </conditionalFormatting>
  <conditionalFormatting sqref="H72:K72">
    <cfRule type="cellIs" dxfId="59" priority="120" operator="greaterThan">
      <formula>$F$43</formula>
    </cfRule>
  </conditionalFormatting>
  <conditionalFormatting sqref="H76:K76">
    <cfRule type="cellIs" dxfId="58" priority="121" operator="greaterThan">
      <formula>$F$44</formula>
    </cfRule>
  </conditionalFormatting>
  <conditionalFormatting sqref="I102:I110">
    <cfRule type="cellIs" dxfId="57" priority="1" operator="greaterThanOrEqual">
      <formula>20</formula>
    </cfRule>
    <cfRule type="cellIs" dxfId="56" priority="2" operator="equal">
      <formula>0</formula>
    </cfRule>
    <cfRule type="cellIs" dxfId="55" priority="3" operator="lessThan">
      <formula>20</formula>
    </cfRule>
  </conditionalFormatting>
  <conditionalFormatting sqref="L68">
    <cfRule type="cellIs" dxfId="54" priority="125" operator="greaterThan">
      <formula>$F$42</formula>
    </cfRule>
  </conditionalFormatting>
  <conditionalFormatting sqref="O49">
    <cfRule type="cellIs" dxfId="53" priority="10" operator="equal">
      <formula>"Non"</formula>
    </cfRule>
    <cfRule type="cellIs" dxfId="52" priority="11" operator="equal">
      <formula>"Oui"</formula>
    </cfRule>
  </conditionalFormatting>
  <conditionalFormatting sqref="O59">
    <cfRule type="cellIs" dxfId="51" priority="12" operator="equal">
      <formula>"Non"</formula>
    </cfRule>
    <cfRule type="cellIs" dxfId="50" priority="13" operator="equal">
      <formula>"Oui"</formula>
    </cfRule>
  </conditionalFormatting>
  <conditionalFormatting sqref="O66">
    <cfRule type="cellIs" dxfId="49" priority="38" operator="equal">
      <formula>"Non"</formula>
    </cfRule>
    <cfRule type="cellIs" dxfId="48" priority="39" operator="equal">
      <formula>"Oui"</formula>
    </cfRule>
  </conditionalFormatting>
  <conditionalFormatting sqref="O70">
    <cfRule type="cellIs" dxfId="47" priority="36" operator="equal">
      <formula>"Non"</formula>
    </cfRule>
    <cfRule type="cellIs" dxfId="46" priority="37" operator="equal">
      <formula>"Oui"</formula>
    </cfRule>
  </conditionalFormatting>
  <conditionalFormatting sqref="O74">
    <cfRule type="cellIs" dxfId="45" priority="34" operator="equal">
      <formula>"Non"</formula>
    </cfRule>
    <cfRule type="cellIs" dxfId="44" priority="35" operator="equal">
      <formula>"Oui"</formula>
    </cfRule>
  </conditionalFormatting>
  <conditionalFormatting sqref="O81">
    <cfRule type="cellIs" dxfId="43" priority="26" operator="equal">
      <formula>"Non"</formula>
    </cfRule>
    <cfRule type="cellIs" dxfId="42" priority="27" operator="equal">
      <formula>"Oui"</formula>
    </cfRule>
  </conditionalFormatting>
  <conditionalFormatting sqref="O86">
    <cfRule type="cellIs" dxfId="41" priority="4" operator="equal">
      <formula>"Non"</formula>
    </cfRule>
    <cfRule type="cellIs" dxfId="40" priority="5" operator="equal">
      <formula>"Oui"</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930F4-9099-422C-9491-F8E5666450E2}">
  <sheetPr>
    <tabColor rgb="FF00B0F0"/>
  </sheetPr>
  <dimension ref="A1:ET984"/>
  <sheetViews>
    <sheetView tabSelected="1" workbookViewId="0">
      <selection activeCell="F45" sqref="F45:K45"/>
    </sheetView>
  </sheetViews>
  <sheetFormatPr baseColWidth="10" defaultColWidth="12.5546875" defaultRowHeight="14.4"/>
  <cols>
    <col min="1" max="1" width="2.77734375" style="1021" customWidth="1"/>
    <col min="2" max="2" width="3" customWidth="1"/>
    <col min="3" max="3" width="31.21875" customWidth="1"/>
    <col min="4" max="4" width="2.77734375" customWidth="1"/>
    <col min="5" max="5" width="24" customWidth="1"/>
    <col min="6" max="6" width="2.77734375" customWidth="1"/>
    <col min="7" max="7" width="31.21875" customWidth="1"/>
    <col min="8" max="8" width="2.77734375" customWidth="1"/>
    <col min="9" max="9" width="29.77734375" customWidth="1"/>
    <col min="10" max="10" width="2.77734375" customWidth="1"/>
    <col min="11" max="11" width="31.21875" customWidth="1"/>
    <col min="12" max="12" width="30.21875" customWidth="1"/>
    <col min="13" max="14" width="3" customWidth="1"/>
    <col min="15" max="15" width="2.44140625" customWidth="1"/>
    <col min="16" max="16" width="4.21875" customWidth="1"/>
    <col min="17" max="150" width="12.5546875" style="1021"/>
  </cols>
  <sheetData>
    <row r="1" spans="1:16" ht="15.75" customHeight="1">
      <c r="A1" s="6"/>
      <c r="B1" s="6"/>
      <c r="C1" s="6"/>
      <c r="D1" s="6"/>
      <c r="E1" s="6"/>
      <c r="F1" s="6"/>
      <c r="G1" s="6"/>
      <c r="H1" s="6"/>
      <c r="I1" s="6"/>
      <c r="J1" s="6"/>
      <c r="K1" s="6"/>
      <c r="L1" s="6"/>
      <c r="M1" s="6"/>
      <c r="N1" s="6"/>
      <c r="O1" s="6"/>
      <c r="P1" s="6"/>
    </row>
    <row r="2" spans="1:16" ht="26.25" customHeight="1">
      <c r="A2" s="6"/>
      <c r="B2" s="1022" t="s">
        <v>1489</v>
      </c>
      <c r="C2" s="1023"/>
      <c r="D2" s="1023"/>
      <c r="E2" s="1023"/>
      <c r="F2" s="1023"/>
      <c r="G2" s="1023"/>
      <c r="H2" s="1023"/>
      <c r="I2" s="1023"/>
      <c r="J2" s="1024"/>
      <c r="K2" s="1025"/>
      <c r="L2" s="1025"/>
      <c r="M2" s="1025"/>
      <c r="N2" s="1025"/>
      <c r="O2" s="1025"/>
      <c r="P2" s="6"/>
    </row>
    <row r="3" spans="1:16" ht="17.25" customHeight="1">
      <c r="A3" s="6"/>
      <c r="B3" s="1026" t="s">
        <v>1650</v>
      </c>
      <c r="C3" s="6"/>
      <c r="D3" s="6"/>
      <c r="E3" s="1027"/>
      <c r="F3" s="1028"/>
      <c r="G3" s="1028"/>
      <c r="H3" s="1028"/>
      <c r="I3" s="1028"/>
      <c r="J3" s="1028"/>
      <c r="L3" s="6"/>
      <c r="M3" s="6"/>
      <c r="N3" s="6"/>
      <c r="O3" s="6"/>
      <c r="P3" s="6"/>
    </row>
    <row r="4" spans="1:16" ht="15" customHeight="1">
      <c r="A4" s="1029"/>
      <c r="B4" s="1029"/>
      <c r="C4" s="1030"/>
      <c r="D4" s="1029"/>
      <c r="E4" s="1031"/>
      <c r="F4" s="1032"/>
      <c r="G4" s="1032"/>
      <c r="H4" s="1032"/>
      <c r="I4" s="1032"/>
      <c r="J4" s="1032"/>
      <c r="K4" s="1032"/>
      <c r="L4" s="1029"/>
      <c r="M4" s="1029"/>
      <c r="N4" s="1029"/>
      <c r="O4" s="1033" t="s">
        <v>1490</v>
      </c>
      <c r="P4" s="6"/>
    </row>
    <row r="5" spans="1:16" ht="15" customHeight="1">
      <c r="A5" s="1029"/>
      <c r="B5" s="1029"/>
      <c r="C5" s="1030"/>
      <c r="D5" s="1029"/>
      <c r="E5" s="1031"/>
      <c r="F5" s="1032"/>
      <c r="G5" s="1032"/>
      <c r="H5" s="1032"/>
      <c r="I5" s="1032"/>
      <c r="J5" s="1032"/>
      <c r="K5" s="1032"/>
      <c r="L5" s="1029"/>
      <c r="M5" s="1029"/>
      <c r="N5" s="1029"/>
      <c r="O5" s="815" t="s">
        <v>1403</v>
      </c>
      <c r="P5" s="6"/>
    </row>
    <row r="6" spans="1:16" ht="15" customHeight="1">
      <c r="A6" s="1029"/>
      <c r="B6" s="1034"/>
      <c r="C6" s="1558" t="s">
        <v>1491</v>
      </c>
      <c r="D6" s="1559"/>
      <c r="E6" s="1559"/>
      <c r="F6" s="1559"/>
      <c r="G6" s="1559"/>
      <c r="H6" s="1559"/>
      <c r="I6" s="1559"/>
      <c r="J6" s="1559"/>
      <c r="K6" s="1559"/>
      <c r="L6" s="1559"/>
      <c r="M6" s="1034"/>
      <c r="N6" s="1034"/>
      <c r="O6" s="1034"/>
      <c r="P6" s="6"/>
    </row>
    <row r="7" spans="1:16" ht="6.75" customHeight="1" thickBot="1">
      <c r="A7" s="1029"/>
      <c r="B7" s="1035"/>
      <c r="C7" s="1036"/>
      <c r="D7" s="1037"/>
      <c r="E7" s="1037"/>
      <c r="F7" s="1037"/>
      <c r="G7" s="1037"/>
      <c r="H7" s="1037"/>
      <c r="I7" s="1037"/>
      <c r="J7" s="1037"/>
      <c r="K7" s="1037"/>
      <c r="L7" s="1037"/>
      <c r="M7" s="1035"/>
      <c r="N7" s="1035"/>
      <c r="O7" s="1035"/>
      <c r="P7" s="6"/>
    </row>
    <row r="8" spans="1:16" ht="14.85" customHeight="1" thickBot="1">
      <c r="A8" s="1029"/>
      <c r="B8" s="1038"/>
      <c r="C8" s="1039" t="s">
        <v>1492</v>
      </c>
      <c r="D8" s="1040"/>
      <c r="E8" s="1040"/>
      <c r="F8" s="1560" t="s">
        <v>1687</v>
      </c>
      <c r="G8" s="1561"/>
      <c r="H8" s="1561"/>
      <c r="I8" s="1561"/>
      <c r="J8" s="1561"/>
      <c r="K8" s="1562"/>
      <c r="L8" s="1041"/>
      <c r="M8" s="1035"/>
      <c r="N8" s="1035"/>
      <c r="O8" s="1035"/>
      <c r="P8" s="6"/>
    </row>
    <row r="9" spans="1:16" ht="6.75" customHeight="1">
      <c r="A9" s="1029"/>
      <c r="B9" s="1042"/>
      <c r="C9" s="1042"/>
      <c r="D9" s="1042"/>
      <c r="E9" s="1042"/>
      <c r="F9" s="1042"/>
      <c r="G9" s="1042"/>
      <c r="H9" s="1042"/>
      <c r="I9" s="1042"/>
      <c r="J9" s="1042"/>
      <c r="K9" s="1042"/>
      <c r="L9" s="1042"/>
      <c r="M9" s="1042"/>
      <c r="N9" s="1042"/>
      <c r="O9" s="1042"/>
      <c r="P9" s="6"/>
    </row>
    <row r="10" spans="1:16" ht="14.25" customHeight="1">
      <c r="A10" s="1029"/>
      <c r="B10" s="1042"/>
      <c r="C10" s="1043" t="s">
        <v>1493</v>
      </c>
      <c r="D10" s="1044"/>
      <c r="E10" s="1044"/>
      <c r="F10" s="1044"/>
      <c r="G10" s="1044"/>
      <c r="H10" s="1044"/>
      <c r="I10" s="1044"/>
      <c r="J10" s="1044"/>
      <c r="K10" s="1044"/>
      <c r="L10" s="1044"/>
      <c r="M10" s="1044"/>
      <c r="N10" s="1044"/>
      <c r="O10" s="1044"/>
      <c r="P10" s="6"/>
    </row>
    <row r="11" spans="1:16" ht="6.75" customHeight="1" thickBot="1">
      <c r="A11" s="1029"/>
      <c r="B11" s="1042"/>
      <c r="C11" s="1045"/>
      <c r="D11" s="1044"/>
      <c r="E11" s="1044"/>
      <c r="F11" s="1044"/>
      <c r="G11" s="1044"/>
      <c r="H11" s="1044"/>
      <c r="I11" s="1044"/>
      <c r="J11" s="1044"/>
      <c r="K11" s="1044"/>
      <c r="L11" s="1044"/>
      <c r="M11" s="1044"/>
      <c r="N11" s="1044"/>
      <c r="O11" s="1044"/>
      <c r="P11" s="6"/>
    </row>
    <row r="12" spans="1:16" ht="14.25" customHeight="1" thickBot="1">
      <c r="A12" s="1029"/>
      <c r="B12" s="1042"/>
      <c r="C12" s="1046" t="s">
        <v>1494</v>
      </c>
      <c r="D12" s="1047"/>
      <c r="E12" s="1047"/>
      <c r="F12" s="1551"/>
      <c r="G12" s="1552"/>
      <c r="H12" s="1552"/>
      <c r="I12" s="1552"/>
      <c r="J12" s="1552"/>
      <c r="K12" s="1553"/>
      <c r="L12" s="1044"/>
      <c r="M12" s="1044"/>
      <c r="N12" s="1044"/>
      <c r="O12" s="1044"/>
      <c r="P12" s="6"/>
    </row>
    <row r="13" spans="1:16" ht="6.75" customHeight="1" thickBot="1">
      <c r="A13" s="1029"/>
      <c r="B13" s="1035"/>
      <c r="C13" s="1046"/>
      <c r="D13" s="1047"/>
      <c r="E13" s="1047"/>
      <c r="F13" s="1044"/>
      <c r="G13" s="1044"/>
      <c r="H13" s="1044"/>
      <c r="I13" s="1044"/>
      <c r="J13" s="1044"/>
      <c r="K13" s="1044"/>
      <c r="L13" s="1044"/>
      <c r="M13" s="1044"/>
      <c r="N13" s="1044"/>
      <c r="O13" s="1044"/>
      <c r="P13" s="6"/>
    </row>
    <row r="14" spans="1:16" ht="14.25" customHeight="1" thickBot="1">
      <c r="A14" s="1029"/>
      <c r="B14" s="1035"/>
      <c r="C14" s="1046" t="s">
        <v>1495</v>
      </c>
      <c r="D14" s="1047"/>
      <c r="E14" s="1048"/>
      <c r="F14" s="1551"/>
      <c r="G14" s="1552"/>
      <c r="H14" s="1552"/>
      <c r="I14" s="1552"/>
      <c r="J14" s="1552"/>
      <c r="K14" s="1553"/>
      <c r="L14" s="1042"/>
      <c r="M14" s="1042"/>
      <c r="N14" s="1042"/>
      <c r="O14" s="1044"/>
      <c r="P14" s="6"/>
    </row>
    <row r="15" spans="1:16" ht="6.75" customHeight="1" thickBot="1">
      <c r="A15" s="1029"/>
      <c r="B15" s="1035"/>
      <c r="C15" s="1046"/>
      <c r="D15" s="1047"/>
      <c r="E15" s="1048"/>
      <c r="F15" s="1044"/>
      <c r="G15" s="1044"/>
      <c r="H15" s="1044"/>
      <c r="I15" s="1044"/>
      <c r="J15" s="1044"/>
      <c r="K15" s="1044"/>
      <c r="L15" s="1044"/>
      <c r="M15" s="1044"/>
      <c r="N15" s="1044"/>
      <c r="O15" s="1044"/>
      <c r="P15" s="6"/>
    </row>
    <row r="16" spans="1:16" ht="14.25" customHeight="1" thickBot="1">
      <c r="A16" s="1029"/>
      <c r="B16" s="1035"/>
      <c r="C16" s="1046" t="s">
        <v>1646</v>
      </c>
      <c r="D16" s="1047"/>
      <c r="E16" s="1048"/>
      <c r="F16" s="1551"/>
      <c r="G16" s="1552"/>
      <c r="H16" s="1552"/>
      <c r="I16" s="1552"/>
      <c r="J16" s="1552"/>
      <c r="K16" s="1553"/>
      <c r="L16" s="1042"/>
      <c r="M16" s="1042"/>
      <c r="N16" s="1042"/>
      <c r="O16" s="1044"/>
      <c r="P16" s="6"/>
    </row>
    <row r="17" spans="1:16" ht="6.75" customHeight="1" thickBot="1">
      <c r="A17" s="1029"/>
      <c r="B17" s="1035"/>
      <c r="C17" s="1046"/>
      <c r="D17" s="1047"/>
      <c r="E17" s="1047"/>
      <c r="F17" s="1044"/>
      <c r="G17" s="1044"/>
      <c r="H17" s="1044"/>
      <c r="I17" s="1044"/>
      <c r="J17" s="1044"/>
      <c r="K17" s="1044"/>
      <c r="L17" s="1044"/>
      <c r="M17" s="1044"/>
      <c r="N17" s="1044"/>
      <c r="O17" s="1044"/>
      <c r="P17" s="6"/>
    </row>
    <row r="18" spans="1:16" ht="14.25" customHeight="1" thickBot="1">
      <c r="A18" s="1029"/>
      <c r="B18" s="1035"/>
      <c r="C18" s="1046" t="s">
        <v>1647</v>
      </c>
      <c r="D18" s="1047"/>
      <c r="E18" s="1048"/>
      <c r="F18" s="1551"/>
      <c r="G18" s="1552"/>
      <c r="H18" s="1552"/>
      <c r="I18" s="1552"/>
      <c r="J18" s="1552"/>
      <c r="K18" s="1553"/>
      <c r="L18" s="1042"/>
      <c r="M18" s="1042"/>
      <c r="N18" s="1042"/>
      <c r="O18" s="1044"/>
      <c r="P18" s="6"/>
    </row>
    <row r="19" spans="1:16" ht="6.75" customHeight="1" thickBot="1">
      <c r="A19" s="1029"/>
      <c r="B19" s="1035"/>
      <c r="C19" s="1046"/>
      <c r="D19" s="1047"/>
      <c r="E19" s="1048"/>
      <c r="F19" s="1047"/>
      <c r="G19" s="1047"/>
      <c r="H19" s="1047"/>
      <c r="I19" s="1047"/>
      <c r="J19" s="1047"/>
      <c r="K19" s="1047"/>
      <c r="L19" s="1044"/>
      <c r="M19" s="1044"/>
      <c r="N19" s="1044"/>
      <c r="O19" s="1044"/>
      <c r="P19" s="6"/>
    </row>
    <row r="20" spans="1:16" ht="14.25" customHeight="1" thickBot="1">
      <c r="A20" s="1029"/>
      <c r="B20" s="1035"/>
      <c r="C20" s="1049" t="s">
        <v>1496</v>
      </c>
      <c r="D20" s="1047"/>
      <c r="E20" s="1047"/>
      <c r="F20" s="1551"/>
      <c r="G20" s="1552"/>
      <c r="H20" s="1552"/>
      <c r="I20" s="1552"/>
      <c r="J20" s="1552"/>
      <c r="K20" s="1553"/>
      <c r="L20" s="1042"/>
      <c r="M20" s="1042"/>
      <c r="N20" s="1042"/>
      <c r="O20" s="1044"/>
      <c r="P20" s="6"/>
    </row>
    <row r="21" spans="1:16" ht="6.75" customHeight="1" thickBot="1">
      <c r="A21" s="1029"/>
      <c r="B21" s="1035"/>
      <c r="C21" s="1046"/>
      <c r="D21" s="1048"/>
      <c r="E21" s="1048"/>
      <c r="F21" s="1050"/>
      <c r="G21" s="1050"/>
      <c r="H21" s="1050"/>
      <c r="I21" s="1044"/>
      <c r="J21" s="1044"/>
      <c r="K21" s="1044"/>
      <c r="L21" s="1044"/>
      <c r="M21" s="1044"/>
      <c r="N21" s="1044"/>
      <c r="O21" s="1044"/>
      <c r="P21" s="6"/>
    </row>
    <row r="22" spans="1:16" ht="14.25" customHeight="1" thickBot="1">
      <c r="A22" s="1029"/>
      <c r="B22" s="1035"/>
      <c r="C22" s="1046" t="s">
        <v>1497</v>
      </c>
      <c r="D22" s="1047"/>
      <c r="E22" s="1047"/>
      <c r="F22" s="1551"/>
      <c r="G22" s="1552"/>
      <c r="H22" s="1552"/>
      <c r="I22" s="1552"/>
      <c r="J22" s="1552"/>
      <c r="K22" s="1553"/>
      <c r="L22" s="1042"/>
      <c r="M22" s="1042"/>
      <c r="N22" s="1042"/>
      <c r="O22" s="1044"/>
      <c r="P22" s="6"/>
    </row>
    <row r="23" spans="1:16" ht="6.75" customHeight="1" thickBot="1">
      <c r="A23" s="1029"/>
      <c r="B23" s="1035"/>
      <c r="C23" s="1046"/>
      <c r="D23" s="1048"/>
      <c r="E23" s="1048"/>
      <c r="F23" s="1044"/>
      <c r="G23" s="1044"/>
      <c r="H23" s="1044"/>
      <c r="I23" s="1044"/>
      <c r="J23" s="1044"/>
      <c r="K23" s="1044"/>
      <c r="L23" s="1044"/>
      <c r="M23" s="1044"/>
      <c r="N23" s="1044"/>
      <c r="O23" s="1044"/>
      <c r="P23" s="6"/>
    </row>
    <row r="24" spans="1:16" ht="14.25" customHeight="1" thickBot="1">
      <c r="A24" s="1029"/>
      <c r="B24" s="1035"/>
      <c r="C24" s="1049" t="s">
        <v>1498</v>
      </c>
      <c r="D24" s="1047"/>
      <c r="E24" s="1047"/>
      <c r="F24" s="1551"/>
      <c r="G24" s="1552"/>
      <c r="H24" s="1552"/>
      <c r="I24" s="1552"/>
      <c r="J24" s="1552"/>
      <c r="K24" s="1553"/>
      <c r="L24" s="1042"/>
      <c r="M24" s="1042"/>
      <c r="N24" s="1042"/>
      <c r="O24" s="1044"/>
      <c r="P24" s="6"/>
    </row>
    <row r="25" spans="1:16" ht="6.75" customHeight="1" thickBot="1">
      <c r="A25" s="1029"/>
      <c r="B25" s="1035"/>
      <c r="C25" s="1046"/>
      <c r="D25" s="1047"/>
      <c r="E25" s="1047"/>
      <c r="F25" s="1044"/>
      <c r="G25" s="1044"/>
      <c r="H25" s="1044"/>
      <c r="I25" s="1044"/>
      <c r="J25" s="1044"/>
      <c r="K25" s="1044"/>
      <c r="L25" s="1044"/>
      <c r="M25" s="1044"/>
      <c r="N25" s="1044"/>
      <c r="O25" s="1044"/>
      <c r="P25" s="6"/>
    </row>
    <row r="26" spans="1:16" ht="14.25" customHeight="1" thickBot="1">
      <c r="A26" s="1029"/>
      <c r="B26" s="1035"/>
      <c r="C26" s="1046" t="s">
        <v>1499</v>
      </c>
      <c r="D26" s="1047"/>
      <c r="E26" s="1051"/>
      <c r="F26" s="1551"/>
      <c r="G26" s="1552"/>
      <c r="H26" s="1552"/>
      <c r="I26" s="1552"/>
      <c r="J26" s="1552"/>
      <c r="K26" s="1553"/>
      <c r="L26" s="1042"/>
      <c r="M26" s="1042"/>
      <c r="N26" s="1042"/>
      <c r="O26" s="1044"/>
      <c r="P26" s="6"/>
    </row>
    <row r="27" spans="1:16" ht="6.75" customHeight="1" thickBot="1">
      <c r="A27" s="1029"/>
      <c r="B27" s="1035"/>
      <c r="C27" s="1046"/>
      <c r="D27" s="1047"/>
      <c r="E27" s="1047"/>
      <c r="F27" s="1044"/>
      <c r="G27" s="1044"/>
      <c r="H27" s="1044"/>
      <c r="I27" s="1044"/>
      <c r="J27" s="1044"/>
      <c r="K27" s="1044"/>
      <c r="L27" s="1044"/>
      <c r="M27" s="1044"/>
      <c r="N27" s="1044"/>
      <c r="O27" s="1044"/>
      <c r="P27" s="6"/>
    </row>
    <row r="28" spans="1:16" ht="14.25" customHeight="1" thickBot="1">
      <c r="A28" s="1029"/>
      <c r="B28" s="1035"/>
      <c r="C28" s="1046" t="s">
        <v>1641</v>
      </c>
      <c r="D28" s="1047"/>
      <c r="E28" s="1035"/>
      <c r="F28" s="1551"/>
      <c r="G28" s="1552"/>
      <c r="H28" s="1552"/>
      <c r="I28" s="1552"/>
      <c r="J28" s="1552"/>
      <c r="K28" s="1553"/>
      <c r="L28" s="952"/>
      <c r="M28" s="952"/>
      <c r="N28" s="952"/>
      <c r="O28" s="1044"/>
      <c r="P28" s="6"/>
    </row>
    <row r="29" spans="1:16" ht="6.75" customHeight="1">
      <c r="A29" s="1029"/>
      <c r="B29" s="1035"/>
      <c r="C29" s="1046"/>
      <c r="D29" s="1047"/>
      <c r="E29" s="1047"/>
      <c r="F29" s="1047"/>
      <c r="G29" s="1047"/>
      <c r="H29" s="1047"/>
      <c r="I29" s="1047"/>
      <c r="J29" s="1047"/>
      <c r="K29" s="1047"/>
      <c r="L29" s="1044"/>
      <c r="M29" s="1044"/>
      <c r="N29" s="1044"/>
      <c r="O29" s="1044"/>
      <c r="P29" s="6"/>
    </row>
    <row r="30" spans="1:16" ht="14.25" customHeight="1">
      <c r="A30" s="1029"/>
      <c r="B30" s="1042"/>
      <c r="C30" s="1052" t="s">
        <v>1500</v>
      </c>
      <c r="D30" s="1044"/>
      <c r="E30" s="1044"/>
      <c r="F30" s="1044"/>
      <c r="G30" s="1044"/>
      <c r="H30" s="1044"/>
      <c r="I30" s="1044"/>
      <c r="J30" s="1044"/>
      <c r="K30" s="1044"/>
      <c r="L30" s="1044"/>
      <c r="M30" s="1044"/>
      <c r="N30" s="1044"/>
      <c r="O30" s="1044"/>
      <c r="P30" s="6"/>
    </row>
    <row r="31" spans="1:16" ht="6.75" customHeight="1" thickBot="1">
      <c r="A31" s="1029"/>
      <c r="B31" s="1042"/>
      <c r="C31" s="1043"/>
      <c r="D31" s="1044"/>
      <c r="E31" s="1044"/>
      <c r="F31" s="1044"/>
      <c r="G31" s="1044"/>
      <c r="H31" s="1044"/>
      <c r="I31" s="1044"/>
      <c r="J31" s="1044"/>
      <c r="K31" s="1044"/>
      <c r="L31" s="1044"/>
      <c r="M31" s="1044"/>
      <c r="N31" s="1044"/>
      <c r="O31" s="1044"/>
      <c r="P31" s="6"/>
    </row>
    <row r="32" spans="1:16" ht="14.25" customHeight="1" thickBot="1">
      <c r="A32" s="1029"/>
      <c r="B32" s="1042"/>
      <c r="C32" s="1046" t="s">
        <v>1504</v>
      </c>
      <c r="D32" s="1047"/>
      <c r="E32" s="1047"/>
      <c r="F32" s="1551"/>
      <c r="G32" s="1552"/>
      <c r="H32" s="1552"/>
      <c r="I32" s="1552"/>
      <c r="J32" s="1552"/>
      <c r="K32" s="1553"/>
      <c r="L32" s="1042"/>
      <c r="M32" s="1042"/>
      <c r="N32" s="1042"/>
      <c r="O32" s="1044"/>
      <c r="P32" s="6"/>
    </row>
    <row r="33" spans="1:16" ht="6.75" customHeight="1" thickBot="1">
      <c r="A33" s="1029"/>
      <c r="B33" s="1035"/>
      <c r="C33" s="1046"/>
      <c r="D33" s="1047"/>
      <c r="E33" s="1047"/>
      <c r="F33" s="1044"/>
      <c r="G33" s="1044"/>
      <c r="H33" s="1044"/>
      <c r="I33" s="1044"/>
      <c r="J33" s="1044"/>
      <c r="K33" s="1044"/>
      <c r="L33" s="1044"/>
      <c r="M33" s="1044"/>
      <c r="N33" s="1044"/>
      <c r="O33" s="1044"/>
      <c r="P33" s="6"/>
    </row>
    <row r="34" spans="1:16" ht="14.25" customHeight="1" thickBot="1">
      <c r="A34" s="1029"/>
      <c r="B34" s="1035"/>
      <c r="C34" s="1053" t="s">
        <v>1501</v>
      </c>
      <c r="D34" s="1047"/>
      <c r="E34" s="1047"/>
      <c r="F34" s="1551"/>
      <c r="G34" s="1552"/>
      <c r="H34" s="1552"/>
      <c r="I34" s="1552"/>
      <c r="J34" s="1552"/>
      <c r="K34" s="1553"/>
      <c r="L34" s="1042"/>
      <c r="M34" s="1042"/>
      <c r="N34" s="1042"/>
      <c r="O34" s="1044"/>
      <c r="P34" s="6"/>
    </row>
    <row r="35" spans="1:16" ht="6.75" customHeight="1" thickBot="1">
      <c r="A35" s="1029"/>
      <c r="B35" s="1035"/>
      <c r="C35" s="1046"/>
      <c r="D35" s="1047"/>
      <c r="E35" s="1048"/>
      <c r="F35" s="1044"/>
      <c r="G35" s="1044"/>
      <c r="H35" s="1044"/>
      <c r="I35" s="1044"/>
      <c r="J35" s="1044"/>
      <c r="K35" s="1044"/>
      <c r="L35" s="1044"/>
      <c r="M35" s="1044"/>
      <c r="N35" s="1044"/>
      <c r="O35" s="1044"/>
      <c r="P35" s="6"/>
    </row>
    <row r="36" spans="1:16" ht="14.25" customHeight="1" thickBot="1">
      <c r="A36" s="1029"/>
      <c r="B36" s="1035"/>
      <c r="C36" s="1046" t="s">
        <v>1502</v>
      </c>
      <c r="D36" s="1047"/>
      <c r="E36" s="1047"/>
      <c r="F36" s="1551"/>
      <c r="G36" s="1552"/>
      <c r="H36" s="1552"/>
      <c r="I36" s="1552"/>
      <c r="J36" s="1552"/>
      <c r="K36" s="1553"/>
      <c r="L36" s="1042"/>
      <c r="M36" s="1042"/>
      <c r="N36" s="1042"/>
      <c r="O36" s="1044"/>
      <c r="P36" s="6"/>
    </row>
    <row r="37" spans="1:16" ht="6.75" customHeight="1" thickBot="1">
      <c r="A37" s="1029"/>
      <c r="B37" s="1035"/>
      <c r="C37" s="1046"/>
      <c r="D37" s="1048"/>
      <c r="E37" s="1048"/>
      <c r="F37" s="1050"/>
      <c r="G37" s="1050"/>
      <c r="H37" s="1044"/>
      <c r="I37" s="1044"/>
      <c r="J37" s="1044"/>
      <c r="K37" s="1044"/>
      <c r="L37" s="1044"/>
      <c r="M37" s="1044"/>
      <c r="N37" s="1044"/>
      <c r="O37" s="1044"/>
      <c r="P37" s="6"/>
    </row>
    <row r="38" spans="1:16" ht="14.25" customHeight="1" thickBot="1">
      <c r="A38" s="1029"/>
      <c r="B38" s="1035"/>
      <c r="C38" s="1046" t="s">
        <v>1497</v>
      </c>
      <c r="D38" s="1047"/>
      <c r="E38" s="1047"/>
      <c r="F38" s="1551"/>
      <c r="G38" s="1552"/>
      <c r="H38" s="1552"/>
      <c r="I38" s="1552"/>
      <c r="J38" s="1552"/>
      <c r="K38" s="1553"/>
      <c r="L38" s="1042"/>
      <c r="M38" s="1042"/>
      <c r="N38" s="1042"/>
      <c r="O38" s="1044"/>
      <c r="P38" s="6"/>
    </row>
    <row r="39" spans="1:16" ht="6.75" customHeight="1">
      <c r="A39" s="1029"/>
      <c r="B39" s="1035"/>
      <c r="C39" s="1046"/>
      <c r="D39" s="1047"/>
      <c r="E39" s="1047"/>
      <c r="F39" s="1047"/>
      <c r="G39" s="1047"/>
      <c r="H39" s="1047"/>
      <c r="I39" s="1047"/>
      <c r="J39" s="1044"/>
      <c r="K39" s="1044"/>
      <c r="L39" s="1044"/>
      <c r="M39" s="1044"/>
      <c r="N39" s="1044"/>
      <c r="O39" s="1044"/>
      <c r="P39" s="6"/>
    </row>
    <row r="40" spans="1:16" ht="15" customHeight="1">
      <c r="A40" s="1029"/>
      <c r="B40" s="1035"/>
      <c r="C40" s="1054" t="s">
        <v>1503</v>
      </c>
      <c r="D40" s="1047"/>
      <c r="E40" s="1047"/>
      <c r="F40" s="1047"/>
      <c r="G40" s="1047"/>
      <c r="H40" s="1047"/>
      <c r="I40" s="1047"/>
      <c r="J40" s="1044"/>
      <c r="K40" s="1044"/>
      <c r="L40" s="1044"/>
      <c r="M40" s="1044"/>
      <c r="N40" s="1044"/>
      <c r="O40" s="1044"/>
      <c r="P40" s="6"/>
    </row>
    <row r="41" spans="1:16" ht="6.75" customHeight="1">
      <c r="A41" s="1029"/>
      <c r="B41" s="1035"/>
      <c r="C41" s="1055"/>
      <c r="D41" s="1047"/>
      <c r="E41" s="1047"/>
      <c r="F41" s="1047"/>
      <c r="G41" s="1047"/>
      <c r="H41" s="1047"/>
      <c r="I41" s="1047"/>
      <c r="J41" s="1044"/>
      <c r="K41" s="1044"/>
      <c r="L41" s="1044"/>
      <c r="M41" s="1044"/>
      <c r="N41" s="1044"/>
      <c r="O41" s="1044"/>
      <c r="P41" s="6"/>
    </row>
    <row r="42" spans="1:16" ht="15" customHeight="1">
      <c r="A42" s="6"/>
      <c r="B42" s="6"/>
      <c r="C42" s="1056"/>
      <c r="D42" s="1056"/>
      <c r="E42" s="1056"/>
      <c r="F42" s="1056"/>
      <c r="G42" s="1056"/>
      <c r="H42" s="1056"/>
      <c r="I42" s="1056"/>
      <c r="J42" s="1056"/>
      <c r="K42" s="1056"/>
      <c r="L42" s="1056"/>
      <c r="M42" s="1056"/>
      <c r="N42" s="6"/>
      <c r="O42" s="6"/>
      <c r="P42" s="6"/>
    </row>
    <row r="43" spans="1:16" ht="15" customHeight="1">
      <c r="A43" s="6"/>
      <c r="B43" s="1057"/>
      <c r="C43" s="1558" t="s">
        <v>1642</v>
      </c>
      <c r="D43" s="1559"/>
      <c r="E43" s="1559"/>
      <c r="F43" s="1559"/>
      <c r="G43" s="1559"/>
      <c r="H43" s="1559"/>
      <c r="I43" s="1559"/>
      <c r="J43" s="1559"/>
      <c r="K43" s="1559"/>
      <c r="L43" s="1559"/>
      <c r="M43" s="1034"/>
      <c r="N43" s="1034"/>
      <c r="O43" s="1034"/>
      <c r="P43" s="6"/>
    </row>
    <row r="44" spans="1:16" ht="6.75" customHeight="1" thickBot="1">
      <c r="A44" s="6"/>
      <c r="B44" s="5"/>
      <c r="C44" s="1036"/>
      <c r="D44" s="1058"/>
      <c r="E44" s="1058"/>
      <c r="F44" s="1058"/>
      <c r="G44" s="1058"/>
      <c r="H44" s="1058"/>
      <c r="I44" s="1058"/>
      <c r="J44" s="1058"/>
      <c r="K44" s="1058"/>
      <c r="L44" s="1058"/>
      <c r="M44" s="1059"/>
      <c r="N44" s="1059"/>
      <c r="O44" s="1059"/>
      <c r="P44" s="6"/>
    </row>
    <row r="45" spans="1:16" ht="15" customHeight="1" thickBot="1">
      <c r="A45" s="6"/>
      <c r="B45" s="1060" t="s">
        <v>1334</v>
      </c>
      <c r="C45" s="1039" t="s">
        <v>1648</v>
      </c>
      <c r="D45" s="1039"/>
      <c r="E45" s="1039"/>
      <c r="F45" s="1554" t="s">
        <v>1457</v>
      </c>
      <c r="G45" s="1555"/>
      <c r="H45" s="1555"/>
      <c r="I45" s="1555"/>
      <c r="J45" s="1555"/>
      <c r="K45" s="1556"/>
      <c r="L45" s="1041"/>
      <c r="M45" s="1059"/>
      <c r="N45" s="1059"/>
      <c r="O45" s="1059"/>
      <c r="P45" s="6"/>
    </row>
    <row r="46" spans="1:16" ht="6.75" customHeight="1">
      <c r="A46" s="6"/>
      <c r="B46" s="1060"/>
      <c r="C46" s="1040"/>
      <c r="D46" s="1040"/>
      <c r="E46" s="1040"/>
      <c r="F46" s="1040"/>
      <c r="G46" s="1040"/>
      <c r="H46" s="1040"/>
      <c r="I46" s="1040"/>
      <c r="J46" s="1040"/>
      <c r="K46" s="1040"/>
      <c r="L46" s="1040"/>
      <c r="M46" s="1059"/>
      <c r="N46" s="1059"/>
      <c r="O46" s="1059"/>
      <c r="P46" s="6"/>
    </row>
    <row r="47" spans="1:16" ht="15" customHeight="1">
      <c r="A47" s="6"/>
      <c r="B47" s="1061" t="s">
        <v>1334</v>
      </c>
      <c r="C47" s="1557" t="s">
        <v>1505</v>
      </c>
      <c r="D47" s="1557"/>
      <c r="E47" s="1557"/>
      <c r="F47" s="1557"/>
      <c r="G47" s="1557"/>
      <c r="H47" s="1557"/>
      <c r="I47" s="1557"/>
      <c r="J47" s="1557"/>
      <c r="K47" s="1557"/>
      <c r="L47" s="1557"/>
      <c r="M47" s="1059"/>
      <c r="N47" s="1059"/>
      <c r="O47" s="1059"/>
      <c r="P47" s="6"/>
    </row>
    <row r="48" spans="1:16" ht="6.75" customHeight="1">
      <c r="A48" s="6"/>
      <c r="B48" s="1062"/>
      <c r="C48" s="1043"/>
      <c r="D48" s="1044"/>
      <c r="E48" s="1044"/>
      <c r="F48" s="1044"/>
      <c r="G48" s="1044"/>
      <c r="H48" s="1044"/>
      <c r="I48" s="1044"/>
      <c r="J48" s="1044"/>
      <c r="K48" s="1044"/>
      <c r="L48" s="1044"/>
      <c r="M48" s="1044"/>
      <c r="N48" s="1044"/>
      <c r="O48" s="1044"/>
      <c r="P48" s="6"/>
    </row>
    <row r="49" spans="1:16" ht="15.75" customHeight="1">
      <c r="A49" s="6"/>
      <c r="B49" s="6"/>
      <c r="C49" s="1063"/>
      <c r="D49" s="1064"/>
      <c r="E49" s="1064"/>
      <c r="F49" s="1064"/>
      <c r="G49" s="1064"/>
      <c r="H49" s="1064"/>
      <c r="I49" s="1064"/>
      <c r="J49" s="1064"/>
      <c r="K49" s="1064"/>
      <c r="L49" s="1064"/>
      <c r="M49" s="1064"/>
      <c r="N49" s="6"/>
      <c r="O49" s="6"/>
      <c r="P49" s="6"/>
    </row>
    <row r="50" spans="1:16" s="1021" customFormat="1"/>
    <row r="51" spans="1:16" s="1021" customFormat="1"/>
    <row r="52" spans="1:16" s="1021" customFormat="1"/>
    <row r="53" spans="1:16" s="1021" customFormat="1"/>
    <row r="54" spans="1:16" s="1021" customFormat="1"/>
    <row r="55" spans="1:16" s="1021" customFormat="1"/>
    <row r="56" spans="1:16" s="1021" customFormat="1"/>
    <row r="57" spans="1:16" s="1021" customFormat="1"/>
    <row r="58" spans="1:16" s="1021" customFormat="1"/>
    <row r="59" spans="1:16" s="1021" customFormat="1"/>
    <row r="60" spans="1:16" s="1021" customFormat="1"/>
    <row r="61" spans="1:16" s="1021" customFormat="1"/>
    <row r="62" spans="1:16" s="1021" customFormat="1"/>
    <row r="63" spans="1:16" s="1021" customFormat="1"/>
    <row r="64" spans="1:16" s="1021" customFormat="1"/>
    <row r="65" s="1021" customFormat="1"/>
    <row r="66" s="1021" customFormat="1"/>
    <row r="67" s="1021" customFormat="1"/>
    <row r="68" s="1021" customFormat="1"/>
    <row r="69" s="1021" customFormat="1"/>
    <row r="70" s="1021" customFormat="1"/>
    <row r="71" s="1021" customFormat="1"/>
    <row r="72" s="1021" customFormat="1"/>
    <row r="73" s="1021" customFormat="1"/>
    <row r="74" s="1021" customFormat="1"/>
    <row r="75" s="1021" customFormat="1"/>
    <row r="76" s="1021" customFormat="1"/>
    <row r="77" s="1021" customFormat="1"/>
    <row r="78" s="1021" customFormat="1"/>
    <row r="79" s="1021" customFormat="1"/>
    <row r="80" s="1021" customFormat="1"/>
    <row r="81" s="1021" customFormat="1"/>
    <row r="82" s="1021" customFormat="1"/>
    <row r="83" s="1021" customFormat="1"/>
    <row r="84" s="1021" customFormat="1"/>
    <row r="85" s="1021" customFormat="1"/>
    <row r="86" s="1021" customFormat="1"/>
    <row r="87" s="1021" customFormat="1"/>
    <row r="88" s="1021" customFormat="1"/>
    <row r="89" s="1021" customFormat="1"/>
    <row r="90" s="1021" customFormat="1"/>
    <row r="91" s="1021" customFormat="1"/>
    <row r="92" s="1021" customFormat="1"/>
    <row r="93" s="1021" customFormat="1"/>
    <row r="94" s="1021" customFormat="1"/>
    <row r="95" s="1021" customFormat="1"/>
    <row r="96" s="1021" customFormat="1"/>
    <row r="97" s="1021" customFormat="1"/>
    <row r="98" s="1021" customFormat="1"/>
    <row r="99" s="1021" customFormat="1"/>
    <row r="100" s="1021" customFormat="1"/>
    <row r="101" s="1021" customFormat="1"/>
    <row r="102" s="1021" customFormat="1"/>
    <row r="103" s="1021" customFormat="1"/>
    <row r="104" s="1021" customFormat="1"/>
    <row r="105" s="1021" customFormat="1"/>
    <row r="106" s="1021" customFormat="1"/>
    <row r="107" s="1021" customFormat="1"/>
    <row r="108" s="1021" customFormat="1"/>
    <row r="109" s="1021" customFormat="1"/>
    <row r="110" s="1021" customFormat="1"/>
    <row r="111" s="1021" customFormat="1"/>
    <row r="112" s="1021" customFormat="1"/>
    <row r="113" s="1021" customFormat="1"/>
    <row r="114" s="1021" customFormat="1"/>
    <row r="115" s="1021" customFormat="1"/>
    <row r="116" s="1021" customFormat="1"/>
    <row r="117" s="1021" customFormat="1"/>
    <row r="118" s="1021" customFormat="1"/>
    <row r="119" s="1021" customFormat="1"/>
    <row r="120" s="1021" customFormat="1"/>
    <row r="121" s="1021" customFormat="1"/>
    <row r="122" s="1021" customFormat="1"/>
    <row r="123" s="1021" customFormat="1"/>
    <row r="124" s="1021" customFormat="1"/>
    <row r="125" s="1021" customFormat="1"/>
    <row r="126" s="1021" customFormat="1"/>
    <row r="127" s="1021" customFormat="1"/>
    <row r="128" s="1021" customFormat="1"/>
    <row r="129" s="1021" customFormat="1"/>
    <row r="130" s="1021" customFormat="1"/>
    <row r="131" s="1021" customFormat="1"/>
    <row r="132" s="1021" customFormat="1"/>
    <row r="133" s="1021" customFormat="1"/>
    <row r="134" s="1021" customFormat="1"/>
    <row r="135" s="1021" customFormat="1"/>
    <row r="136" s="1021" customFormat="1"/>
    <row r="137" s="1021" customFormat="1"/>
    <row r="138" s="1021" customFormat="1"/>
    <row r="139" s="1021" customFormat="1"/>
    <row r="140" s="1021" customFormat="1"/>
    <row r="141" s="1021" customFormat="1"/>
    <row r="142" s="1021" customFormat="1"/>
    <row r="143" s="1021" customFormat="1"/>
    <row r="144" s="1021" customFormat="1"/>
    <row r="145" s="1021" customFormat="1"/>
    <row r="146" s="1021" customFormat="1"/>
    <row r="147" s="1021" customFormat="1"/>
    <row r="148" s="1021" customFormat="1"/>
    <row r="149" s="1021" customFormat="1"/>
    <row r="150" s="1021" customFormat="1"/>
    <row r="151" s="1021" customFormat="1"/>
    <row r="152" s="1021" customFormat="1"/>
    <row r="153" s="1021" customFormat="1"/>
    <row r="154" s="1021" customFormat="1"/>
    <row r="155" s="1021" customFormat="1"/>
    <row r="156" s="1021" customFormat="1"/>
    <row r="157" s="1021" customFormat="1"/>
    <row r="158" s="1021" customFormat="1"/>
    <row r="159" s="1021" customFormat="1"/>
    <row r="160" s="1021" customFormat="1"/>
    <row r="161" s="1021" customFormat="1"/>
    <row r="162" s="1021" customFormat="1"/>
    <row r="163" s="1021" customFormat="1"/>
    <row r="164" s="1021" customFormat="1"/>
    <row r="165" s="1021" customFormat="1"/>
    <row r="166" s="1021" customFormat="1"/>
    <row r="167" s="1021" customFormat="1"/>
    <row r="168" s="1021" customFormat="1"/>
    <row r="169" s="1021" customFormat="1"/>
    <row r="170" s="1021" customFormat="1"/>
    <row r="171" s="1021" customFormat="1"/>
    <row r="172" s="1021" customFormat="1"/>
    <row r="173" s="1021" customFormat="1"/>
    <row r="174" s="1021" customFormat="1"/>
    <row r="175" s="1021" customFormat="1"/>
    <row r="176" s="1021" customFormat="1"/>
    <row r="177" s="1021" customFormat="1"/>
    <row r="178" s="1021" customFormat="1"/>
    <row r="179" s="1021" customFormat="1"/>
    <row r="180" s="1021" customFormat="1"/>
    <row r="181" s="1021" customFormat="1"/>
    <row r="182" s="1021" customFormat="1"/>
    <row r="183" s="1021" customFormat="1"/>
    <row r="184" s="1021" customFormat="1"/>
    <row r="185" s="1021" customFormat="1"/>
    <row r="186" s="1021" customFormat="1"/>
    <row r="187" s="1021" customFormat="1"/>
    <row r="188" s="1021" customFormat="1"/>
    <row r="189" s="1021" customFormat="1"/>
    <row r="190" s="1021" customFormat="1"/>
    <row r="191" s="1021" customFormat="1"/>
    <row r="192" s="1021" customFormat="1"/>
    <row r="193" s="1021" customFormat="1"/>
    <row r="194" s="1021" customFormat="1"/>
    <row r="195" s="1021" customFormat="1"/>
    <row r="196" s="1021" customFormat="1"/>
    <row r="197" s="1021" customFormat="1"/>
    <row r="198" s="1021" customFormat="1"/>
    <row r="199" s="1021" customFormat="1"/>
    <row r="200" s="1021" customFormat="1"/>
    <row r="201" s="1021" customFormat="1"/>
    <row r="202" s="1021" customFormat="1"/>
    <row r="203" s="1021" customFormat="1"/>
    <row r="204" s="1021" customFormat="1"/>
    <row r="205" s="1021" customFormat="1"/>
    <row r="206" s="1021" customFormat="1"/>
    <row r="207" s="1021" customFormat="1"/>
    <row r="208" s="1021" customFormat="1"/>
    <row r="209" s="1021" customFormat="1"/>
    <row r="210" s="1021" customFormat="1"/>
    <row r="211" s="1021" customFormat="1"/>
    <row r="212" s="1021" customFormat="1"/>
    <row r="213" s="1021" customFormat="1"/>
    <row r="214" s="1021" customFormat="1"/>
    <row r="215" s="1021" customFormat="1"/>
    <row r="216" s="1021" customFormat="1"/>
    <row r="217" s="1021" customFormat="1"/>
    <row r="218" s="1021" customFormat="1"/>
    <row r="219" s="1021" customFormat="1"/>
    <row r="220" s="1021" customFormat="1"/>
    <row r="221" s="1021" customFormat="1"/>
    <row r="222" s="1021" customFormat="1"/>
    <row r="223" s="1021" customFormat="1"/>
    <row r="224" s="1021" customFormat="1"/>
    <row r="225" s="1021" customFormat="1"/>
    <row r="226" s="1021" customFormat="1"/>
    <row r="227" s="1021" customFormat="1"/>
    <row r="228" s="1021" customFormat="1"/>
    <row r="229" s="1021" customFormat="1"/>
    <row r="230" s="1021" customFormat="1"/>
    <row r="231" s="1021" customFormat="1"/>
    <row r="232" s="1021" customFormat="1"/>
    <row r="233" s="1021" customFormat="1"/>
    <row r="234" s="1021" customFormat="1"/>
    <row r="235" s="1021" customFormat="1"/>
    <row r="236" s="1021" customFormat="1"/>
    <row r="237" s="1021" customFormat="1"/>
    <row r="238" s="1021" customFormat="1"/>
    <row r="239" s="1021" customFormat="1"/>
    <row r="240" s="1021" customFormat="1"/>
    <row r="241" s="1021" customFormat="1"/>
    <row r="242" s="1021" customFormat="1"/>
    <row r="243" s="1021" customFormat="1"/>
    <row r="244" s="1021" customFormat="1"/>
    <row r="245" s="1021" customFormat="1"/>
    <row r="246" s="1021" customFormat="1"/>
    <row r="247" s="1021" customFormat="1"/>
    <row r="248" s="1021" customFormat="1"/>
    <row r="249" s="1021" customFormat="1"/>
    <row r="250" s="1021" customFormat="1"/>
    <row r="251" s="1021" customFormat="1"/>
    <row r="252" s="1021" customFormat="1"/>
    <row r="253" s="1021" customFormat="1"/>
    <row r="254" s="1021" customFormat="1"/>
    <row r="255" s="1021" customFormat="1"/>
    <row r="256" s="1021" customFormat="1"/>
    <row r="257" s="1021" customFormat="1"/>
    <row r="258" s="1021" customFormat="1"/>
    <row r="259" s="1021" customFormat="1"/>
    <row r="260" s="1021" customFormat="1"/>
    <row r="261" s="1021" customFormat="1"/>
    <row r="262" s="1021" customFormat="1"/>
    <row r="263" s="1021" customFormat="1"/>
    <row r="264" s="1021" customFormat="1"/>
    <row r="265" s="1021" customFormat="1"/>
    <row r="266" s="1021" customFormat="1"/>
    <row r="267" s="1021" customFormat="1"/>
    <row r="268" s="1021" customFormat="1"/>
    <row r="269" s="1021" customFormat="1"/>
    <row r="270" s="1021" customFormat="1"/>
    <row r="271" s="1021" customFormat="1"/>
    <row r="272" s="1021" customFormat="1"/>
    <row r="273" s="1021" customFormat="1"/>
    <row r="274" s="1021" customFormat="1"/>
    <row r="275" s="1021" customFormat="1"/>
    <row r="276" s="1021" customFormat="1"/>
    <row r="277" s="1021" customFormat="1"/>
    <row r="278" s="1021" customFormat="1"/>
    <row r="279" s="1021" customFormat="1"/>
    <row r="280" s="1021" customFormat="1"/>
    <row r="281" s="1021" customFormat="1"/>
    <row r="282" s="1021" customFormat="1"/>
    <row r="283" s="1021" customFormat="1"/>
    <row r="284" s="1021" customFormat="1"/>
    <row r="285" s="1021" customFormat="1"/>
    <row r="286" s="1021" customFormat="1"/>
    <row r="287" s="1021" customFormat="1"/>
    <row r="288" s="1021" customFormat="1"/>
    <row r="289" s="1021" customFormat="1"/>
    <row r="290" s="1021" customFormat="1"/>
    <row r="291" s="1021" customFormat="1"/>
    <row r="292" s="1021" customFormat="1"/>
    <row r="293" s="1021" customFormat="1"/>
    <row r="294" s="1021" customFormat="1"/>
    <row r="295" s="1021" customFormat="1"/>
    <row r="296" s="1021" customFormat="1"/>
    <row r="297" s="1021" customFormat="1"/>
    <row r="298" s="1021" customFormat="1"/>
    <row r="299" s="1021" customFormat="1"/>
    <row r="300" s="1021" customFormat="1"/>
    <row r="301" s="1021" customFormat="1"/>
    <row r="302" s="1021" customFormat="1"/>
    <row r="303" s="1021" customFormat="1"/>
    <row r="304" s="1021" customFormat="1"/>
    <row r="305" s="1021" customFormat="1"/>
    <row r="306" s="1021" customFormat="1"/>
    <row r="307" s="1021" customFormat="1"/>
    <row r="308" s="1021" customFormat="1"/>
    <row r="309" s="1021" customFormat="1"/>
    <row r="310" s="1021" customFormat="1"/>
    <row r="311" s="1021" customFormat="1"/>
    <row r="312" s="1021" customFormat="1"/>
    <row r="313" s="1021" customFormat="1"/>
    <row r="314" s="1021" customFormat="1"/>
    <row r="315" s="1021" customFormat="1"/>
    <row r="316" s="1021" customFormat="1"/>
    <row r="317" s="1021" customFormat="1"/>
    <row r="318" s="1021" customFormat="1"/>
    <row r="319" s="1021" customFormat="1"/>
    <row r="320" s="1021" customFormat="1"/>
    <row r="321" s="1021" customFormat="1"/>
    <row r="322" s="1021" customFormat="1"/>
    <row r="323" s="1021" customFormat="1"/>
    <row r="324" s="1021" customFormat="1"/>
    <row r="325" s="1021" customFormat="1"/>
    <row r="326" s="1021" customFormat="1"/>
    <row r="327" s="1021" customFormat="1"/>
    <row r="328" s="1021" customFormat="1"/>
    <row r="329" s="1021" customFormat="1"/>
    <row r="330" s="1021" customFormat="1"/>
    <row r="331" s="1021" customFormat="1"/>
    <row r="332" s="1021" customFormat="1"/>
    <row r="333" s="1021" customFormat="1"/>
    <row r="334" s="1021" customFormat="1"/>
    <row r="335" s="1021" customFormat="1"/>
    <row r="336" s="1021" customFormat="1"/>
    <row r="337" s="1021" customFormat="1"/>
    <row r="338" s="1021" customFormat="1"/>
    <row r="339" s="1021" customFormat="1"/>
    <row r="340" s="1021" customFormat="1"/>
    <row r="341" s="1021" customFormat="1"/>
    <row r="342" s="1021" customFormat="1"/>
    <row r="343" s="1021" customFormat="1"/>
    <row r="344" s="1021" customFormat="1"/>
    <row r="345" s="1021" customFormat="1"/>
    <row r="346" s="1021" customFormat="1"/>
    <row r="347" s="1021" customFormat="1"/>
    <row r="348" s="1021" customFormat="1"/>
    <row r="349" s="1021" customFormat="1"/>
    <row r="350" s="1021" customFormat="1"/>
    <row r="351" s="1021" customFormat="1"/>
    <row r="352" s="1021" customFormat="1"/>
    <row r="353" s="1021" customFormat="1"/>
    <row r="354" s="1021" customFormat="1"/>
    <row r="355" s="1021" customFormat="1"/>
    <row r="356" s="1021" customFormat="1"/>
    <row r="357" s="1021" customFormat="1"/>
    <row r="358" s="1021" customFormat="1"/>
    <row r="359" s="1021" customFormat="1"/>
    <row r="360" s="1021" customFormat="1"/>
    <row r="361" s="1021" customFormat="1"/>
    <row r="362" s="1021" customFormat="1"/>
    <row r="363" s="1021" customFormat="1"/>
    <row r="364" s="1021" customFormat="1"/>
    <row r="365" s="1021" customFormat="1"/>
    <row r="366" s="1021" customFormat="1"/>
    <row r="367" s="1021" customFormat="1"/>
    <row r="368" s="1021" customFormat="1"/>
    <row r="369" s="1021" customFormat="1"/>
    <row r="370" s="1021" customFormat="1"/>
    <row r="371" s="1021" customFormat="1"/>
    <row r="372" s="1021" customFormat="1"/>
    <row r="373" s="1021" customFormat="1"/>
    <row r="374" s="1021" customFormat="1"/>
    <row r="375" s="1021" customFormat="1"/>
    <row r="376" s="1021" customFormat="1"/>
    <row r="377" s="1021" customFormat="1"/>
    <row r="378" s="1021" customFormat="1"/>
    <row r="379" s="1021" customFormat="1"/>
    <row r="380" s="1021" customFormat="1"/>
    <row r="381" s="1021" customFormat="1"/>
    <row r="382" s="1021" customFormat="1"/>
    <row r="383" s="1021" customFormat="1"/>
    <row r="384" s="1021" customFormat="1"/>
    <row r="385" s="1021" customFormat="1"/>
    <row r="386" s="1021" customFormat="1"/>
    <row r="387" s="1021" customFormat="1"/>
    <row r="388" s="1021" customFormat="1"/>
    <row r="389" s="1021" customFormat="1"/>
    <row r="390" s="1021" customFormat="1"/>
    <row r="391" s="1021" customFormat="1"/>
    <row r="392" s="1021" customFormat="1"/>
    <row r="393" s="1021" customFormat="1"/>
    <row r="394" s="1021" customFormat="1"/>
    <row r="395" s="1021" customFormat="1"/>
    <row r="396" s="1021" customFormat="1"/>
    <row r="397" s="1021" customFormat="1"/>
    <row r="398" s="1021" customFormat="1"/>
    <row r="399" s="1021" customFormat="1"/>
    <row r="400" s="1021" customFormat="1"/>
    <row r="401" s="1021" customFormat="1"/>
    <row r="402" s="1021" customFormat="1"/>
    <row r="403" s="1021" customFormat="1"/>
    <row r="404" s="1021" customFormat="1"/>
    <row r="405" s="1021" customFormat="1"/>
    <row r="406" s="1021" customFormat="1"/>
    <row r="407" s="1021" customFormat="1"/>
    <row r="408" s="1021" customFormat="1"/>
    <row r="409" s="1021" customFormat="1"/>
    <row r="410" s="1021" customFormat="1"/>
    <row r="411" s="1021" customFormat="1"/>
    <row r="412" s="1021" customFormat="1"/>
    <row r="413" s="1021" customFormat="1"/>
    <row r="414" s="1021" customFormat="1"/>
    <row r="415" s="1021" customFormat="1"/>
    <row r="416" s="1021" customFormat="1"/>
    <row r="417" s="1021" customFormat="1"/>
    <row r="418" s="1021" customFormat="1"/>
    <row r="419" s="1021" customFormat="1"/>
    <row r="420" s="1021" customFormat="1"/>
    <row r="421" s="1021" customFormat="1"/>
    <row r="422" s="1021" customFormat="1"/>
    <row r="423" s="1021" customFormat="1"/>
    <row r="424" s="1021" customFormat="1"/>
    <row r="425" s="1021" customFormat="1"/>
    <row r="426" s="1021" customFormat="1"/>
    <row r="427" s="1021" customFormat="1"/>
    <row r="428" s="1021" customFormat="1"/>
    <row r="429" s="1021" customFormat="1"/>
    <row r="430" s="1021" customFormat="1"/>
    <row r="431" s="1021" customFormat="1"/>
    <row r="432" s="1021" customFormat="1"/>
    <row r="433" s="1021" customFormat="1"/>
    <row r="434" s="1021" customFormat="1"/>
    <row r="435" s="1021" customFormat="1"/>
    <row r="436" s="1021" customFormat="1"/>
    <row r="437" s="1021" customFormat="1"/>
    <row r="438" s="1021" customFormat="1"/>
    <row r="439" s="1021" customFormat="1"/>
    <row r="440" s="1021" customFormat="1"/>
    <row r="441" s="1021" customFormat="1"/>
    <row r="442" s="1021" customFormat="1"/>
    <row r="443" s="1021" customFormat="1"/>
    <row r="444" s="1021" customFormat="1"/>
    <row r="445" s="1021" customFormat="1"/>
    <row r="446" s="1021" customFormat="1"/>
    <row r="447" s="1021" customFormat="1"/>
    <row r="448" s="1021" customFormat="1"/>
    <row r="449" s="1021" customFormat="1"/>
    <row r="450" s="1021" customFormat="1"/>
    <row r="451" s="1021" customFormat="1"/>
    <row r="452" s="1021" customFormat="1"/>
    <row r="453" s="1021" customFormat="1"/>
    <row r="454" s="1021" customFormat="1"/>
    <row r="455" s="1021" customFormat="1"/>
    <row r="456" s="1021" customFormat="1"/>
    <row r="457" s="1021" customFormat="1"/>
    <row r="458" s="1021" customFormat="1"/>
    <row r="459" s="1021" customFormat="1"/>
    <row r="460" s="1021" customFormat="1"/>
    <row r="461" s="1021" customFormat="1"/>
    <row r="462" s="1021" customFormat="1"/>
    <row r="463" s="1021" customFormat="1"/>
    <row r="464" s="1021" customFormat="1"/>
    <row r="465" s="1021" customFormat="1"/>
    <row r="466" s="1021" customFormat="1"/>
    <row r="467" s="1021" customFormat="1"/>
    <row r="468" s="1021" customFormat="1"/>
    <row r="469" s="1021" customFormat="1"/>
    <row r="470" s="1021" customFormat="1"/>
    <row r="471" s="1021" customFormat="1"/>
    <row r="472" s="1021" customFormat="1"/>
    <row r="473" s="1021" customFormat="1"/>
    <row r="474" s="1021" customFormat="1"/>
    <row r="475" s="1021" customFormat="1"/>
    <row r="476" s="1021" customFormat="1"/>
    <row r="477" s="1021" customFormat="1"/>
    <row r="478" s="1021" customFormat="1"/>
    <row r="479" s="1021" customFormat="1"/>
    <row r="480" s="1021" customFormat="1"/>
    <row r="481" s="1021" customFormat="1"/>
    <row r="482" s="1021" customFormat="1"/>
    <row r="483" s="1021" customFormat="1"/>
    <row r="484" s="1021" customFormat="1"/>
    <row r="485" s="1021" customFormat="1"/>
    <row r="486" s="1021" customFormat="1"/>
    <row r="487" s="1021" customFormat="1"/>
    <row r="488" s="1021" customFormat="1"/>
    <row r="489" s="1021" customFormat="1"/>
    <row r="490" s="1021" customFormat="1"/>
    <row r="491" s="1021" customFormat="1"/>
    <row r="492" s="1021" customFormat="1"/>
    <row r="493" s="1021" customFormat="1"/>
    <row r="494" s="1021" customFormat="1"/>
    <row r="495" s="1021" customFormat="1"/>
    <row r="496" s="1021" customFormat="1"/>
    <row r="497" s="1021" customFormat="1"/>
    <row r="498" s="1021" customFormat="1"/>
    <row r="499" s="1021" customFormat="1"/>
    <row r="500" s="1021" customFormat="1"/>
    <row r="501" s="1021" customFormat="1"/>
    <row r="502" s="1021" customFormat="1"/>
    <row r="503" s="1021" customFormat="1"/>
    <row r="504" s="1021" customFormat="1"/>
    <row r="505" s="1021" customFormat="1"/>
    <row r="506" s="1021" customFormat="1"/>
    <row r="507" s="1021" customFormat="1"/>
    <row r="508" s="1021" customFormat="1"/>
    <row r="509" s="1021" customFormat="1"/>
    <row r="510" s="1021" customFormat="1"/>
    <row r="511" s="1021" customFormat="1"/>
    <row r="512" s="1021" customFormat="1"/>
    <row r="513" s="1021" customFormat="1"/>
    <row r="514" s="1021" customFormat="1"/>
    <row r="515" s="1021" customFormat="1"/>
    <row r="516" s="1021" customFormat="1"/>
    <row r="517" s="1021" customFormat="1"/>
    <row r="518" s="1021" customFormat="1"/>
    <row r="519" s="1021" customFormat="1"/>
    <row r="520" s="1021" customFormat="1"/>
    <row r="521" s="1021" customFormat="1"/>
    <row r="522" s="1021" customFormat="1"/>
    <row r="523" s="1021" customFormat="1"/>
    <row r="524" s="1021" customFormat="1"/>
    <row r="525" s="1021" customFormat="1"/>
    <row r="526" s="1021" customFormat="1"/>
    <row r="527" s="1021" customFormat="1"/>
    <row r="528" s="1021" customFormat="1"/>
    <row r="529" s="1021" customFormat="1"/>
    <row r="530" s="1021" customFormat="1"/>
    <row r="531" s="1021" customFormat="1"/>
    <row r="532" s="1021" customFormat="1"/>
    <row r="533" s="1021" customFormat="1"/>
    <row r="534" s="1021" customFormat="1"/>
    <row r="535" s="1021" customFormat="1"/>
    <row r="536" s="1021" customFormat="1"/>
    <row r="537" s="1021" customFormat="1"/>
    <row r="538" s="1021" customFormat="1"/>
    <row r="539" s="1021" customFormat="1"/>
    <row r="540" s="1021" customFormat="1"/>
    <row r="541" s="1021" customFormat="1"/>
    <row r="542" s="1021" customFormat="1"/>
    <row r="543" s="1021" customFormat="1"/>
    <row r="544" s="1021" customFormat="1"/>
    <row r="545" s="1021" customFormat="1"/>
    <row r="546" s="1021" customFormat="1"/>
    <row r="547" s="1021" customFormat="1"/>
    <row r="548" s="1021" customFormat="1"/>
    <row r="549" s="1021" customFormat="1"/>
    <row r="550" s="1021" customFormat="1"/>
    <row r="551" s="1021" customFormat="1"/>
    <row r="552" s="1021" customFormat="1"/>
    <row r="553" s="1021" customFormat="1"/>
    <row r="554" s="1021" customFormat="1"/>
    <row r="555" s="1021" customFormat="1"/>
    <row r="556" s="1021" customFormat="1"/>
    <row r="557" s="1021" customFormat="1"/>
    <row r="558" s="1021" customFormat="1"/>
    <row r="559" s="1021" customFormat="1"/>
    <row r="560" s="1021" customFormat="1"/>
    <row r="561" s="1021" customFormat="1"/>
    <row r="562" s="1021" customFormat="1"/>
    <row r="563" s="1021" customFormat="1"/>
    <row r="564" s="1021" customFormat="1"/>
    <row r="565" s="1021" customFormat="1"/>
    <row r="566" s="1021" customFormat="1"/>
    <row r="567" s="1021" customFormat="1"/>
    <row r="568" s="1021" customFormat="1"/>
    <row r="569" s="1021" customFormat="1"/>
    <row r="570" s="1021" customFormat="1"/>
    <row r="571" s="1021" customFormat="1"/>
    <row r="572" s="1021" customFormat="1"/>
    <row r="573" s="1021" customFormat="1"/>
    <row r="574" s="1021" customFormat="1"/>
    <row r="575" s="1021" customFormat="1"/>
    <row r="576" s="1021" customFormat="1"/>
    <row r="577" s="1021" customFormat="1"/>
    <row r="578" s="1021" customFormat="1"/>
    <row r="579" s="1021" customFormat="1"/>
    <row r="580" s="1021" customFormat="1"/>
    <row r="581" s="1021" customFormat="1"/>
    <row r="582" s="1021" customFormat="1"/>
    <row r="583" s="1021" customFormat="1"/>
    <row r="584" s="1021" customFormat="1"/>
    <row r="585" s="1021" customFormat="1"/>
    <row r="586" s="1021" customFormat="1"/>
    <row r="587" s="1021" customFormat="1"/>
    <row r="588" s="1021" customFormat="1"/>
    <row r="589" s="1021" customFormat="1"/>
    <row r="590" s="1021" customFormat="1"/>
    <row r="591" s="1021" customFormat="1"/>
    <row r="592" s="1021" customFormat="1"/>
    <row r="593" s="1021" customFormat="1"/>
    <row r="594" s="1021" customFormat="1"/>
    <row r="595" s="1021" customFormat="1"/>
    <row r="596" s="1021" customFormat="1"/>
    <row r="597" s="1021" customFormat="1"/>
    <row r="598" s="1021" customFormat="1"/>
    <row r="599" s="1021" customFormat="1"/>
    <row r="600" s="1021" customFormat="1"/>
    <row r="601" s="1021" customFormat="1"/>
    <row r="602" s="1021" customFormat="1"/>
    <row r="603" s="1021" customFormat="1"/>
    <row r="604" s="1021" customFormat="1"/>
    <row r="605" s="1021" customFormat="1"/>
    <row r="606" s="1021" customFormat="1"/>
    <row r="607" s="1021" customFormat="1"/>
    <row r="608" s="1021" customFormat="1"/>
    <row r="609" s="1021" customFormat="1"/>
    <row r="610" s="1021" customFormat="1"/>
    <row r="611" s="1021" customFormat="1"/>
    <row r="612" s="1021" customFormat="1"/>
    <row r="613" s="1021" customFormat="1"/>
    <row r="614" s="1021" customFormat="1"/>
    <row r="615" s="1021" customFormat="1"/>
    <row r="616" s="1021" customFormat="1"/>
    <row r="617" s="1021" customFormat="1"/>
    <row r="618" s="1021" customFormat="1"/>
    <row r="619" s="1021" customFormat="1"/>
    <row r="620" s="1021" customFormat="1"/>
    <row r="621" s="1021" customFormat="1"/>
    <row r="622" s="1021" customFormat="1"/>
    <row r="623" s="1021" customFormat="1"/>
    <row r="624" s="1021" customFormat="1"/>
    <row r="625" s="1021" customFormat="1"/>
    <row r="626" s="1021" customFormat="1"/>
    <row r="627" s="1021" customFormat="1"/>
    <row r="628" s="1021" customFormat="1"/>
    <row r="629" s="1021" customFormat="1"/>
    <row r="630" s="1021" customFormat="1"/>
    <row r="631" s="1021" customFormat="1"/>
    <row r="632" s="1021" customFormat="1"/>
    <row r="633" s="1021" customFormat="1"/>
    <row r="634" s="1021" customFormat="1"/>
    <row r="635" s="1021" customFormat="1"/>
    <row r="636" s="1021" customFormat="1"/>
    <row r="637" s="1021" customFormat="1"/>
    <row r="638" s="1021" customFormat="1"/>
    <row r="639" s="1021" customFormat="1"/>
    <row r="640" s="1021" customFormat="1"/>
    <row r="641" s="1021" customFormat="1"/>
    <row r="642" s="1021" customFormat="1"/>
    <row r="643" s="1021" customFormat="1"/>
    <row r="644" s="1021" customFormat="1"/>
    <row r="645" s="1021" customFormat="1"/>
    <row r="646" s="1021" customFormat="1"/>
    <row r="647" s="1021" customFormat="1"/>
    <row r="648" s="1021" customFormat="1"/>
    <row r="649" s="1021" customFormat="1"/>
    <row r="650" s="1021" customFormat="1"/>
    <row r="651" s="1021" customFormat="1"/>
    <row r="652" s="1021" customFormat="1"/>
    <row r="653" s="1021" customFormat="1"/>
    <row r="654" s="1021" customFormat="1"/>
    <row r="655" s="1021" customFormat="1"/>
    <row r="656" s="1021" customFormat="1"/>
    <row r="657" s="1021" customFormat="1"/>
    <row r="658" s="1021" customFormat="1"/>
    <row r="659" s="1021" customFormat="1"/>
    <row r="660" s="1021" customFormat="1"/>
    <row r="661" s="1021" customFormat="1"/>
    <row r="662" s="1021" customFormat="1"/>
    <row r="663" s="1021" customFormat="1"/>
    <row r="664" s="1021" customFormat="1"/>
    <row r="665" s="1021" customFormat="1"/>
    <row r="666" s="1021" customFormat="1"/>
    <row r="667" s="1021" customFormat="1"/>
    <row r="668" s="1021" customFormat="1"/>
    <row r="669" s="1021" customFormat="1"/>
    <row r="670" s="1021" customFormat="1"/>
    <row r="671" s="1021" customFormat="1"/>
    <row r="672" s="1021" customFormat="1"/>
    <row r="673" s="1021" customFormat="1"/>
    <row r="674" s="1021" customFormat="1"/>
    <row r="675" s="1021" customFormat="1"/>
    <row r="676" s="1021" customFormat="1"/>
    <row r="677" s="1021" customFormat="1"/>
    <row r="678" s="1021" customFormat="1"/>
    <row r="679" s="1021" customFormat="1"/>
    <row r="680" s="1021" customFormat="1"/>
    <row r="681" s="1021" customFormat="1"/>
    <row r="682" s="1021" customFormat="1"/>
    <row r="683" s="1021" customFormat="1"/>
    <row r="684" s="1021" customFormat="1"/>
    <row r="685" s="1021" customFormat="1"/>
    <row r="686" s="1021" customFormat="1"/>
    <row r="687" s="1021" customFormat="1"/>
    <row r="688" s="1021" customFormat="1"/>
    <row r="689" s="1021" customFormat="1"/>
    <row r="690" s="1021" customFormat="1"/>
    <row r="691" s="1021" customFormat="1"/>
    <row r="692" s="1021" customFormat="1"/>
    <row r="693" s="1021" customFormat="1"/>
    <row r="694" s="1021" customFormat="1"/>
    <row r="695" s="1021" customFormat="1"/>
    <row r="696" s="1021" customFormat="1"/>
    <row r="697" s="1021" customFormat="1"/>
    <row r="698" s="1021" customFormat="1"/>
    <row r="699" s="1021" customFormat="1"/>
    <row r="700" s="1021" customFormat="1"/>
    <row r="701" s="1021" customFormat="1"/>
    <row r="702" s="1021" customFormat="1"/>
    <row r="703" s="1021" customFormat="1"/>
    <row r="704" s="1021" customFormat="1"/>
    <row r="705" s="1021" customFormat="1"/>
    <row r="706" s="1021" customFormat="1"/>
    <row r="707" s="1021" customFormat="1"/>
    <row r="708" s="1021" customFormat="1"/>
    <row r="709" s="1021" customFormat="1"/>
    <row r="710" s="1021" customFormat="1"/>
    <row r="711" s="1021" customFormat="1"/>
    <row r="712" s="1021" customFormat="1"/>
    <row r="713" s="1021" customFormat="1"/>
    <row r="714" s="1021" customFormat="1"/>
    <row r="715" s="1021" customFormat="1"/>
    <row r="716" s="1021" customFormat="1"/>
    <row r="717" s="1021" customFormat="1"/>
    <row r="718" s="1021" customFormat="1"/>
    <row r="719" s="1021" customFormat="1"/>
    <row r="720" s="1021" customFormat="1"/>
    <row r="721" s="1021" customFormat="1"/>
    <row r="722" s="1021" customFormat="1"/>
    <row r="723" s="1021" customFormat="1"/>
    <row r="724" s="1021" customFormat="1"/>
    <row r="725" s="1021" customFormat="1"/>
    <row r="726" s="1021" customFormat="1"/>
    <row r="727" s="1021" customFormat="1"/>
    <row r="728" s="1021" customFormat="1"/>
    <row r="729" s="1021" customFormat="1"/>
    <row r="730" s="1021" customFormat="1"/>
    <row r="731" s="1021" customFormat="1"/>
    <row r="732" s="1021" customFormat="1"/>
    <row r="733" s="1021" customFormat="1"/>
    <row r="734" s="1021" customFormat="1"/>
    <row r="735" s="1021" customFormat="1"/>
    <row r="736" s="1021" customFormat="1"/>
    <row r="737" s="1021" customFormat="1"/>
    <row r="738" s="1021" customFormat="1"/>
    <row r="739" s="1021" customFormat="1"/>
    <row r="740" s="1021" customFormat="1"/>
    <row r="741" s="1021" customFormat="1"/>
    <row r="742" s="1021" customFormat="1"/>
    <row r="743" s="1021" customFormat="1"/>
    <row r="744" s="1021" customFormat="1"/>
    <row r="745" s="1021" customFormat="1"/>
    <row r="746" s="1021" customFormat="1"/>
    <row r="747" s="1021" customFormat="1"/>
    <row r="748" s="1021" customFormat="1"/>
    <row r="749" s="1021" customFormat="1"/>
    <row r="750" s="1021" customFormat="1"/>
    <row r="751" s="1021" customFormat="1"/>
    <row r="752" s="1021" customFormat="1"/>
    <row r="753" s="1021" customFormat="1"/>
    <row r="754" s="1021" customFormat="1"/>
    <row r="755" s="1021" customFormat="1"/>
    <row r="756" s="1021" customFormat="1"/>
    <row r="757" s="1021" customFormat="1"/>
    <row r="758" s="1021" customFormat="1"/>
    <row r="759" s="1021" customFormat="1"/>
    <row r="760" s="1021" customFormat="1"/>
    <row r="761" s="1021" customFormat="1"/>
    <row r="762" s="1021" customFormat="1"/>
    <row r="763" s="1021" customFormat="1"/>
    <row r="764" s="1021" customFormat="1"/>
    <row r="765" s="1021" customFormat="1"/>
    <row r="766" s="1021" customFormat="1"/>
    <row r="767" s="1021" customFormat="1"/>
    <row r="768" s="1021" customFormat="1"/>
    <row r="769" s="1021" customFormat="1"/>
    <row r="770" s="1021" customFormat="1"/>
    <row r="771" s="1021" customFormat="1"/>
    <row r="772" s="1021" customFormat="1"/>
    <row r="773" s="1021" customFormat="1"/>
    <row r="774" s="1021" customFormat="1"/>
    <row r="775" s="1021" customFormat="1"/>
    <row r="776" s="1021" customFormat="1"/>
    <row r="777" s="1021" customFormat="1"/>
    <row r="778" s="1021" customFormat="1"/>
    <row r="779" s="1021" customFormat="1"/>
    <row r="780" s="1021" customFormat="1"/>
    <row r="781" s="1021" customFormat="1"/>
    <row r="782" s="1021" customFormat="1"/>
    <row r="783" s="1021" customFormat="1"/>
    <row r="784" s="1021" customFormat="1"/>
    <row r="785" s="1021" customFormat="1"/>
    <row r="786" s="1021" customFormat="1"/>
    <row r="787" s="1021" customFormat="1"/>
    <row r="788" s="1021" customFormat="1"/>
    <row r="789" s="1021" customFormat="1"/>
    <row r="790" s="1021" customFormat="1"/>
    <row r="791" s="1021" customFormat="1"/>
    <row r="792" s="1021" customFormat="1"/>
    <row r="793" s="1021" customFormat="1"/>
    <row r="794" s="1021" customFormat="1"/>
    <row r="795" s="1021" customFormat="1"/>
    <row r="796" s="1021" customFormat="1"/>
    <row r="797" s="1021" customFormat="1"/>
    <row r="798" s="1021" customFormat="1"/>
    <row r="799" s="1021" customFormat="1"/>
    <row r="800" s="1021" customFormat="1"/>
    <row r="801" s="1021" customFormat="1"/>
    <row r="802" s="1021" customFormat="1"/>
    <row r="803" s="1021" customFormat="1"/>
    <row r="804" s="1021" customFormat="1"/>
    <row r="805" s="1021" customFormat="1"/>
    <row r="806" s="1021" customFormat="1"/>
    <row r="807" s="1021" customFormat="1"/>
    <row r="808" s="1021" customFormat="1"/>
    <row r="809" s="1021" customFormat="1"/>
    <row r="810" s="1021" customFormat="1"/>
    <row r="811" s="1021" customFormat="1"/>
    <row r="812" s="1021" customFormat="1"/>
    <row r="813" s="1021" customFormat="1"/>
    <row r="814" s="1021" customFormat="1"/>
    <row r="815" s="1021" customFormat="1"/>
    <row r="816" s="1021" customFormat="1"/>
    <row r="817" s="1021" customFormat="1"/>
    <row r="818" s="1021" customFormat="1"/>
    <row r="819" s="1021" customFormat="1"/>
    <row r="820" s="1021" customFormat="1"/>
    <row r="821" s="1021" customFormat="1"/>
    <row r="822" s="1021" customFormat="1"/>
    <row r="823" s="1021" customFormat="1"/>
    <row r="824" s="1021" customFormat="1"/>
    <row r="825" s="1021" customFormat="1"/>
    <row r="826" s="1021" customFormat="1"/>
    <row r="827" s="1021" customFormat="1"/>
    <row r="828" s="1021" customFormat="1"/>
    <row r="829" s="1021" customFormat="1"/>
    <row r="830" s="1021" customFormat="1"/>
    <row r="831" s="1021" customFormat="1"/>
    <row r="832" s="1021" customFormat="1"/>
    <row r="833" s="1021" customFormat="1"/>
    <row r="834" s="1021" customFormat="1"/>
    <row r="835" s="1021" customFormat="1"/>
    <row r="836" s="1021" customFormat="1"/>
    <row r="837" s="1021" customFormat="1"/>
    <row r="838" s="1021" customFormat="1"/>
    <row r="839" s="1021" customFormat="1"/>
    <row r="840" s="1021" customFormat="1"/>
    <row r="841" s="1021" customFormat="1"/>
    <row r="842" s="1021" customFormat="1"/>
    <row r="843" s="1021" customFormat="1"/>
    <row r="844" s="1021" customFormat="1"/>
    <row r="845" s="1021" customFormat="1"/>
    <row r="846" s="1021" customFormat="1"/>
    <row r="847" s="1021" customFormat="1"/>
    <row r="848" s="1021" customFormat="1"/>
    <row r="849" s="1021" customFormat="1"/>
    <row r="850" s="1021" customFormat="1"/>
    <row r="851" s="1021" customFormat="1"/>
    <row r="852" s="1021" customFormat="1"/>
    <row r="853" s="1021" customFormat="1"/>
    <row r="854" s="1021" customFormat="1"/>
    <row r="855" s="1021" customFormat="1"/>
    <row r="856" s="1021" customFormat="1"/>
    <row r="857" s="1021" customFormat="1"/>
    <row r="858" s="1021" customFormat="1"/>
    <row r="859" s="1021" customFormat="1"/>
    <row r="860" s="1021" customFormat="1"/>
    <row r="861" s="1021" customFormat="1"/>
    <row r="862" s="1021" customFormat="1"/>
    <row r="863" s="1021" customFormat="1"/>
    <row r="864" s="1021" customFormat="1"/>
    <row r="865" s="1021" customFormat="1"/>
    <row r="866" s="1021" customFormat="1"/>
    <row r="867" s="1021" customFormat="1"/>
    <row r="868" s="1021" customFormat="1"/>
    <row r="869" s="1021" customFormat="1"/>
    <row r="870" s="1021" customFormat="1"/>
    <row r="871" s="1021" customFormat="1"/>
    <row r="872" s="1021" customFormat="1"/>
    <row r="873" s="1021" customFormat="1"/>
    <row r="874" s="1021" customFormat="1"/>
    <row r="875" s="1021" customFormat="1"/>
    <row r="876" s="1021" customFormat="1"/>
    <row r="877" s="1021" customFormat="1"/>
    <row r="878" s="1021" customFormat="1"/>
    <row r="879" s="1021" customFormat="1"/>
    <row r="880" s="1021" customFormat="1"/>
    <row r="881" s="1021" customFormat="1"/>
    <row r="882" s="1021" customFormat="1"/>
    <row r="883" s="1021" customFormat="1"/>
    <row r="884" s="1021" customFormat="1"/>
    <row r="885" s="1021" customFormat="1"/>
    <row r="886" s="1021" customFormat="1"/>
    <row r="887" s="1021" customFormat="1"/>
    <row r="888" s="1021" customFormat="1"/>
    <row r="889" s="1021" customFormat="1"/>
    <row r="890" s="1021" customFormat="1"/>
    <row r="891" s="1021" customFormat="1"/>
    <row r="892" s="1021" customFormat="1"/>
    <row r="893" s="1021" customFormat="1"/>
    <row r="894" s="1021" customFormat="1"/>
    <row r="895" s="1021" customFormat="1"/>
    <row r="896" s="1021" customFormat="1"/>
    <row r="897" s="1021" customFormat="1"/>
    <row r="898" s="1021" customFormat="1"/>
    <row r="899" s="1021" customFormat="1"/>
    <row r="900" s="1021" customFormat="1"/>
    <row r="901" s="1021" customFormat="1"/>
    <row r="902" s="1021" customFormat="1"/>
    <row r="903" s="1021" customFormat="1"/>
    <row r="904" s="1021" customFormat="1"/>
    <row r="905" s="1021" customFormat="1"/>
    <row r="906" s="1021" customFormat="1"/>
    <row r="907" s="1021" customFormat="1"/>
    <row r="908" s="1021" customFormat="1"/>
    <row r="909" s="1021" customFormat="1"/>
    <row r="910" s="1021" customFormat="1"/>
    <row r="911" s="1021" customFormat="1"/>
    <row r="912" s="1021" customFormat="1"/>
    <row r="913" s="1021" customFormat="1"/>
    <row r="914" s="1021" customFormat="1"/>
    <row r="915" s="1021" customFormat="1"/>
    <row r="916" s="1021" customFormat="1"/>
    <row r="917" s="1021" customFormat="1"/>
    <row r="918" s="1021" customFormat="1"/>
    <row r="919" s="1021" customFormat="1"/>
    <row r="920" s="1021" customFormat="1"/>
    <row r="921" s="1021" customFormat="1"/>
    <row r="922" s="1021" customFormat="1"/>
    <row r="923" s="1021" customFormat="1"/>
    <row r="924" s="1021" customFormat="1"/>
    <row r="925" s="1021" customFormat="1"/>
    <row r="926" s="1021" customFormat="1"/>
    <row r="927" s="1021" customFormat="1"/>
    <row r="928" s="1021" customFormat="1"/>
    <row r="929" s="1021" customFormat="1"/>
    <row r="930" s="1021" customFormat="1"/>
    <row r="931" s="1021" customFormat="1"/>
    <row r="932" s="1021" customFormat="1"/>
    <row r="933" s="1021" customFormat="1"/>
    <row r="934" s="1021" customFormat="1"/>
    <row r="935" s="1021" customFormat="1"/>
    <row r="936" s="1021" customFormat="1"/>
    <row r="937" s="1021" customFormat="1"/>
    <row r="938" s="1021" customFormat="1"/>
    <row r="939" s="1021" customFormat="1"/>
    <row r="940" s="1021" customFormat="1"/>
    <row r="941" s="1021" customFormat="1"/>
    <row r="942" s="1021" customFormat="1"/>
    <row r="943" s="1021" customFormat="1"/>
    <row r="944" s="1021" customFormat="1"/>
    <row r="945" s="1021" customFormat="1"/>
    <row r="946" s="1021" customFormat="1"/>
    <row r="947" s="1021" customFormat="1"/>
    <row r="948" s="1021" customFormat="1"/>
    <row r="949" s="1021" customFormat="1"/>
    <row r="950" s="1021" customFormat="1"/>
    <row r="951" s="1021" customFormat="1"/>
    <row r="952" s="1021" customFormat="1"/>
    <row r="953" s="1021" customFormat="1"/>
    <row r="954" s="1021" customFormat="1"/>
    <row r="955" s="1021" customFormat="1"/>
    <row r="956" s="1021" customFormat="1"/>
    <row r="957" s="1021" customFormat="1"/>
    <row r="958" s="1021" customFormat="1"/>
    <row r="959" s="1021" customFormat="1"/>
    <row r="960" s="1021" customFormat="1"/>
    <row r="961" s="1021" customFormat="1"/>
    <row r="962" s="1021" customFormat="1"/>
    <row r="963" s="1021" customFormat="1"/>
    <row r="964" s="1021" customFormat="1"/>
    <row r="965" s="1021" customFormat="1"/>
    <row r="966" s="1021" customFormat="1"/>
    <row r="967" s="1021" customFormat="1"/>
    <row r="968" s="1021" customFormat="1"/>
    <row r="969" s="1021" customFormat="1"/>
    <row r="970" s="1021" customFormat="1"/>
    <row r="971" s="1021" customFormat="1"/>
    <row r="972" s="1021" customFormat="1"/>
    <row r="973" s="1021" customFormat="1"/>
    <row r="974" s="1021" customFormat="1"/>
    <row r="975" s="1021" customFormat="1"/>
    <row r="976" s="1021" customFormat="1"/>
    <row r="977" s="1021" customFormat="1"/>
    <row r="978" s="1021" customFormat="1"/>
    <row r="979" s="1021" customFormat="1"/>
    <row r="980" s="1021" customFormat="1"/>
    <row r="981" s="1021" customFormat="1"/>
    <row r="982" s="1021" customFormat="1"/>
    <row r="983" s="1021" customFormat="1"/>
    <row r="984" s="1021" customFormat="1"/>
  </sheetData>
  <sheetProtection algorithmName="SHA-512" hashValue="aoNQoOJ1pv6o/UQbVTmfDi5vJIlFXaRU+H4BH9Zi+o1LEGNlLABh9/CbM8+Zg0wYm6ga2z8fl7ypkUB8pY9zaQ==" saltValue="kd1LZNfNQel63KCdcrBxCQ==" spinCount="100000" sheet="1" objects="1" scenarios="1"/>
  <mergeCells count="18">
    <mergeCell ref="C6:L6"/>
    <mergeCell ref="F8:K8"/>
    <mergeCell ref="F12:K12"/>
    <mergeCell ref="F14:K14"/>
    <mergeCell ref="F16:K16"/>
    <mergeCell ref="F26:K26"/>
    <mergeCell ref="F28:K28"/>
    <mergeCell ref="F45:K45"/>
    <mergeCell ref="C47:L47"/>
    <mergeCell ref="F18:K18"/>
    <mergeCell ref="F32:K32"/>
    <mergeCell ref="F34:K34"/>
    <mergeCell ref="F36:K36"/>
    <mergeCell ref="F38:K38"/>
    <mergeCell ref="C43:L43"/>
    <mergeCell ref="F20:K20"/>
    <mergeCell ref="F22:K22"/>
    <mergeCell ref="F24:K24"/>
  </mergeCells>
  <dataValidations count="3">
    <dataValidation allowBlank="1" showInputMessage="1" showErrorMessage="1" prompt="Les travaux doivent être complétés pour déposer le présent formulaire chez Énergir." sqref="D45" xr:uid="{01003CAF-5F2A-4B67-BF67-0E1AA184D058}"/>
    <dataValidation allowBlank="1" showInputMessage="1" showErrorMessage="1" prompt="This number was sent to you in the Acknowledgment of Receipt of the declaration of intent." sqref="C8" xr:uid="{45B22B47-3D3A-4119-A2F6-96666158DB76}"/>
    <dataValidation allowBlank="1" showInputMessage="1" showErrorMessage="1" prompt="The work must be completed to submit this form to Énergir." sqref="C45" xr:uid="{2BBC1ED9-B55C-44CB-80CA-64CF08361522}"/>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21" r:id="rId3" name="Group Box 1">
              <controlPr defaultSize="0" autoFill="0" autoPict="0">
                <anchor moveWithCells="1">
                  <from>
                    <xdr:col>4</xdr:col>
                    <xdr:colOff>571500</xdr:colOff>
                    <xdr:row>68</xdr:row>
                    <xdr:rowOff>0</xdr:rowOff>
                  </from>
                  <to>
                    <xdr:col>10</xdr:col>
                    <xdr:colOff>914400</xdr:colOff>
                    <xdr:row>69</xdr:row>
                    <xdr:rowOff>106680</xdr:rowOff>
                  </to>
                </anchor>
              </controlPr>
            </control>
          </mc:Choice>
        </mc:AlternateContent>
        <mc:AlternateContent xmlns:mc="http://schemas.openxmlformats.org/markup-compatibility/2006">
          <mc:Choice Requires="x14">
            <control shapeId="235522" r:id="rId4" name="Group Box 2">
              <controlPr defaultSize="0" autoFill="0" autoPict="0">
                <anchor moveWithCells="1">
                  <from>
                    <xdr:col>2</xdr:col>
                    <xdr:colOff>30480</xdr:colOff>
                    <xdr:row>70</xdr:row>
                    <xdr:rowOff>76200</xdr:rowOff>
                  </from>
                  <to>
                    <xdr:col>10</xdr:col>
                    <xdr:colOff>68580</xdr:colOff>
                    <xdr:row>71</xdr:row>
                    <xdr:rowOff>137160</xdr:rowOff>
                  </to>
                </anchor>
              </controlPr>
            </control>
          </mc:Choice>
        </mc:AlternateContent>
        <mc:AlternateContent xmlns:mc="http://schemas.openxmlformats.org/markup-compatibility/2006">
          <mc:Choice Requires="x14">
            <control shapeId="235523" r:id="rId5" name="Group Box 3">
              <controlPr defaultSize="0" autoFill="0" autoPict="0">
                <anchor moveWithCells="1">
                  <from>
                    <xdr:col>4</xdr:col>
                    <xdr:colOff>571500</xdr:colOff>
                    <xdr:row>84</xdr:row>
                    <xdr:rowOff>0</xdr:rowOff>
                  </from>
                  <to>
                    <xdr:col>10</xdr:col>
                    <xdr:colOff>914400</xdr:colOff>
                    <xdr:row>85</xdr:row>
                    <xdr:rowOff>129540</xdr:rowOff>
                  </to>
                </anchor>
              </controlPr>
            </control>
          </mc:Choice>
        </mc:AlternateContent>
        <mc:AlternateContent xmlns:mc="http://schemas.openxmlformats.org/markup-compatibility/2006">
          <mc:Choice Requires="x14">
            <control shapeId="235524" r:id="rId6" name="Group Box 4">
              <controlPr defaultSize="0" autoFill="0" autoPict="0">
                <anchor moveWithCells="1">
                  <from>
                    <xdr:col>2</xdr:col>
                    <xdr:colOff>30480</xdr:colOff>
                    <xdr:row>84</xdr:row>
                    <xdr:rowOff>0</xdr:rowOff>
                  </from>
                  <to>
                    <xdr:col>10</xdr:col>
                    <xdr:colOff>68580</xdr:colOff>
                    <xdr:row>85</xdr:row>
                    <xdr:rowOff>106680</xdr:rowOff>
                  </to>
                </anchor>
              </controlPr>
            </control>
          </mc:Choice>
        </mc:AlternateContent>
        <mc:AlternateContent xmlns:mc="http://schemas.openxmlformats.org/markup-compatibility/2006">
          <mc:Choice Requires="x14">
            <control shapeId="235525" r:id="rId7" name="Group Box 5">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26" r:id="rId8" name="Group Box 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27" r:id="rId9" name="Group Box 7">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28" r:id="rId10" name="Group Box 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29" r:id="rId11" name="Group Box 9">
              <controlPr defaultSize="0" autoFill="0" autoPict="0">
                <anchor moveWithCells="1">
                  <from>
                    <xdr:col>4</xdr:col>
                    <xdr:colOff>571500</xdr:colOff>
                    <xdr:row>79</xdr:row>
                    <xdr:rowOff>0</xdr:rowOff>
                  </from>
                  <to>
                    <xdr:col>10</xdr:col>
                    <xdr:colOff>914400</xdr:colOff>
                    <xdr:row>80</xdr:row>
                    <xdr:rowOff>106680</xdr:rowOff>
                  </to>
                </anchor>
              </controlPr>
            </control>
          </mc:Choice>
        </mc:AlternateContent>
        <mc:AlternateContent xmlns:mc="http://schemas.openxmlformats.org/markup-compatibility/2006">
          <mc:Choice Requires="x14">
            <control shapeId="235530" r:id="rId12" name="Group Box 10">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31" r:id="rId13" name="Group Box 11">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32" r:id="rId14" name="Group Box 12">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33" r:id="rId15" name="Group Box 13">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34" r:id="rId16" name="Group Box 14">
              <controlPr defaultSize="0" autoFill="0" autoPict="0">
                <anchor moveWithCells="1">
                  <from>
                    <xdr:col>4</xdr:col>
                    <xdr:colOff>571500</xdr:colOff>
                    <xdr:row>84</xdr:row>
                    <xdr:rowOff>0</xdr:rowOff>
                  </from>
                  <to>
                    <xdr:col>10</xdr:col>
                    <xdr:colOff>914400</xdr:colOff>
                    <xdr:row>85</xdr:row>
                    <xdr:rowOff>129540</xdr:rowOff>
                  </to>
                </anchor>
              </controlPr>
            </control>
          </mc:Choice>
        </mc:AlternateContent>
        <mc:AlternateContent xmlns:mc="http://schemas.openxmlformats.org/markup-compatibility/2006">
          <mc:Choice Requires="x14">
            <control shapeId="235535" r:id="rId17" name="Group Box 15">
              <controlPr defaultSize="0" autoFill="0" autoPict="0">
                <anchor moveWithCells="1">
                  <from>
                    <xdr:col>2</xdr:col>
                    <xdr:colOff>30480</xdr:colOff>
                    <xdr:row>84</xdr:row>
                    <xdr:rowOff>0</xdr:rowOff>
                  </from>
                  <to>
                    <xdr:col>10</xdr:col>
                    <xdr:colOff>68580</xdr:colOff>
                    <xdr:row>85</xdr:row>
                    <xdr:rowOff>106680</xdr:rowOff>
                  </to>
                </anchor>
              </controlPr>
            </control>
          </mc:Choice>
        </mc:AlternateContent>
        <mc:AlternateContent xmlns:mc="http://schemas.openxmlformats.org/markup-compatibility/2006">
          <mc:Choice Requires="x14">
            <control shapeId="235536" r:id="rId18" name="Group Box 16">
              <controlPr defaultSize="0" autoFill="0" autoPict="0">
                <anchor moveWithCells="1">
                  <from>
                    <xdr:col>4</xdr:col>
                    <xdr:colOff>571500</xdr:colOff>
                    <xdr:row>79</xdr:row>
                    <xdr:rowOff>0</xdr:rowOff>
                  </from>
                  <to>
                    <xdr:col>10</xdr:col>
                    <xdr:colOff>914400</xdr:colOff>
                    <xdr:row>80</xdr:row>
                    <xdr:rowOff>144780</xdr:rowOff>
                  </to>
                </anchor>
              </controlPr>
            </control>
          </mc:Choice>
        </mc:AlternateContent>
        <mc:AlternateContent xmlns:mc="http://schemas.openxmlformats.org/markup-compatibility/2006">
          <mc:Choice Requires="x14">
            <control shapeId="235537" r:id="rId19" name="Group Box 17">
              <controlPr defaultSize="0" autoFill="0" autoPict="0">
                <anchor moveWithCells="1">
                  <from>
                    <xdr:col>2</xdr:col>
                    <xdr:colOff>30480</xdr:colOff>
                    <xdr:row>79</xdr:row>
                    <xdr:rowOff>0</xdr:rowOff>
                  </from>
                  <to>
                    <xdr:col>10</xdr:col>
                    <xdr:colOff>68580</xdr:colOff>
                    <xdr:row>80</xdr:row>
                    <xdr:rowOff>114300</xdr:rowOff>
                  </to>
                </anchor>
              </controlPr>
            </control>
          </mc:Choice>
        </mc:AlternateContent>
        <mc:AlternateContent xmlns:mc="http://schemas.openxmlformats.org/markup-compatibility/2006">
          <mc:Choice Requires="x14">
            <control shapeId="235538" r:id="rId20" name="Group Box 18">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39" r:id="rId21" name="Group Box 19">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0" r:id="rId22" name="Group Box 2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1" r:id="rId23" name="Group Box 21">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2" r:id="rId24" name="Group Box 22">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3" r:id="rId25" name="Group Box 23">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4" r:id="rId26" name="Group Box 24">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5" r:id="rId27" name="Group Box 25">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6" r:id="rId28" name="Group Box 2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7" r:id="rId29" name="Group Box 2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48" r:id="rId30" name="Group Box 2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9" r:id="rId31" name="Group Box 2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50" r:id="rId32" name="Group Box 3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1" r:id="rId33" name="Group Box 3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52" r:id="rId34" name="Group Box 3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3" r:id="rId35" name="Group Box 3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54" r:id="rId36" name="Group Box 3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5" r:id="rId37" name="Group Box 3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56" r:id="rId38" name="Group Box 3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7" r:id="rId39" name="Group Box 3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58" r:id="rId40" name="Group Box 3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9" r:id="rId41" name="Group Box 3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60" r:id="rId42" name="Group Box 4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1" r:id="rId43" name="Group Box 4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62" r:id="rId44" name="Group Box 4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3" r:id="rId45" name="Group Box 4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64" r:id="rId46" name="Group Box 4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5" r:id="rId47" name="Group Box 4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66" r:id="rId48" name="Group Box 4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7" r:id="rId49" name="Group Box 4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68" r:id="rId50" name="Group Box 4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9" r:id="rId51" name="Group Box 4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70" r:id="rId52" name="Group Box 5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1" r:id="rId53" name="Group Box 5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72" r:id="rId54" name="Group Box 5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3" r:id="rId55" name="Group Box 5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74" r:id="rId56" name="Group Box 5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5" r:id="rId57" name="Group Box 5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76" r:id="rId58" name="Group Box 5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7" r:id="rId59" name="Group Box 5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78" r:id="rId60" name="Group Box 5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9" r:id="rId61" name="Group Box 5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80" r:id="rId62" name="Group Box 6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1" r:id="rId63" name="Group Box 6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82" r:id="rId64" name="Group Box 6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3" r:id="rId65" name="Group Box 6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84" r:id="rId66" name="Group Box 6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5" r:id="rId67" name="Group Box 6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86" r:id="rId68" name="Group Box 6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7" r:id="rId69" name="Group Box 6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88" r:id="rId70" name="Group Box 6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9" r:id="rId71" name="Group Box 6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90" r:id="rId72" name="Group Box 7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1" r:id="rId73" name="Group Box 7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92" r:id="rId74" name="Group Box 7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3" r:id="rId75" name="Group Box 7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94" r:id="rId76" name="Group Box 7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5" r:id="rId77" name="Group Box 7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96" r:id="rId78" name="Group Box 7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7" r:id="rId79" name="Group Box 7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98" r:id="rId80" name="Group Box 7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9" r:id="rId81" name="Group Box 7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00" r:id="rId82" name="Group Box 8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1" r:id="rId83" name="Group Box 8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02" r:id="rId84" name="Group Box 8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3" r:id="rId85" name="Group Box 8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04" r:id="rId86" name="Group Box 8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5" r:id="rId87" name="Group Box 8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06" r:id="rId88" name="Group Box 8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7" r:id="rId89" name="Group Box 8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08" r:id="rId90" name="Group Box 8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9" r:id="rId91" name="Group Box 8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10" r:id="rId92" name="Group Box 9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1" r:id="rId93" name="Group Box 9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12" r:id="rId94" name="Group Box 9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3" r:id="rId95" name="Group Box 9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14" r:id="rId96" name="Group Box 9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5" r:id="rId97" name="Group Box 9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16" r:id="rId98" name="Group Box 9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7" r:id="rId99" name="Group Box 9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18" r:id="rId100" name="Group Box 9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9" r:id="rId101" name="Group Box 9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20" r:id="rId102" name="Group Box 10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1" r:id="rId103" name="Group Box 10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22" r:id="rId104" name="Group Box 10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3" r:id="rId105" name="Group Box 10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24" r:id="rId106" name="Group Box 10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5" r:id="rId107" name="Group Box 10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26" r:id="rId108" name="Group Box 10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7" r:id="rId109" name="Group Box 10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28" r:id="rId110" name="Group Box 10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9" r:id="rId111" name="Group Box 10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30" r:id="rId112" name="Group Box 11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1" r:id="rId113" name="Group Box 11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32" r:id="rId114" name="Group Box 11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3" r:id="rId115" name="Group Box 11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34" r:id="rId116" name="Group Box 11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5" r:id="rId117" name="Group Box 11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36" r:id="rId118" name="Group Box 11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7" r:id="rId119" name="Group Box 11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38" r:id="rId120" name="Group Box 11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9" r:id="rId121" name="Group Box 11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40" r:id="rId122" name="Group Box 12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1" r:id="rId123" name="Group Box 12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42" r:id="rId124" name="Group Box 12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3" r:id="rId125" name="Group Box 12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44" r:id="rId126" name="Group Box 12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5" r:id="rId127" name="Group Box 12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46" r:id="rId128" name="Group Box 12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7" r:id="rId129" name="Group Box 12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48" r:id="rId130" name="Group Box 12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9" r:id="rId131" name="Group Box 12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50" r:id="rId132" name="Group Box 13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1" r:id="rId133" name="Group Box 13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52" r:id="rId134" name="Group Box 13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3" r:id="rId135" name="Group Box 13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54" r:id="rId136" name="Group Box 13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5" r:id="rId137" name="Group Box 13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56" r:id="rId138" name="Group Box 13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7" r:id="rId139" name="Group Box 13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58" r:id="rId140" name="Group Box 13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9" r:id="rId141" name="Group Box 13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60" r:id="rId142" name="Group Box 14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1" r:id="rId143" name="Group Box 14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62" r:id="rId144" name="Group Box 14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3" r:id="rId145" name="Group Box 14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64" r:id="rId146" name="Group Box 14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5" r:id="rId147" name="Group Box 14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66" r:id="rId148" name="Group Box 14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7" r:id="rId149" name="Group Box 14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68" r:id="rId150" name="Group Box 14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9" r:id="rId151" name="Group Box 14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70" r:id="rId152" name="Group Box 15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1" r:id="rId153" name="Group Box 15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72" r:id="rId154" name="Group Box 15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3" r:id="rId155" name="Group Box 15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74" r:id="rId156" name="Group Box 15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5" r:id="rId157" name="Group Box 15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76" r:id="rId158" name="Group Box 15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7" r:id="rId159" name="Group Box 15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78" r:id="rId160" name="Group Box 15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9" r:id="rId161" name="Group Box 15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80" r:id="rId162" name="Group Box 16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1" r:id="rId163" name="Group Box 16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82" r:id="rId164" name="Group Box 16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3" r:id="rId165" name="Group Box 16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84" r:id="rId166" name="Group Box 16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5" r:id="rId167" name="Group Box 16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86" r:id="rId168" name="Group Box 16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7" r:id="rId169" name="Group Box 16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88" r:id="rId170" name="Group Box 16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9" r:id="rId171" name="Group Box 16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90" r:id="rId172" name="Group Box 17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1" r:id="rId173" name="Group Box 17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92" r:id="rId174" name="Group Box 17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3" r:id="rId175" name="Group Box 17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94" r:id="rId176" name="Group Box 17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5" r:id="rId177" name="Group Box 17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96" r:id="rId178" name="Group Box 17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7" r:id="rId179" name="Group Box 17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98" r:id="rId180" name="Group Box 17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9" r:id="rId181" name="Group Box 17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00" r:id="rId182" name="Group Box 18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1" r:id="rId183" name="Group Box 18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02" r:id="rId184" name="Group Box 18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3" r:id="rId185" name="Group Box 18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04" r:id="rId186" name="Group Box 18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5" r:id="rId187" name="Group Box 18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06" r:id="rId188" name="Group Box 18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7" r:id="rId189" name="Group Box 18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08" r:id="rId190" name="Group Box 18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9" r:id="rId191" name="Group Box 18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10" r:id="rId192" name="Group Box 19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1" r:id="rId193" name="Group Box 19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12" r:id="rId194" name="Group Box 19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3" r:id="rId195" name="Group Box 19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14" r:id="rId196" name="Group Box 19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5" r:id="rId197" name="Group Box 19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16" r:id="rId198" name="Group Box 19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7" r:id="rId199" name="Group Box 19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18" r:id="rId200" name="Group Box 19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9" r:id="rId201" name="Group Box 19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20" r:id="rId202" name="Group Box 20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1" r:id="rId203" name="Group Box 20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22" r:id="rId204" name="Group Box 20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3" r:id="rId205" name="Group Box 20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24" r:id="rId206" name="Group Box 20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5" r:id="rId207" name="Group Box 20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26" r:id="rId208" name="Group Box 20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7" r:id="rId209" name="Group Box 20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28" r:id="rId210" name="Group Box 20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9" r:id="rId211" name="Group Box 20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30" r:id="rId212" name="Group Box 21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1" r:id="rId213" name="Group Box 21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32" r:id="rId214" name="Group Box 21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3" r:id="rId215" name="Group Box 21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34" r:id="rId216" name="Group Box 21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5" r:id="rId217" name="Group Box 21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36" r:id="rId218" name="Group Box 21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7" r:id="rId219" name="Group Box 21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38" r:id="rId220" name="Group Box 21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9" r:id="rId221" name="Group Box 21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40" r:id="rId222" name="Group Box 22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1" r:id="rId223" name="Group Box 22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42" r:id="rId224" name="Group Box 22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3" r:id="rId225" name="Group Box 22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44" r:id="rId226" name="Group Box 22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5" r:id="rId227" name="Group Box 22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46" r:id="rId228" name="Group Box 22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7" r:id="rId229" name="Group Box 22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48" r:id="rId230" name="Group Box 22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9" r:id="rId231" name="Group Box 22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50" r:id="rId232" name="Group Box 23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1" r:id="rId233" name="Group Box 23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52" r:id="rId234" name="Group Box 23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3" r:id="rId235" name="Group Box 23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54" r:id="rId236" name="Group Box 23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5" r:id="rId237" name="Group Box 23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56" r:id="rId238" name="Group Box 23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7" r:id="rId239" name="Group Box 23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58" r:id="rId240" name="Group Box 23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9" r:id="rId241" name="Group Box 23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60" r:id="rId242" name="Group Box 24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1" r:id="rId243" name="Group Box 24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62" r:id="rId244" name="Group Box 24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3" r:id="rId245" name="Group Box 24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64" r:id="rId246" name="Group Box 24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5" r:id="rId247" name="Group Box 24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66" r:id="rId248" name="Group Box 24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7" r:id="rId249" name="Group Box 24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68" r:id="rId250" name="Group Box 24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9" r:id="rId251" name="Group Box 24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70" r:id="rId252" name="Group Box 25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71" r:id="rId253" name="Group Box 25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72" r:id="rId254" name="Group Box 25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73" r:id="rId255" name="Group Box 25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74" r:id="rId256" name="Group Box 25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75" r:id="rId257" name="Check Box 255">
              <controlPr defaultSize="0" autoFill="0" autoLine="0" autoPict="0">
                <anchor moveWithCells="1">
                  <from>
                    <xdr:col>11</xdr:col>
                    <xdr:colOff>1965960</xdr:colOff>
                    <xdr:row>45</xdr:row>
                    <xdr:rowOff>76200</xdr:rowOff>
                  </from>
                  <to>
                    <xdr:col>16</xdr:col>
                    <xdr:colOff>190500</xdr:colOff>
                    <xdr:row>47</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AC1C478-D16C-42A5-BD10-290A78BBE183}">
          <x14:formula1>
            <xm:f>'Menus déroulants'!$C$7:$C$9</xm:f>
          </x14:formula1>
          <xm:sqref>F45:K45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D1D8-27EC-4EB8-BA46-F42C7D1054ED}">
  <sheetPr>
    <tabColor rgb="FF00B0F0"/>
  </sheetPr>
  <dimension ref="A1:GC1053"/>
  <sheetViews>
    <sheetView zoomScaleNormal="100" workbookViewId="0">
      <selection activeCell="F17" sqref="F17"/>
    </sheetView>
  </sheetViews>
  <sheetFormatPr baseColWidth="10" defaultColWidth="12.5546875" defaultRowHeight="13.8" outlineLevelRow="1"/>
  <cols>
    <col min="1" max="1" width="3.5546875" style="1067" customWidth="1"/>
    <col min="2" max="3" width="31.77734375" style="1067" customWidth="1"/>
    <col min="4" max="4" width="31.77734375" style="1067" hidden="1" customWidth="1"/>
    <col min="5" max="5" width="61.77734375" style="1067" customWidth="1"/>
    <col min="6" max="6" width="30.44140625" style="1067" customWidth="1"/>
    <col min="7" max="7" width="30.44140625" style="1067" hidden="1" customWidth="1"/>
    <col min="8" max="9" width="30.44140625" style="1067" customWidth="1"/>
    <col min="10" max="10" width="63" style="1067" customWidth="1"/>
    <col min="11" max="11" width="42.77734375" style="1067" customWidth="1"/>
    <col min="12" max="12" width="4.21875" style="1067" customWidth="1"/>
    <col min="13" max="185" width="12.5546875" style="1066"/>
    <col min="186" max="16384" width="12.5546875" style="1067"/>
  </cols>
  <sheetData>
    <row r="1" spans="1:185" ht="15" customHeight="1">
      <c r="A1" s="1065"/>
      <c r="B1" s="1065"/>
      <c r="C1" s="1065"/>
      <c r="D1" s="1065"/>
      <c r="E1" s="1065"/>
      <c r="F1" s="1065"/>
      <c r="G1" s="1065"/>
      <c r="H1" s="1065"/>
      <c r="I1" s="1065"/>
      <c r="J1" s="1065"/>
      <c r="K1" s="1065"/>
      <c r="L1" s="1065"/>
    </row>
    <row r="2" spans="1:185" ht="25.35" customHeight="1">
      <c r="A2" s="1065"/>
      <c r="B2" s="1022" t="s">
        <v>1506</v>
      </c>
      <c r="C2" s="1022"/>
      <c r="D2" s="1022"/>
      <c r="E2" s="1068"/>
      <c r="F2" s="1065"/>
      <c r="G2" s="1065"/>
      <c r="H2" s="1065"/>
      <c r="I2" s="1065"/>
      <c r="J2" s="1065"/>
      <c r="K2" s="1065"/>
      <c r="L2" s="1065"/>
    </row>
    <row r="3" spans="1:185" ht="21" customHeight="1">
      <c r="A3" s="1065"/>
      <c r="B3" s="1026" t="s">
        <v>1650</v>
      </c>
      <c r="C3" s="1026"/>
      <c r="D3" s="1026"/>
      <c r="E3" s="1068"/>
      <c r="F3" s="1065"/>
      <c r="G3" s="1065"/>
      <c r="H3" s="1065"/>
      <c r="I3" s="1065"/>
      <c r="J3" s="1065"/>
      <c r="K3" s="1069"/>
      <c r="L3" s="1069"/>
    </row>
    <row r="4" spans="1:185" ht="15" customHeight="1">
      <c r="A4" s="1065"/>
      <c r="B4" s="1070"/>
      <c r="C4" s="1070"/>
      <c r="D4" s="1070"/>
      <c r="E4" s="1068"/>
      <c r="F4" s="1065"/>
      <c r="G4" s="1065"/>
      <c r="H4" s="1065"/>
      <c r="I4" s="1065"/>
      <c r="J4" s="1065"/>
      <c r="K4" s="1071"/>
      <c r="L4" s="1065"/>
    </row>
    <row r="5" spans="1:185" s="1078" customFormat="1" ht="15" customHeight="1">
      <c r="A5" s="1072"/>
      <c r="B5" s="1073"/>
      <c r="C5" s="1073"/>
      <c r="D5" s="1074" t="s">
        <v>1401</v>
      </c>
      <c r="E5" s="1075"/>
      <c r="F5" s="1072"/>
      <c r="G5" s="1074" t="s">
        <v>1401</v>
      </c>
      <c r="H5" s="1072"/>
      <c r="I5" s="1072"/>
      <c r="J5" s="1076"/>
      <c r="K5" s="1033"/>
      <c r="L5" s="1072"/>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7"/>
      <c r="AL5" s="1077"/>
      <c r="AM5" s="1077"/>
      <c r="AN5" s="1077"/>
      <c r="AO5" s="1077"/>
      <c r="AP5" s="1077"/>
      <c r="AQ5" s="1077"/>
      <c r="AR5" s="1077"/>
      <c r="AS5" s="1077"/>
      <c r="AT5" s="1077"/>
      <c r="AU5" s="1077"/>
      <c r="AV5" s="1077"/>
      <c r="AW5" s="1077"/>
      <c r="AX5" s="1077"/>
      <c r="AY5" s="1077"/>
      <c r="AZ5" s="1077"/>
      <c r="BA5" s="1077"/>
      <c r="BB5" s="1077"/>
      <c r="BC5" s="1077"/>
      <c r="BD5" s="1077"/>
      <c r="BE5" s="1077"/>
      <c r="BF5" s="1077"/>
      <c r="BG5" s="1077"/>
      <c r="BH5" s="1077"/>
      <c r="BI5" s="1077"/>
      <c r="BJ5" s="1077"/>
      <c r="BK5" s="1077"/>
      <c r="BL5" s="1077"/>
      <c r="BM5" s="1077"/>
      <c r="BN5" s="1077"/>
      <c r="BO5" s="1077"/>
      <c r="BP5" s="1077"/>
      <c r="BQ5" s="1077"/>
      <c r="BR5" s="1077"/>
      <c r="BS5" s="1077"/>
      <c r="BT5" s="1077"/>
      <c r="BU5" s="1077"/>
      <c r="BV5" s="1077"/>
      <c r="BW5" s="1077"/>
      <c r="BX5" s="1077"/>
      <c r="BY5" s="1077"/>
      <c r="BZ5" s="1077"/>
      <c r="CA5" s="1077"/>
      <c r="CB5" s="1077"/>
      <c r="CC5" s="1077"/>
      <c r="CD5" s="1077"/>
      <c r="CE5" s="1077"/>
      <c r="CF5" s="1077"/>
      <c r="CG5" s="1077"/>
      <c r="CH5" s="1077"/>
      <c r="CI5" s="1077"/>
      <c r="CJ5" s="1077"/>
      <c r="CK5" s="1077"/>
      <c r="CL5" s="1077"/>
      <c r="CM5" s="1077"/>
      <c r="CN5" s="1077"/>
      <c r="CO5" s="1077"/>
      <c r="CP5" s="1077"/>
      <c r="CQ5" s="1077"/>
      <c r="CR5" s="1077"/>
      <c r="CS5" s="1077"/>
      <c r="CT5" s="1077"/>
      <c r="CU5" s="1077"/>
      <c r="CV5" s="1077"/>
      <c r="CW5" s="1077"/>
      <c r="CX5" s="1077"/>
      <c r="CY5" s="1077"/>
      <c r="CZ5" s="1077"/>
      <c r="DA5" s="1077"/>
      <c r="DB5" s="1077"/>
      <c r="DC5" s="1077"/>
      <c r="DD5" s="1077"/>
      <c r="DE5" s="1077"/>
      <c r="DF5" s="1077"/>
      <c r="DG5" s="1077"/>
      <c r="DH5" s="1077"/>
      <c r="DI5" s="1077"/>
      <c r="DJ5" s="1077"/>
      <c r="DK5" s="1077"/>
      <c r="DL5" s="1077"/>
      <c r="DM5" s="1077"/>
      <c r="DN5" s="1077"/>
      <c r="DO5" s="1077"/>
      <c r="DP5" s="1077"/>
      <c r="DQ5" s="1077"/>
      <c r="DR5" s="1077"/>
      <c r="DS5" s="1077"/>
      <c r="DT5" s="1077"/>
      <c r="DU5" s="1077"/>
      <c r="DV5" s="1077"/>
      <c r="DW5" s="1077"/>
      <c r="DX5" s="1077"/>
      <c r="DY5" s="1077"/>
      <c r="DZ5" s="1077"/>
      <c r="EA5" s="1077"/>
      <c r="EB5" s="1077"/>
      <c r="EC5" s="1077"/>
      <c r="ED5" s="1077"/>
      <c r="EE5" s="1077"/>
      <c r="EF5" s="1077"/>
      <c r="EG5" s="1077"/>
      <c r="EH5" s="1077"/>
      <c r="EI5" s="1077"/>
      <c r="EJ5" s="1077"/>
      <c r="EK5" s="1077"/>
      <c r="EL5" s="1077"/>
      <c r="EM5" s="1077"/>
      <c r="EN5" s="1077"/>
      <c r="EO5" s="1077"/>
      <c r="EP5" s="1077"/>
      <c r="EQ5" s="1077"/>
      <c r="ER5" s="1077"/>
      <c r="ES5" s="1077"/>
      <c r="ET5" s="1077"/>
      <c r="EU5" s="1077"/>
      <c r="EV5" s="1077"/>
      <c r="EW5" s="1077"/>
      <c r="EX5" s="1077"/>
      <c r="EY5" s="1077"/>
      <c r="EZ5" s="1077"/>
      <c r="FA5" s="1077"/>
      <c r="FB5" s="1077"/>
      <c r="FC5" s="1077"/>
      <c r="FD5" s="1077"/>
      <c r="FE5" s="1077"/>
      <c r="FF5" s="1077"/>
      <c r="FG5" s="1077"/>
      <c r="FH5" s="1077"/>
      <c r="FI5" s="1077"/>
      <c r="FJ5" s="1077"/>
      <c r="FK5" s="1077"/>
      <c r="FL5" s="1077"/>
      <c r="FM5" s="1077"/>
      <c r="FN5" s="1077"/>
      <c r="FO5" s="1077"/>
      <c r="FP5" s="1077"/>
      <c r="FQ5" s="1077"/>
      <c r="FR5" s="1077"/>
      <c r="FS5" s="1077"/>
      <c r="FT5" s="1077"/>
      <c r="FU5" s="1077"/>
      <c r="FV5" s="1077"/>
      <c r="FW5" s="1077"/>
      <c r="FX5" s="1077"/>
      <c r="FY5" s="1077"/>
      <c r="FZ5" s="1077"/>
      <c r="GA5" s="1077"/>
      <c r="GB5" s="1077"/>
      <c r="GC5" s="1077"/>
    </row>
    <row r="6" spans="1:185" ht="6.75" customHeight="1">
      <c r="A6" s="1065"/>
      <c r="B6" s="1079"/>
      <c r="C6" s="1079"/>
      <c r="D6" s="1079"/>
      <c r="E6" s="1080"/>
      <c r="F6" s="1079"/>
      <c r="G6" s="1079"/>
      <c r="H6" s="1079"/>
      <c r="I6" s="1079"/>
      <c r="J6" s="1079"/>
      <c r="K6" s="1081"/>
      <c r="L6" s="1065"/>
    </row>
    <row r="7" spans="1:185" ht="15" customHeight="1">
      <c r="A7" s="1065"/>
      <c r="B7" s="1082" t="s">
        <v>1507</v>
      </c>
      <c r="C7" s="1083" t="str">
        <f>IF('1. General Information'!F8="","",'1. General Information'!F8)</f>
        <v>PE242-XXX</v>
      </c>
      <c r="D7" s="1082"/>
      <c r="E7" s="1079"/>
      <c r="F7" s="1079"/>
      <c r="G7" s="1079"/>
      <c r="H7" s="1079"/>
      <c r="I7" s="1079"/>
      <c r="J7" s="1079"/>
      <c r="K7" s="1081"/>
      <c r="L7" s="1065"/>
    </row>
    <row r="8" spans="1:185" ht="6.75" customHeight="1" thickBot="1">
      <c r="A8" s="1065"/>
      <c r="B8" s="1084"/>
      <c r="C8" s="1084"/>
      <c r="D8" s="1084"/>
      <c r="E8" s="1085"/>
      <c r="F8" s="1084"/>
      <c r="G8" s="1084"/>
      <c r="H8" s="1084"/>
      <c r="I8" s="1084"/>
      <c r="J8" s="1084"/>
      <c r="K8" s="1086"/>
      <c r="L8" s="1065"/>
    </row>
    <row r="9" spans="1:185" ht="16.2" thickBot="1">
      <c r="A9" s="1065"/>
      <c r="B9" s="1087">
        <v>1</v>
      </c>
      <c r="C9" s="1087"/>
      <c r="D9" s="1088"/>
      <c r="E9" s="1567" t="s">
        <v>1508</v>
      </c>
      <c r="F9" s="1568"/>
      <c r="G9" s="1568"/>
      <c r="H9" s="1568"/>
      <c r="I9" s="1568"/>
      <c r="J9" s="1568"/>
      <c r="K9" s="1568"/>
      <c r="L9" s="1065"/>
    </row>
    <row r="10" spans="1:185" ht="16.2" thickBot="1">
      <c r="A10" s="1065"/>
      <c r="B10" s="1089"/>
      <c r="C10" s="1089"/>
      <c r="D10" s="1090"/>
      <c r="E10" s="1569">
        <v>2</v>
      </c>
      <c r="F10" s="1570"/>
      <c r="G10" s="1088"/>
      <c r="H10" s="1569">
        <v>3</v>
      </c>
      <c r="I10" s="1571"/>
      <c r="J10" s="1092">
        <v>4</v>
      </c>
      <c r="K10" s="1091">
        <v>5</v>
      </c>
      <c r="L10" s="1065"/>
    </row>
    <row r="11" spans="1:185" ht="16.2" thickBot="1">
      <c r="A11" s="1065"/>
      <c r="B11" s="1578" t="s">
        <v>1509</v>
      </c>
      <c r="C11" s="1587" t="s">
        <v>1510</v>
      </c>
      <c r="D11" s="1587" t="s">
        <v>1399</v>
      </c>
      <c r="E11" s="1580" t="s">
        <v>1515</v>
      </c>
      <c r="F11" s="1581"/>
      <c r="G11" s="1093"/>
      <c r="H11" s="1582" t="s">
        <v>1518</v>
      </c>
      <c r="I11" s="1583"/>
      <c r="J11" s="1584" t="s">
        <v>1520</v>
      </c>
      <c r="K11" s="1585" t="s">
        <v>1521</v>
      </c>
      <c r="L11" s="1065"/>
    </row>
    <row r="12" spans="1:185" ht="18" thickBot="1">
      <c r="A12" s="1065"/>
      <c r="B12" s="1579"/>
      <c r="C12" s="1588"/>
      <c r="D12" s="1588"/>
      <c r="E12" s="1094" t="s">
        <v>1516</v>
      </c>
      <c r="F12" s="1095" t="s">
        <v>1517</v>
      </c>
      <c r="G12" s="1096" t="s">
        <v>1402</v>
      </c>
      <c r="H12" s="1097" t="s">
        <v>1519</v>
      </c>
      <c r="I12" s="1098" t="s">
        <v>487</v>
      </c>
      <c r="J12" s="1584"/>
      <c r="K12" s="1586"/>
      <c r="L12" s="1065"/>
    </row>
    <row r="13" spans="1:185">
      <c r="A13" s="1065"/>
      <c r="B13" s="1590" t="s">
        <v>1511</v>
      </c>
      <c r="C13" s="1572" t="s">
        <v>1511</v>
      </c>
      <c r="D13" s="1572" t="s">
        <v>1337</v>
      </c>
      <c r="E13" s="1099" t="s">
        <v>1512</v>
      </c>
      <c r="F13" s="1100"/>
      <c r="G13" s="1575">
        <f>F16</f>
        <v>0</v>
      </c>
      <c r="H13" s="1101"/>
      <c r="I13" s="1101"/>
      <c r="J13" s="1102"/>
      <c r="K13" s="1103"/>
      <c r="L13" s="1065"/>
    </row>
    <row r="14" spans="1:185">
      <c r="A14" s="1065"/>
      <c r="B14" s="1591"/>
      <c r="C14" s="1573"/>
      <c r="D14" s="1573"/>
      <c r="E14" s="1104" t="s">
        <v>1513</v>
      </c>
      <c r="F14" s="1105"/>
      <c r="G14" s="1576"/>
      <c r="H14" s="1106"/>
      <c r="I14" s="1106"/>
      <c r="J14" s="1107"/>
      <c r="K14" s="1108"/>
      <c r="L14" s="1065"/>
    </row>
    <row r="15" spans="1:185">
      <c r="A15" s="1065"/>
      <c r="B15" s="1591"/>
      <c r="C15" s="1574"/>
      <c r="D15" s="1574"/>
      <c r="E15" s="1104" t="s">
        <v>1514</v>
      </c>
      <c r="F15" s="1105"/>
      <c r="G15" s="1577"/>
      <c r="H15" s="1106"/>
      <c r="I15" s="1106"/>
      <c r="J15" s="1107"/>
      <c r="K15" s="1108"/>
      <c r="L15" s="1065"/>
    </row>
    <row r="16" spans="1:185" s="1118" customFormat="1" ht="15">
      <c r="A16" s="1109"/>
      <c r="B16" s="1110" t="s">
        <v>1522</v>
      </c>
      <c r="C16" s="1111"/>
      <c r="D16" s="1111"/>
      <c r="E16" s="1112"/>
      <c r="F16" s="1113">
        <f>SUM(F13:F15)</f>
        <v>0</v>
      </c>
      <c r="G16" s="1113"/>
      <c r="H16" s="1114"/>
      <c r="I16" s="1114"/>
      <c r="J16" s="1115"/>
      <c r="K16" s="1116"/>
      <c r="L16" s="1109"/>
      <c r="M16" s="1117"/>
      <c r="N16" s="1117"/>
      <c r="O16" s="1117"/>
      <c r="P16" s="1117"/>
      <c r="Q16" s="1117"/>
      <c r="R16" s="1117"/>
      <c r="S16" s="1117"/>
      <c r="T16" s="1117"/>
      <c r="U16" s="1117"/>
      <c r="V16" s="1117"/>
      <c r="W16" s="1117"/>
      <c r="X16" s="1117"/>
      <c r="Y16" s="1117"/>
      <c r="Z16" s="1117"/>
      <c r="AA16" s="1117"/>
      <c r="AB16" s="1117"/>
      <c r="AC16" s="1117"/>
      <c r="AD16" s="1117"/>
      <c r="AE16" s="1117"/>
      <c r="AF16" s="1117"/>
      <c r="AG16" s="1117"/>
      <c r="AH16" s="1117"/>
      <c r="AI16" s="1117"/>
      <c r="AJ16" s="1117"/>
      <c r="AK16" s="1117"/>
      <c r="AL16" s="1117"/>
      <c r="AM16" s="1117"/>
      <c r="AN16" s="1117"/>
      <c r="AO16" s="1117"/>
      <c r="AP16" s="1117"/>
      <c r="AQ16" s="1117"/>
      <c r="AR16" s="1117"/>
      <c r="AS16" s="1117"/>
      <c r="AT16" s="1117"/>
      <c r="AU16" s="1117"/>
      <c r="AV16" s="1117"/>
      <c r="AW16" s="1117"/>
      <c r="AX16" s="1117"/>
      <c r="AY16" s="1117"/>
      <c r="AZ16" s="1117"/>
      <c r="BA16" s="1117"/>
      <c r="BB16" s="1117"/>
      <c r="BC16" s="1117"/>
      <c r="BD16" s="1117"/>
      <c r="BE16" s="1117"/>
      <c r="BF16" s="1117"/>
      <c r="BG16" s="1117"/>
      <c r="BH16" s="1117"/>
      <c r="BI16" s="1117"/>
      <c r="BJ16" s="1117"/>
      <c r="BK16" s="1117"/>
      <c r="BL16" s="1117"/>
      <c r="BM16" s="1117"/>
      <c r="BN16" s="1117"/>
      <c r="BO16" s="1117"/>
      <c r="BP16" s="1117"/>
      <c r="BQ16" s="1117"/>
      <c r="BR16" s="1117"/>
      <c r="BS16" s="1117"/>
      <c r="BT16" s="1117"/>
      <c r="BU16" s="1117"/>
      <c r="BV16" s="1117"/>
      <c r="BW16" s="1117"/>
      <c r="BX16" s="1117"/>
      <c r="BY16" s="1117"/>
      <c r="BZ16" s="1117"/>
      <c r="CA16" s="1117"/>
      <c r="CB16" s="1117"/>
      <c r="CC16" s="1117"/>
      <c r="CD16" s="1117"/>
      <c r="CE16" s="1117"/>
      <c r="CF16" s="1117"/>
      <c r="CG16" s="1117"/>
      <c r="CH16" s="1117"/>
      <c r="CI16" s="1117"/>
      <c r="CJ16" s="1117"/>
      <c r="CK16" s="1117"/>
      <c r="CL16" s="1117"/>
      <c r="CM16" s="1117"/>
      <c r="CN16" s="1117"/>
      <c r="CO16" s="1117"/>
      <c r="CP16" s="1117"/>
      <c r="CQ16" s="1117"/>
      <c r="CR16" s="1117"/>
      <c r="CS16" s="1117"/>
      <c r="CT16" s="1117"/>
      <c r="CU16" s="1117"/>
      <c r="CV16" s="1117"/>
      <c r="CW16" s="1117"/>
      <c r="CX16" s="1117"/>
      <c r="CY16" s="1117"/>
      <c r="CZ16" s="1117"/>
      <c r="DA16" s="1117"/>
      <c r="DB16" s="1117"/>
      <c r="DC16" s="1117"/>
      <c r="DD16" s="1117"/>
      <c r="DE16" s="1117"/>
      <c r="DF16" s="1117"/>
      <c r="DG16" s="1117"/>
      <c r="DH16" s="1117"/>
      <c r="DI16" s="1117"/>
      <c r="DJ16" s="1117"/>
      <c r="DK16" s="1117"/>
      <c r="DL16" s="1117"/>
      <c r="DM16" s="1117"/>
      <c r="DN16" s="1117"/>
      <c r="DO16" s="1117"/>
      <c r="DP16" s="1117"/>
      <c r="DQ16" s="1117"/>
      <c r="DR16" s="1117"/>
      <c r="DS16" s="1117"/>
      <c r="DT16" s="1117"/>
      <c r="DU16" s="1117"/>
      <c r="DV16" s="1117"/>
      <c r="DW16" s="1117"/>
      <c r="DX16" s="1117"/>
      <c r="DY16" s="1117"/>
      <c r="DZ16" s="1117"/>
      <c r="EA16" s="1117"/>
      <c r="EB16" s="1117"/>
      <c r="EC16" s="1117"/>
      <c r="ED16" s="1117"/>
      <c r="EE16" s="1117"/>
      <c r="EF16" s="1117"/>
      <c r="EG16" s="1117"/>
      <c r="EH16" s="1117"/>
      <c r="EI16" s="1117"/>
      <c r="EJ16" s="1117"/>
      <c r="EK16" s="1117"/>
      <c r="EL16" s="1117"/>
      <c r="EM16" s="1117"/>
      <c r="EN16" s="1117"/>
      <c r="EO16" s="1117"/>
      <c r="EP16" s="1117"/>
      <c r="EQ16" s="1117"/>
      <c r="ER16" s="1117"/>
      <c r="ES16" s="1117"/>
      <c r="ET16" s="1117"/>
      <c r="EU16" s="1117"/>
      <c r="EV16" s="1117"/>
      <c r="EW16" s="1117"/>
      <c r="EX16" s="1117"/>
      <c r="EY16" s="1117"/>
      <c r="EZ16" s="1117"/>
      <c r="FA16" s="1117"/>
      <c r="FB16" s="1117"/>
      <c r="FC16" s="1117"/>
      <c r="FD16" s="1117"/>
      <c r="FE16" s="1117"/>
      <c r="FF16" s="1117"/>
      <c r="FG16" s="1117"/>
      <c r="FH16" s="1117"/>
      <c r="FI16" s="1117"/>
      <c r="FJ16" s="1117"/>
      <c r="FK16" s="1117"/>
      <c r="FL16" s="1117"/>
      <c r="FM16" s="1117"/>
      <c r="FN16" s="1117"/>
      <c r="FO16" s="1117"/>
      <c r="FP16" s="1117"/>
      <c r="FQ16" s="1117"/>
      <c r="FR16" s="1117"/>
      <c r="FS16" s="1117"/>
      <c r="FT16" s="1117"/>
      <c r="FU16" s="1117"/>
      <c r="FV16" s="1117"/>
      <c r="FW16" s="1117"/>
      <c r="FX16" s="1117"/>
      <c r="FY16" s="1117"/>
      <c r="FZ16" s="1117"/>
      <c r="GA16" s="1117"/>
      <c r="GB16" s="1117"/>
      <c r="GC16" s="1117"/>
    </row>
    <row r="17" spans="1:185">
      <c r="A17" s="1589"/>
      <c r="B17" s="1566" t="s">
        <v>1457</v>
      </c>
      <c r="C17" s="1563" t="s">
        <v>1464</v>
      </c>
      <c r="D17" s="1563" t="str">
        <f>B17&amp;C17</f>
        <v>&lt; select &gt; &lt; select &gt;</v>
      </c>
      <c r="E17" s="879"/>
      <c r="F17" s="875"/>
      <c r="G17" s="1592">
        <f>F27</f>
        <v>0</v>
      </c>
      <c r="H17" s="877"/>
      <c r="I17" s="877"/>
      <c r="J17" s="879"/>
      <c r="K17" s="953"/>
      <c r="L17" s="1065"/>
    </row>
    <row r="18" spans="1:185">
      <c r="A18" s="1589"/>
      <c r="B18" s="1566"/>
      <c r="C18" s="1564"/>
      <c r="D18" s="1564"/>
      <c r="E18" s="880"/>
      <c r="F18" s="875"/>
      <c r="G18" s="1593"/>
      <c r="H18" s="877"/>
      <c r="I18" s="877"/>
      <c r="J18" s="879"/>
      <c r="K18" s="953"/>
      <c r="L18" s="1065"/>
    </row>
    <row r="19" spans="1:185">
      <c r="A19" s="1589"/>
      <c r="B19" s="1566"/>
      <c r="C19" s="1564"/>
      <c r="D19" s="1564"/>
      <c r="E19" s="880"/>
      <c r="F19" s="875"/>
      <c r="G19" s="1593"/>
      <c r="H19" s="877"/>
      <c r="I19" s="877"/>
      <c r="J19" s="879"/>
      <c r="K19" s="953"/>
      <c r="L19" s="1065"/>
    </row>
    <row r="20" spans="1:185">
      <c r="A20" s="1589"/>
      <c r="B20" s="1566"/>
      <c r="C20" s="1564"/>
      <c r="D20" s="1564"/>
      <c r="E20" s="880"/>
      <c r="F20" s="875"/>
      <c r="G20" s="1593"/>
      <c r="H20" s="877"/>
      <c r="I20" s="877"/>
      <c r="J20" s="879"/>
      <c r="K20" s="953"/>
      <c r="L20" s="1065"/>
    </row>
    <row r="21" spans="1:185">
      <c r="A21" s="1589"/>
      <c r="B21" s="1566"/>
      <c r="C21" s="1564"/>
      <c r="D21" s="1564"/>
      <c r="E21" s="880"/>
      <c r="F21" s="875"/>
      <c r="G21" s="1593"/>
      <c r="H21" s="877"/>
      <c r="I21" s="877"/>
      <c r="J21" s="879"/>
      <c r="K21" s="953"/>
      <c r="L21" s="1065"/>
    </row>
    <row r="22" spans="1:185">
      <c r="A22" s="1589"/>
      <c r="B22" s="1566"/>
      <c r="C22" s="1564"/>
      <c r="D22" s="1564"/>
      <c r="E22" s="880"/>
      <c r="F22" s="875"/>
      <c r="G22" s="1593"/>
      <c r="H22" s="877"/>
      <c r="I22" s="877"/>
      <c r="J22" s="879"/>
      <c r="K22" s="953"/>
      <c r="L22" s="1065"/>
    </row>
    <row r="23" spans="1:185">
      <c r="A23" s="1589"/>
      <c r="B23" s="1566"/>
      <c r="C23" s="1564"/>
      <c r="D23" s="1564"/>
      <c r="E23" s="880"/>
      <c r="F23" s="875"/>
      <c r="G23" s="1593"/>
      <c r="H23" s="877"/>
      <c r="I23" s="877"/>
      <c r="J23" s="879"/>
      <c r="K23" s="953"/>
      <c r="L23" s="1065"/>
    </row>
    <row r="24" spans="1:185">
      <c r="A24" s="1589"/>
      <c r="B24" s="1566"/>
      <c r="C24" s="1564"/>
      <c r="D24" s="1564"/>
      <c r="E24" s="880"/>
      <c r="F24" s="875"/>
      <c r="G24" s="1593"/>
      <c r="H24" s="877"/>
      <c r="I24" s="877"/>
      <c r="J24" s="879"/>
      <c r="K24" s="953"/>
      <c r="L24" s="1065"/>
    </row>
    <row r="25" spans="1:185">
      <c r="A25" s="1589"/>
      <c r="B25" s="1566"/>
      <c r="C25" s="1564"/>
      <c r="D25" s="1564"/>
      <c r="E25" s="880"/>
      <c r="F25" s="875"/>
      <c r="G25" s="1593"/>
      <c r="H25" s="877"/>
      <c r="I25" s="877"/>
      <c r="J25" s="879"/>
      <c r="K25" s="953"/>
      <c r="L25" s="1065"/>
    </row>
    <row r="26" spans="1:185">
      <c r="A26" s="1589"/>
      <c r="B26" s="1566"/>
      <c r="C26" s="1565"/>
      <c r="D26" s="1565"/>
      <c r="E26" s="880"/>
      <c r="F26" s="875"/>
      <c r="G26" s="1594"/>
      <c r="H26" s="877"/>
      <c r="I26" s="877"/>
      <c r="J26" s="879"/>
      <c r="K26" s="953"/>
      <c r="L26" s="1065"/>
    </row>
    <row r="27" spans="1:185" s="1121" customFormat="1" ht="15">
      <c r="A27" s="1119"/>
      <c r="B27" s="1110" t="s">
        <v>1522</v>
      </c>
      <c r="C27" s="1111"/>
      <c r="D27" s="1111"/>
      <c r="E27" s="1115"/>
      <c r="F27" s="1113">
        <f>SUM(F17:F26)</f>
        <v>0</v>
      </c>
      <c r="G27" s="1113"/>
      <c r="H27" s="1114"/>
      <c r="I27" s="1114"/>
      <c r="J27" s="1115"/>
      <c r="K27" s="1116"/>
      <c r="L27" s="1119"/>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1120"/>
      <c r="AL27" s="1120"/>
      <c r="AM27" s="1120"/>
      <c r="AN27" s="1120"/>
      <c r="AO27" s="1120"/>
      <c r="AP27" s="1120"/>
      <c r="AQ27" s="1120"/>
      <c r="AR27" s="1120"/>
      <c r="AS27" s="1120"/>
      <c r="AT27" s="1120"/>
      <c r="AU27" s="1120"/>
      <c r="AV27" s="1120"/>
      <c r="AW27" s="1120"/>
      <c r="AX27" s="1120"/>
      <c r="AY27" s="1120"/>
      <c r="AZ27" s="1120"/>
      <c r="BA27" s="1120"/>
      <c r="BB27" s="1120"/>
      <c r="BC27" s="1120"/>
      <c r="BD27" s="1120"/>
      <c r="BE27" s="1120"/>
      <c r="BF27" s="1120"/>
      <c r="BG27" s="1120"/>
      <c r="BH27" s="1120"/>
      <c r="BI27" s="1120"/>
      <c r="BJ27" s="1120"/>
      <c r="BK27" s="1120"/>
      <c r="BL27" s="1120"/>
      <c r="BM27" s="1120"/>
      <c r="BN27" s="1120"/>
      <c r="BO27" s="1120"/>
      <c r="BP27" s="1120"/>
      <c r="BQ27" s="1120"/>
      <c r="BR27" s="1120"/>
      <c r="BS27" s="1120"/>
      <c r="BT27" s="1120"/>
      <c r="BU27" s="1120"/>
      <c r="BV27" s="1120"/>
      <c r="BW27" s="1120"/>
      <c r="BX27" s="1120"/>
      <c r="BY27" s="1120"/>
      <c r="BZ27" s="1120"/>
      <c r="CA27" s="1120"/>
      <c r="CB27" s="1120"/>
      <c r="CC27" s="1120"/>
      <c r="CD27" s="1120"/>
      <c r="CE27" s="1120"/>
      <c r="CF27" s="1120"/>
      <c r="CG27" s="1120"/>
      <c r="CH27" s="1120"/>
      <c r="CI27" s="1120"/>
      <c r="CJ27" s="1120"/>
      <c r="CK27" s="1120"/>
      <c r="CL27" s="1120"/>
      <c r="CM27" s="1120"/>
      <c r="CN27" s="1120"/>
      <c r="CO27" s="1120"/>
      <c r="CP27" s="1120"/>
      <c r="CQ27" s="1120"/>
      <c r="CR27" s="1120"/>
      <c r="CS27" s="1120"/>
      <c r="CT27" s="1120"/>
      <c r="CU27" s="1120"/>
      <c r="CV27" s="1120"/>
      <c r="CW27" s="1120"/>
      <c r="CX27" s="1120"/>
      <c r="CY27" s="1120"/>
      <c r="CZ27" s="1120"/>
      <c r="DA27" s="1120"/>
      <c r="DB27" s="1120"/>
      <c r="DC27" s="1120"/>
      <c r="DD27" s="1120"/>
      <c r="DE27" s="1120"/>
      <c r="DF27" s="1120"/>
      <c r="DG27" s="1120"/>
      <c r="DH27" s="1120"/>
      <c r="DI27" s="1120"/>
      <c r="DJ27" s="1120"/>
      <c r="DK27" s="1120"/>
      <c r="DL27" s="1120"/>
      <c r="DM27" s="1120"/>
      <c r="DN27" s="1120"/>
      <c r="DO27" s="1120"/>
      <c r="DP27" s="1120"/>
      <c r="DQ27" s="1120"/>
      <c r="DR27" s="1120"/>
      <c r="DS27" s="1120"/>
      <c r="DT27" s="1120"/>
      <c r="DU27" s="1120"/>
      <c r="DV27" s="1120"/>
      <c r="DW27" s="1120"/>
      <c r="DX27" s="1120"/>
      <c r="DY27" s="1120"/>
      <c r="DZ27" s="1120"/>
      <c r="EA27" s="1120"/>
      <c r="EB27" s="1120"/>
      <c r="EC27" s="1120"/>
      <c r="ED27" s="1120"/>
      <c r="EE27" s="1120"/>
      <c r="EF27" s="1120"/>
      <c r="EG27" s="1120"/>
      <c r="EH27" s="1120"/>
      <c r="EI27" s="1120"/>
      <c r="EJ27" s="1120"/>
      <c r="EK27" s="1120"/>
      <c r="EL27" s="1120"/>
      <c r="EM27" s="1120"/>
      <c r="EN27" s="1120"/>
      <c r="EO27" s="1120"/>
      <c r="EP27" s="1120"/>
      <c r="EQ27" s="1120"/>
      <c r="ER27" s="1120"/>
      <c r="ES27" s="1120"/>
      <c r="ET27" s="1120"/>
      <c r="EU27" s="1120"/>
      <c r="EV27" s="1120"/>
      <c r="EW27" s="1120"/>
      <c r="EX27" s="1120"/>
      <c r="EY27" s="1120"/>
      <c r="EZ27" s="1120"/>
      <c r="FA27" s="1120"/>
      <c r="FB27" s="1120"/>
      <c r="FC27" s="1120"/>
      <c r="FD27" s="1120"/>
      <c r="FE27" s="1120"/>
      <c r="FF27" s="1120"/>
      <c r="FG27" s="1120"/>
      <c r="FH27" s="1120"/>
      <c r="FI27" s="1120"/>
      <c r="FJ27" s="1120"/>
      <c r="FK27" s="1120"/>
      <c r="FL27" s="1120"/>
      <c r="FM27" s="1120"/>
      <c r="FN27" s="1120"/>
      <c r="FO27" s="1120"/>
      <c r="FP27" s="1120"/>
      <c r="FQ27" s="1120"/>
      <c r="FR27" s="1120"/>
      <c r="FS27" s="1120"/>
      <c r="FT27" s="1120"/>
      <c r="FU27" s="1120"/>
      <c r="FV27" s="1120"/>
      <c r="FW27" s="1120"/>
      <c r="FX27" s="1120"/>
      <c r="FY27" s="1120"/>
      <c r="FZ27" s="1120"/>
      <c r="GA27" s="1120"/>
      <c r="GB27" s="1120"/>
      <c r="GC27" s="1120"/>
    </row>
    <row r="28" spans="1:185">
      <c r="A28" s="1589"/>
      <c r="B28" s="1566" t="s">
        <v>1457</v>
      </c>
      <c r="C28" s="1563" t="s">
        <v>1464</v>
      </c>
      <c r="D28" s="1563" t="str">
        <f>B28&amp;C28</f>
        <v>&lt; select &gt; &lt; select &gt;</v>
      </c>
      <c r="E28" s="879"/>
      <c r="F28" s="875"/>
      <c r="G28" s="1592">
        <f>F38</f>
        <v>0</v>
      </c>
      <c r="H28" s="877"/>
      <c r="I28" s="877"/>
      <c r="J28" s="879"/>
      <c r="K28" s="953"/>
      <c r="L28" s="1065"/>
    </row>
    <row r="29" spans="1:185">
      <c r="A29" s="1589"/>
      <c r="B29" s="1566"/>
      <c r="C29" s="1564"/>
      <c r="D29" s="1564"/>
      <c r="E29" s="879"/>
      <c r="F29" s="875"/>
      <c r="G29" s="1593"/>
      <c r="H29" s="877"/>
      <c r="I29" s="877"/>
      <c r="J29" s="879"/>
      <c r="K29" s="953"/>
      <c r="L29" s="1065"/>
    </row>
    <row r="30" spans="1:185">
      <c r="A30" s="1589"/>
      <c r="B30" s="1566"/>
      <c r="C30" s="1564"/>
      <c r="D30" s="1564"/>
      <c r="E30" s="879"/>
      <c r="F30" s="875"/>
      <c r="G30" s="1593"/>
      <c r="H30" s="877"/>
      <c r="I30" s="877"/>
      <c r="J30" s="879"/>
      <c r="K30" s="953"/>
      <c r="L30" s="1065"/>
    </row>
    <row r="31" spans="1:185">
      <c r="A31" s="1589"/>
      <c r="B31" s="1566"/>
      <c r="C31" s="1564"/>
      <c r="D31" s="1564"/>
      <c r="E31" s="879"/>
      <c r="F31" s="875"/>
      <c r="G31" s="1593"/>
      <c r="H31" s="877"/>
      <c r="I31" s="877"/>
      <c r="J31" s="879"/>
      <c r="K31" s="953"/>
      <c r="L31" s="1065"/>
    </row>
    <row r="32" spans="1:185">
      <c r="A32" s="1589"/>
      <c r="B32" s="1566"/>
      <c r="C32" s="1564"/>
      <c r="D32" s="1564"/>
      <c r="E32" s="879"/>
      <c r="F32" s="875"/>
      <c r="G32" s="1593"/>
      <c r="H32" s="877"/>
      <c r="I32" s="877"/>
      <c r="J32" s="879"/>
      <c r="K32" s="953"/>
      <c r="L32" s="1065"/>
    </row>
    <row r="33" spans="1:185">
      <c r="A33" s="1589"/>
      <c r="B33" s="1566"/>
      <c r="C33" s="1564"/>
      <c r="D33" s="1564"/>
      <c r="E33" s="879"/>
      <c r="F33" s="875"/>
      <c r="G33" s="1593"/>
      <c r="H33" s="877"/>
      <c r="I33" s="877"/>
      <c r="J33" s="879"/>
      <c r="K33" s="953"/>
      <c r="L33" s="1065"/>
    </row>
    <row r="34" spans="1:185">
      <c r="A34" s="1589"/>
      <c r="B34" s="1566"/>
      <c r="C34" s="1564"/>
      <c r="D34" s="1564"/>
      <c r="E34" s="880"/>
      <c r="F34" s="875"/>
      <c r="G34" s="1593"/>
      <c r="H34" s="877"/>
      <c r="I34" s="877"/>
      <c r="J34" s="879"/>
      <c r="K34" s="953"/>
      <c r="L34" s="1065"/>
    </row>
    <row r="35" spans="1:185">
      <c r="A35" s="1589"/>
      <c r="B35" s="1566"/>
      <c r="C35" s="1564"/>
      <c r="D35" s="1564"/>
      <c r="E35" s="880"/>
      <c r="F35" s="875"/>
      <c r="G35" s="1593"/>
      <c r="H35" s="877"/>
      <c r="I35" s="877"/>
      <c r="J35" s="879"/>
      <c r="K35" s="953"/>
      <c r="L35" s="1065"/>
    </row>
    <row r="36" spans="1:185">
      <c r="A36" s="1589"/>
      <c r="B36" s="1566"/>
      <c r="C36" s="1564"/>
      <c r="D36" s="1564"/>
      <c r="E36" s="880"/>
      <c r="F36" s="875"/>
      <c r="G36" s="1593"/>
      <c r="H36" s="877"/>
      <c r="I36" s="877"/>
      <c r="J36" s="879"/>
      <c r="K36" s="953"/>
      <c r="L36" s="1065"/>
    </row>
    <row r="37" spans="1:185">
      <c r="A37" s="1589"/>
      <c r="B37" s="1566"/>
      <c r="C37" s="1565"/>
      <c r="D37" s="1565"/>
      <c r="E37" s="880"/>
      <c r="F37" s="875"/>
      <c r="G37" s="1594"/>
      <c r="H37" s="877"/>
      <c r="I37" s="877"/>
      <c r="J37" s="879"/>
      <c r="K37" s="953"/>
      <c r="L37" s="1065"/>
    </row>
    <row r="38" spans="1:185" s="1121" customFormat="1" ht="15">
      <c r="A38" s="1119"/>
      <c r="B38" s="1110" t="s">
        <v>1522</v>
      </c>
      <c r="C38" s="1111"/>
      <c r="D38" s="1111"/>
      <c r="E38" s="1115"/>
      <c r="F38" s="1113">
        <f>SUM(F28:F37)</f>
        <v>0</v>
      </c>
      <c r="G38" s="1113"/>
      <c r="H38" s="1114"/>
      <c r="I38" s="1114"/>
      <c r="J38" s="1115"/>
      <c r="K38" s="1116"/>
      <c r="L38" s="1119"/>
      <c r="M38" s="1120"/>
      <c r="N38" s="1120"/>
      <c r="O38" s="1120"/>
      <c r="P38" s="1120"/>
      <c r="Q38" s="1120"/>
      <c r="R38" s="1120"/>
      <c r="S38" s="1120"/>
      <c r="T38" s="1120"/>
      <c r="U38" s="1120"/>
      <c r="V38" s="1120"/>
      <c r="W38" s="1120"/>
      <c r="X38" s="1120"/>
      <c r="Y38" s="1120"/>
      <c r="Z38" s="1120"/>
      <c r="AA38" s="1120"/>
      <c r="AB38" s="1120"/>
      <c r="AC38" s="1120"/>
      <c r="AD38" s="1120"/>
      <c r="AE38" s="1120"/>
      <c r="AF38" s="1120"/>
      <c r="AG38" s="1120"/>
      <c r="AH38" s="1120"/>
      <c r="AI38" s="1120"/>
      <c r="AJ38" s="1120"/>
      <c r="AK38" s="1120"/>
      <c r="AL38" s="1120"/>
      <c r="AM38" s="1120"/>
      <c r="AN38" s="1120"/>
      <c r="AO38" s="1120"/>
      <c r="AP38" s="1120"/>
      <c r="AQ38" s="1120"/>
      <c r="AR38" s="1120"/>
      <c r="AS38" s="1120"/>
      <c r="AT38" s="1120"/>
      <c r="AU38" s="1120"/>
      <c r="AV38" s="1120"/>
      <c r="AW38" s="1120"/>
      <c r="AX38" s="1120"/>
      <c r="AY38" s="1120"/>
      <c r="AZ38" s="1120"/>
      <c r="BA38" s="1120"/>
      <c r="BB38" s="1120"/>
      <c r="BC38" s="1120"/>
      <c r="BD38" s="1120"/>
      <c r="BE38" s="1120"/>
      <c r="BF38" s="1120"/>
      <c r="BG38" s="1120"/>
      <c r="BH38" s="1120"/>
      <c r="BI38" s="1120"/>
      <c r="BJ38" s="1120"/>
      <c r="BK38" s="1120"/>
      <c r="BL38" s="1120"/>
      <c r="BM38" s="1120"/>
      <c r="BN38" s="1120"/>
      <c r="BO38" s="1120"/>
      <c r="BP38" s="1120"/>
      <c r="BQ38" s="1120"/>
      <c r="BR38" s="1120"/>
      <c r="BS38" s="1120"/>
      <c r="BT38" s="1120"/>
      <c r="BU38" s="1120"/>
      <c r="BV38" s="1120"/>
      <c r="BW38" s="1120"/>
      <c r="BX38" s="1120"/>
      <c r="BY38" s="1120"/>
      <c r="BZ38" s="1120"/>
      <c r="CA38" s="1120"/>
      <c r="CB38" s="1120"/>
      <c r="CC38" s="1120"/>
      <c r="CD38" s="1120"/>
      <c r="CE38" s="1120"/>
      <c r="CF38" s="1120"/>
      <c r="CG38" s="1120"/>
      <c r="CH38" s="1120"/>
      <c r="CI38" s="1120"/>
      <c r="CJ38" s="1120"/>
      <c r="CK38" s="1120"/>
      <c r="CL38" s="1120"/>
      <c r="CM38" s="1120"/>
      <c r="CN38" s="1120"/>
      <c r="CO38" s="1120"/>
      <c r="CP38" s="1120"/>
      <c r="CQ38" s="1120"/>
      <c r="CR38" s="1120"/>
      <c r="CS38" s="1120"/>
      <c r="CT38" s="1120"/>
      <c r="CU38" s="1120"/>
      <c r="CV38" s="1120"/>
      <c r="CW38" s="1120"/>
      <c r="CX38" s="1120"/>
      <c r="CY38" s="1120"/>
      <c r="CZ38" s="1120"/>
      <c r="DA38" s="1120"/>
      <c r="DB38" s="1120"/>
      <c r="DC38" s="1120"/>
      <c r="DD38" s="1120"/>
      <c r="DE38" s="1120"/>
      <c r="DF38" s="1120"/>
      <c r="DG38" s="1120"/>
      <c r="DH38" s="1120"/>
      <c r="DI38" s="1120"/>
      <c r="DJ38" s="1120"/>
      <c r="DK38" s="1120"/>
      <c r="DL38" s="1120"/>
      <c r="DM38" s="1120"/>
      <c r="DN38" s="1120"/>
      <c r="DO38" s="1120"/>
      <c r="DP38" s="1120"/>
      <c r="DQ38" s="1120"/>
      <c r="DR38" s="1120"/>
      <c r="DS38" s="1120"/>
      <c r="DT38" s="1120"/>
      <c r="DU38" s="1120"/>
      <c r="DV38" s="1120"/>
      <c r="DW38" s="1120"/>
      <c r="DX38" s="1120"/>
      <c r="DY38" s="1120"/>
      <c r="DZ38" s="1120"/>
      <c r="EA38" s="1120"/>
      <c r="EB38" s="1120"/>
      <c r="EC38" s="1120"/>
      <c r="ED38" s="1120"/>
      <c r="EE38" s="1120"/>
      <c r="EF38" s="1120"/>
      <c r="EG38" s="1120"/>
      <c r="EH38" s="1120"/>
      <c r="EI38" s="1120"/>
      <c r="EJ38" s="1120"/>
      <c r="EK38" s="1120"/>
      <c r="EL38" s="1120"/>
      <c r="EM38" s="1120"/>
      <c r="EN38" s="1120"/>
      <c r="EO38" s="1120"/>
      <c r="EP38" s="1120"/>
      <c r="EQ38" s="1120"/>
      <c r="ER38" s="1120"/>
      <c r="ES38" s="1120"/>
      <c r="ET38" s="1120"/>
      <c r="EU38" s="1120"/>
      <c r="EV38" s="1120"/>
      <c r="EW38" s="1120"/>
      <c r="EX38" s="1120"/>
      <c r="EY38" s="1120"/>
      <c r="EZ38" s="1120"/>
      <c r="FA38" s="1120"/>
      <c r="FB38" s="1120"/>
      <c r="FC38" s="1120"/>
      <c r="FD38" s="1120"/>
      <c r="FE38" s="1120"/>
      <c r="FF38" s="1120"/>
      <c r="FG38" s="1120"/>
      <c r="FH38" s="1120"/>
      <c r="FI38" s="1120"/>
      <c r="FJ38" s="1120"/>
      <c r="FK38" s="1120"/>
      <c r="FL38" s="1120"/>
      <c r="FM38" s="1120"/>
      <c r="FN38" s="1120"/>
      <c r="FO38" s="1120"/>
      <c r="FP38" s="1120"/>
      <c r="FQ38" s="1120"/>
      <c r="FR38" s="1120"/>
      <c r="FS38" s="1120"/>
      <c r="FT38" s="1120"/>
      <c r="FU38" s="1120"/>
      <c r="FV38" s="1120"/>
      <c r="FW38" s="1120"/>
      <c r="FX38" s="1120"/>
      <c r="FY38" s="1120"/>
      <c r="FZ38" s="1120"/>
      <c r="GA38" s="1120"/>
      <c r="GB38" s="1120"/>
      <c r="GC38" s="1120"/>
    </row>
    <row r="39" spans="1:185">
      <c r="A39" s="1589"/>
      <c r="B39" s="1566" t="s">
        <v>1457</v>
      </c>
      <c r="C39" s="1563" t="s">
        <v>1464</v>
      </c>
      <c r="D39" s="1563" t="str">
        <f>B39&amp;C39</f>
        <v>&lt; select &gt; &lt; select &gt;</v>
      </c>
      <c r="E39" s="879"/>
      <c r="F39" s="875"/>
      <c r="G39" s="1592">
        <f>F49</f>
        <v>0</v>
      </c>
      <c r="H39" s="877"/>
      <c r="I39" s="877"/>
      <c r="J39" s="879"/>
      <c r="K39" s="953"/>
      <c r="L39" s="1065"/>
    </row>
    <row r="40" spans="1:185">
      <c r="A40" s="1589"/>
      <c r="B40" s="1566"/>
      <c r="C40" s="1564"/>
      <c r="D40" s="1564"/>
      <c r="E40" s="880"/>
      <c r="F40" s="875"/>
      <c r="G40" s="1593"/>
      <c r="H40" s="877"/>
      <c r="I40" s="877"/>
      <c r="J40" s="879"/>
      <c r="K40" s="953"/>
      <c r="L40" s="1065"/>
    </row>
    <row r="41" spans="1:185">
      <c r="A41" s="1589"/>
      <c r="B41" s="1566"/>
      <c r="C41" s="1564"/>
      <c r="D41" s="1564"/>
      <c r="E41" s="880"/>
      <c r="F41" s="875"/>
      <c r="G41" s="1593"/>
      <c r="H41" s="877"/>
      <c r="I41" s="877"/>
      <c r="J41" s="879"/>
      <c r="K41" s="953"/>
      <c r="L41" s="1065"/>
    </row>
    <row r="42" spans="1:185">
      <c r="A42" s="1589"/>
      <c r="B42" s="1566"/>
      <c r="C42" s="1564"/>
      <c r="D42" s="1564"/>
      <c r="E42" s="880"/>
      <c r="F42" s="875"/>
      <c r="G42" s="1593"/>
      <c r="H42" s="877"/>
      <c r="I42" s="877"/>
      <c r="J42" s="879"/>
      <c r="K42" s="953"/>
      <c r="L42" s="1065"/>
    </row>
    <row r="43" spans="1:185">
      <c r="A43" s="1589"/>
      <c r="B43" s="1566"/>
      <c r="C43" s="1564"/>
      <c r="D43" s="1564"/>
      <c r="E43" s="880"/>
      <c r="F43" s="875"/>
      <c r="G43" s="1593"/>
      <c r="H43" s="877"/>
      <c r="I43" s="877"/>
      <c r="J43" s="879"/>
      <c r="K43" s="953"/>
      <c r="L43" s="1065"/>
    </row>
    <row r="44" spans="1:185">
      <c r="A44" s="1589"/>
      <c r="B44" s="1566"/>
      <c r="C44" s="1564"/>
      <c r="D44" s="1564"/>
      <c r="E44" s="880"/>
      <c r="F44" s="875"/>
      <c r="G44" s="1593"/>
      <c r="H44" s="877"/>
      <c r="I44" s="877"/>
      <c r="J44" s="879"/>
      <c r="K44" s="953"/>
      <c r="L44" s="1065"/>
    </row>
    <row r="45" spans="1:185">
      <c r="A45" s="1589"/>
      <c r="B45" s="1566"/>
      <c r="C45" s="1564"/>
      <c r="D45" s="1564"/>
      <c r="E45" s="880"/>
      <c r="F45" s="875"/>
      <c r="G45" s="1593"/>
      <c r="H45" s="877"/>
      <c r="I45" s="877"/>
      <c r="J45" s="879"/>
      <c r="K45" s="953"/>
      <c r="L45" s="1065"/>
    </row>
    <row r="46" spans="1:185">
      <c r="A46" s="1589"/>
      <c r="B46" s="1566"/>
      <c r="C46" s="1564"/>
      <c r="D46" s="1564"/>
      <c r="E46" s="880"/>
      <c r="F46" s="875"/>
      <c r="G46" s="1593"/>
      <c r="H46" s="877"/>
      <c r="I46" s="877"/>
      <c r="J46" s="879"/>
      <c r="K46" s="953"/>
      <c r="L46" s="1065"/>
    </row>
    <row r="47" spans="1:185">
      <c r="A47" s="1589"/>
      <c r="B47" s="1566"/>
      <c r="C47" s="1564"/>
      <c r="D47" s="1564"/>
      <c r="E47" s="880"/>
      <c r="F47" s="875"/>
      <c r="G47" s="1593"/>
      <c r="H47" s="877"/>
      <c r="I47" s="877"/>
      <c r="J47" s="879"/>
      <c r="K47" s="953"/>
      <c r="L47" s="1065"/>
    </row>
    <row r="48" spans="1:185">
      <c r="A48" s="1589"/>
      <c r="B48" s="1566"/>
      <c r="C48" s="1565"/>
      <c r="D48" s="1565"/>
      <c r="E48" s="880"/>
      <c r="F48" s="875"/>
      <c r="G48" s="1594"/>
      <c r="H48" s="877"/>
      <c r="I48" s="877"/>
      <c r="J48" s="879"/>
      <c r="K48" s="953"/>
      <c r="L48" s="1065"/>
    </row>
    <row r="49" spans="1:185" s="1121" customFormat="1" ht="15">
      <c r="A49" s="1119"/>
      <c r="B49" s="1110" t="s">
        <v>1522</v>
      </c>
      <c r="C49" s="1111"/>
      <c r="D49" s="1111"/>
      <c r="E49" s="1115"/>
      <c r="F49" s="1113">
        <f>SUM(F39:F48)</f>
        <v>0</v>
      </c>
      <c r="G49" s="1113"/>
      <c r="H49" s="1114"/>
      <c r="I49" s="1114"/>
      <c r="J49" s="1115"/>
      <c r="K49" s="1116"/>
      <c r="L49" s="1119"/>
      <c r="M49" s="1120"/>
      <c r="N49" s="1120"/>
      <c r="O49" s="1120"/>
      <c r="P49" s="1120"/>
      <c r="Q49" s="1120"/>
      <c r="R49" s="1120"/>
      <c r="S49" s="1120"/>
      <c r="T49" s="1120"/>
      <c r="U49" s="1120"/>
      <c r="V49" s="1120"/>
      <c r="W49" s="1120"/>
      <c r="X49" s="1120"/>
      <c r="Y49" s="1120"/>
      <c r="Z49" s="1120"/>
      <c r="AA49" s="1120"/>
      <c r="AB49" s="1120"/>
      <c r="AC49" s="1120"/>
      <c r="AD49" s="1120"/>
      <c r="AE49" s="1120"/>
      <c r="AF49" s="1120"/>
      <c r="AG49" s="1120"/>
      <c r="AH49" s="1120"/>
      <c r="AI49" s="1120"/>
      <c r="AJ49" s="1120"/>
      <c r="AK49" s="1120"/>
      <c r="AL49" s="1120"/>
      <c r="AM49" s="1120"/>
      <c r="AN49" s="1120"/>
      <c r="AO49" s="1120"/>
      <c r="AP49" s="1120"/>
      <c r="AQ49" s="1120"/>
      <c r="AR49" s="1120"/>
      <c r="AS49" s="1120"/>
      <c r="AT49" s="1120"/>
      <c r="AU49" s="1120"/>
      <c r="AV49" s="1120"/>
      <c r="AW49" s="1120"/>
      <c r="AX49" s="1120"/>
      <c r="AY49" s="1120"/>
      <c r="AZ49" s="1120"/>
      <c r="BA49" s="1120"/>
      <c r="BB49" s="1120"/>
      <c r="BC49" s="1120"/>
      <c r="BD49" s="1120"/>
      <c r="BE49" s="1120"/>
      <c r="BF49" s="1120"/>
      <c r="BG49" s="1120"/>
      <c r="BH49" s="1120"/>
      <c r="BI49" s="1120"/>
      <c r="BJ49" s="1120"/>
      <c r="BK49" s="1120"/>
      <c r="BL49" s="1120"/>
      <c r="BM49" s="1120"/>
      <c r="BN49" s="1120"/>
      <c r="BO49" s="1120"/>
      <c r="BP49" s="1120"/>
      <c r="BQ49" s="1120"/>
      <c r="BR49" s="1120"/>
      <c r="BS49" s="1120"/>
      <c r="BT49" s="1120"/>
      <c r="BU49" s="1120"/>
      <c r="BV49" s="1120"/>
      <c r="BW49" s="1120"/>
      <c r="BX49" s="1120"/>
      <c r="BY49" s="1120"/>
      <c r="BZ49" s="1120"/>
      <c r="CA49" s="1120"/>
      <c r="CB49" s="1120"/>
      <c r="CC49" s="1120"/>
      <c r="CD49" s="1120"/>
      <c r="CE49" s="1120"/>
      <c r="CF49" s="1120"/>
      <c r="CG49" s="1120"/>
      <c r="CH49" s="1120"/>
      <c r="CI49" s="1120"/>
      <c r="CJ49" s="1120"/>
      <c r="CK49" s="1120"/>
      <c r="CL49" s="1120"/>
      <c r="CM49" s="1120"/>
      <c r="CN49" s="1120"/>
      <c r="CO49" s="1120"/>
      <c r="CP49" s="1120"/>
      <c r="CQ49" s="1120"/>
      <c r="CR49" s="1120"/>
      <c r="CS49" s="1120"/>
      <c r="CT49" s="1120"/>
      <c r="CU49" s="1120"/>
      <c r="CV49" s="1120"/>
      <c r="CW49" s="1120"/>
      <c r="CX49" s="1120"/>
      <c r="CY49" s="1120"/>
      <c r="CZ49" s="1120"/>
      <c r="DA49" s="1120"/>
      <c r="DB49" s="1120"/>
      <c r="DC49" s="1120"/>
      <c r="DD49" s="1120"/>
      <c r="DE49" s="1120"/>
      <c r="DF49" s="1120"/>
      <c r="DG49" s="1120"/>
      <c r="DH49" s="1120"/>
      <c r="DI49" s="1120"/>
      <c r="DJ49" s="1120"/>
      <c r="DK49" s="1120"/>
      <c r="DL49" s="1120"/>
      <c r="DM49" s="1120"/>
      <c r="DN49" s="1120"/>
      <c r="DO49" s="1120"/>
      <c r="DP49" s="1120"/>
      <c r="DQ49" s="1120"/>
      <c r="DR49" s="1120"/>
      <c r="DS49" s="1120"/>
      <c r="DT49" s="1120"/>
      <c r="DU49" s="1120"/>
      <c r="DV49" s="1120"/>
      <c r="DW49" s="1120"/>
      <c r="DX49" s="1120"/>
      <c r="DY49" s="1120"/>
      <c r="DZ49" s="1120"/>
      <c r="EA49" s="1120"/>
      <c r="EB49" s="1120"/>
      <c r="EC49" s="1120"/>
      <c r="ED49" s="1120"/>
      <c r="EE49" s="1120"/>
      <c r="EF49" s="1120"/>
      <c r="EG49" s="1120"/>
      <c r="EH49" s="1120"/>
      <c r="EI49" s="1120"/>
      <c r="EJ49" s="1120"/>
      <c r="EK49" s="1120"/>
      <c r="EL49" s="1120"/>
      <c r="EM49" s="1120"/>
      <c r="EN49" s="1120"/>
      <c r="EO49" s="1120"/>
      <c r="EP49" s="1120"/>
      <c r="EQ49" s="1120"/>
      <c r="ER49" s="1120"/>
      <c r="ES49" s="1120"/>
      <c r="ET49" s="1120"/>
      <c r="EU49" s="1120"/>
      <c r="EV49" s="1120"/>
      <c r="EW49" s="1120"/>
      <c r="EX49" s="1120"/>
      <c r="EY49" s="1120"/>
      <c r="EZ49" s="1120"/>
      <c r="FA49" s="1120"/>
      <c r="FB49" s="1120"/>
      <c r="FC49" s="1120"/>
      <c r="FD49" s="1120"/>
      <c r="FE49" s="1120"/>
      <c r="FF49" s="1120"/>
      <c r="FG49" s="1120"/>
      <c r="FH49" s="1120"/>
      <c r="FI49" s="1120"/>
      <c r="FJ49" s="1120"/>
      <c r="FK49" s="1120"/>
      <c r="FL49" s="1120"/>
      <c r="FM49" s="1120"/>
      <c r="FN49" s="1120"/>
      <c r="FO49" s="1120"/>
      <c r="FP49" s="1120"/>
      <c r="FQ49" s="1120"/>
      <c r="FR49" s="1120"/>
      <c r="FS49" s="1120"/>
      <c r="FT49" s="1120"/>
      <c r="FU49" s="1120"/>
      <c r="FV49" s="1120"/>
      <c r="FW49" s="1120"/>
      <c r="FX49" s="1120"/>
      <c r="FY49" s="1120"/>
      <c r="FZ49" s="1120"/>
      <c r="GA49" s="1120"/>
      <c r="GB49" s="1120"/>
      <c r="GC49" s="1120"/>
    </row>
    <row r="50" spans="1:185">
      <c r="A50" s="1065"/>
      <c r="B50" s="1566" t="s">
        <v>1457</v>
      </c>
      <c r="C50" s="1563" t="s">
        <v>1464</v>
      </c>
      <c r="D50" s="1563" t="str">
        <f>B50&amp;C50</f>
        <v>&lt; select &gt; &lt; select &gt;</v>
      </c>
      <c r="E50" s="879"/>
      <c r="F50" s="875"/>
      <c r="G50" s="1592">
        <f>F60</f>
        <v>0</v>
      </c>
      <c r="H50" s="877"/>
      <c r="I50" s="877"/>
      <c r="J50" s="879"/>
      <c r="K50" s="953"/>
      <c r="L50" s="1065"/>
    </row>
    <row r="51" spans="1:185">
      <c r="A51" s="1065"/>
      <c r="B51" s="1566"/>
      <c r="C51" s="1564"/>
      <c r="D51" s="1564"/>
      <c r="E51" s="880"/>
      <c r="F51" s="875"/>
      <c r="G51" s="1593"/>
      <c r="H51" s="877"/>
      <c r="I51" s="877"/>
      <c r="J51" s="879"/>
      <c r="K51" s="953"/>
      <c r="L51" s="1065"/>
    </row>
    <row r="52" spans="1:185">
      <c r="A52" s="1065"/>
      <c r="B52" s="1566"/>
      <c r="C52" s="1564"/>
      <c r="D52" s="1564"/>
      <c r="E52" s="880"/>
      <c r="F52" s="875"/>
      <c r="G52" s="1593"/>
      <c r="H52" s="877"/>
      <c r="I52" s="877"/>
      <c r="J52" s="879"/>
      <c r="K52" s="953"/>
      <c r="L52" s="1065"/>
    </row>
    <row r="53" spans="1:185">
      <c r="A53" s="1065"/>
      <c r="B53" s="1566"/>
      <c r="C53" s="1564"/>
      <c r="D53" s="1564"/>
      <c r="E53" s="880"/>
      <c r="F53" s="875"/>
      <c r="G53" s="1593"/>
      <c r="H53" s="877"/>
      <c r="I53" s="877"/>
      <c r="J53" s="879"/>
      <c r="K53" s="953"/>
      <c r="L53" s="1065"/>
    </row>
    <row r="54" spans="1:185">
      <c r="A54" s="1065"/>
      <c r="B54" s="1566"/>
      <c r="C54" s="1564"/>
      <c r="D54" s="1564"/>
      <c r="E54" s="880"/>
      <c r="F54" s="875"/>
      <c r="G54" s="1593"/>
      <c r="H54" s="877"/>
      <c r="I54" s="877"/>
      <c r="J54" s="879"/>
      <c r="K54" s="953"/>
      <c r="L54" s="1065"/>
    </row>
    <row r="55" spans="1:185">
      <c r="A55" s="1065"/>
      <c r="B55" s="1566"/>
      <c r="C55" s="1564"/>
      <c r="D55" s="1564"/>
      <c r="E55" s="880"/>
      <c r="F55" s="875"/>
      <c r="G55" s="1593"/>
      <c r="H55" s="877"/>
      <c r="I55" s="877"/>
      <c r="J55" s="879"/>
      <c r="K55" s="953"/>
      <c r="L55" s="1065"/>
    </row>
    <row r="56" spans="1:185">
      <c r="A56" s="1065"/>
      <c r="B56" s="1566"/>
      <c r="C56" s="1564"/>
      <c r="D56" s="1564"/>
      <c r="E56" s="880"/>
      <c r="F56" s="875"/>
      <c r="G56" s="1593"/>
      <c r="H56" s="877"/>
      <c r="I56" s="877"/>
      <c r="J56" s="879"/>
      <c r="K56" s="953"/>
      <c r="L56" s="1065"/>
    </row>
    <row r="57" spans="1:185">
      <c r="A57" s="1065"/>
      <c r="B57" s="1566"/>
      <c r="C57" s="1564"/>
      <c r="D57" s="1564"/>
      <c r="E57" s="880"/>
      <c r="F57" s="875"/>
      <c r="G57" s="1593"/>
      <c r="H57" s="877"/>
      <c r="I57" s="877"/>
      <c r="J57" s="879"/>
      <c r="K57" s="953"/>
      <c r="L57" s="1065"/>
    </row>
    <row r="58" spans="1:185">
      <c r="A58" s="1065"/>
      <c r="B58" s="1566"/>
      <c r="C58" s="1564"/>
      <c r="D58" s="1564"/>
      <c r="E58" s="880"/>
      <c r="F58" s="875"/>
      <c r="G58" s="1593"/>
      <c r="H58" s="877"/>
      <c r="I58" s="877"/>
      <c r="J58" s="879"/>
      <c r="K58" s="953"/>
      <c r="L58" s="1065"/>
    </row>
    <row r="59" spans="1:185">
      <c r="A59" s="1065"/>
      <c r="B59" s="1566"/>
      <c r="C59" s="1565"/>
      <c r="D59" s="1565"/>
      <c r="E59" s="880"/>
      <c r="F59" s="875"/>
      <c r="G59" s="1594"/>
      <c r="H59" s="877"/>
      <c r="I59" s="877"/>
      <c r="J59" s="879"/>
      <c r="K59" s="953"/>
      <c r="L59" s="1065"/>
    </row>
    <row r="60" spans="1:185" s="1121" customFormat="1" ht="15">
      <c r="A60" s="1119"/>
      <c r="B60" s="1110" t="s">
        <v>1522</v>
      </c>
      <c r="C60" s="1111"/>
      <c r="D60" s="1111"/>
      <c r="E60" s="1115"/>
      <c r="F60" s="1113">
        <f>SUM(F50:F59)</f>
        <v>0</v>
      </c>
      <c r="G60" s="1113"/>
      <c r="H60" s="1114"/>
      <c r="I60" s="1114"/>
      <c r="J60" s="1115"/>
      <c r="K60" s="1116"/>
      <c r="L60" s="1119"/>
      <c r="M60" s="1120"/>
      <c r="N60" s="1120"/>
      <c r="O60" s="1120"/>
      <c r="P60" s="1120"/>
      <c r="Q60" s="1120"/>
      <c r="R60" s="1120"/>
      <c r="S60" s="1120"/>
      <c r="T60" s="1120"/>
      <c r="U60" s="1120"/>
      <c r="V60" s="1120"/>
      <c r="W60" s="1120"/>
      <c r="X60" s="1120"/>
      <c r="Y60" s="1120"/>
      <c r="Z60" s="1120"/>
      <c r="AA60" s="1120"/>
      <c r="AB60" s="1120"/>
      <c r="AC60" s="1120"/>
      <c r="AD60" s="1120"/>
      <c r="AE60" s="1120"/>
      <c r="AF60" s="1120"/>
      <c r="AG60" s="1120"/>
      <c r="AH60" s="1120"/>
      <c r="AI60" s="1120"/>
      <c r="AJ60" s="1120"/>
      <c r="AK60" s="1120"/>
      <c r="AL60" s="1120"/>
      <c r="AM60" s="1120"/>
      <c r="AN60" s="1120"/>
      <c r="AO60" s="1120"/>
      <c r="AP60" s="1120"/>
      <c r="AQ60" s="1120"/>
      <c r="AR60" s="1120"/>
      <c r="AS60" s="1120"/>
      <c r="AT60" s="1120"/>
      <c r="AU60" s="1120"/>
      <c r="AV60" s="1120"/>
      <c r="AW60" s="1120"/>
      <c r="AX60" s="1120"/>
      <c r="AY60" s="1120"/>
      <c r="AZ60" s="1120"/>
      <c r="BA60" s="1120"/>
      <c r="BB60" s="1120"/>
      <c r="BC60" s="1120"/>
      <c r="BD60" s="1120"/>
      <c r="BE60" s="1120"/>
      <c r="BF60" s="1120"/>
      <c r="BG60" s="1120"/>
      <c r="BH60" s="1120"/>
      <c r="BI60" s="1120"/>
      <c r="BJ60" s="1120"/>
      <c r="BK60" s="1120"/>
      <c r="BL60" s="1120"/>
      <c r="BM60" s="1120"/>
      <c r="BN60" s="1120"/>
      <c r="BO60" s="1120"/>
      <c r="BP60" s="1120"/>
      <c r="BQ60" s="1120"/>
      <c r="BR60" s="1120"/>
      <c r="BS60" s="1120"/>
      <c r="BT60" s="1120"/>
      <c r="BU60" s="1120"/>
      <c r="BV60" s="1120"/>
      <c r="BW60" s="1120"/>
      <c r="BX60" s="1120"/>
      <c r="BY60" s="1120"/>
      <c r="BZ60" s="1120"/>
      <c r="CA60" s="1120"/>
      <c r="CB60" s="1120"/>
      <c r="CC60" s="1120"/>
      <c r="CD60" s="1120"/>
      <c r="CE60" s="1120"/>
      <c r="CF60" s="1120"/>
      <c r="CG60" s="1120"/>
      <c r="CH60" s="1120"/>
      <c r="CI60" s="1120"/>
      <c r="CJ60" s="1120"/>
      <c r="CK60" s="1120"/>
      <c r="CL60" s="1120"/>
      <c r="CM60" s="1120"/>
      <c r="CN60" s="1120"/>
      <c r="CO60" s="1120"/>
      <c r="CP60" s="1120"/>
      <c r="CQ60" s="1120"/>
      <c r="CR60" s="1120"/>
      <c r="CS60" s="1120"/>
      <c r="CT60" s="1120"/>
      <c r="CU60" s="1120"/>
      <c r="CV60" s="1120"/>
      <c r="CW60" s="1120"/>
      <c r="CX60" s="1120"/>
      <c r="CY60" s="1120"/>
      <c r="CZ60" s="1120"/>
      <c r="DA60" s="1120"/>
      <c r="DB60" s="1120"/>
      <c r="DC60" s="1120"/>
      <c r="DD60" s="1120"/>
      <c r="DE60" s="1120"/>
      <c r="DF60" s="1120"/>
      <c r="DG60" s="1120"/>
      <c r="DH60" s="1120"/>
      <c r="DI60" s="1120"/>
      <c r="DJ60" s="1120"/>
      <c r="DK60" s="1120"/>
      <c r="DL60" s="1120"/>
      <c r="DM60" s="1120"/>
      <c r="DN60" s="1120"/>
      <c r="DO60" s="1120"/>
      <c r="DP60" s="1120"/>
      <c r="DQ60" s="1120"/>
      <c r="DR60" s="1120"/>
      <c r="DS60" s="1120"/>
      <c r="DT60" s="1120"/>
      <c r="DU60" s="1120"/>
      <c r="DV60" s="1120"/>
      <c r="DW60" s="1120"/>
      <c r="DX60" s="1120"/>
      <c r="DY60" s="1120"/>
      <c r="DZ60" s="1120"/>
      <c r="EA60" s="1120"/>
      <c r="EB60" s="1120"/>
      <c r="EC60" s="1120"/>
      <c r="ED60" s="1120"/>
      <c r="EE60" s="1120"/>
      <c r="EF60" s="1120"/>
      <c r="EG60" s="1120"/>
      <c r="EH60" s="1120"/>
      <c r="EI60" s="1120"/>
      <c r="EJ60" s="1120"/>
      <c r="EK60" s="1120"/>
      <c r="EL60" s="1120"/>
      <c r="EM60" s="1120"/>
      <c r="EN60" s="1120"/>
      <c r="EO60" s="1120"/>
      <c r="EP60" s="1120"/>
      <c r="EQ60" s="1120"/>
      <c r="ER60" s="1120"/>
      <c r="ES60" s="1120"/>
      <c r="ET60" s="1120"/>
      <c r="EU60" s="1120"/>
      <c r="EV60" s="1120"/>
      <c r="EW60" s="1120"/>
      <c r="EX60" s="1120"/>
      <c r="EY60" s="1120"/>
      <c r="EZ60" s="1120"/>
      <c r="FA60" s="1120"/>
      <c r="FB60" s="1120"/>
      <c r="FC60" s="1120"/>
      <c r="FD60" s="1120"/>
      <c r="FE60" s="1120"/>
      <c r="FF60" s="1120"/>
      <c r="FG60" s="1120"/>
      <c r="FH60" s="1120"/>
      <c r="FI60" s="1120"/>
      <c r="FJ60" s="1120"/>
      <c r="FK60" s="1120"/>
      <c r="FL60" s="1120"/>
      <c r="FM60" s="1120"/>
      <c r="FN60" s="1120"/>
      <c r="FO60" s="1120"/>
      <c r="FP60" s="1120"/>
      <c r="FQ60" s="1120"/>
      <c r="FR60" s="1120"/>
      <c r="FS60" s="1120"/>
      <c r="FT60" s="1120"/>
      <c r="FU60" s="1120"/>
      <c r="FV60" s="1120"/>
      <c r="FW60" s="1120"/>
      <c r="FX60" s="1120"/>
      <c r="FY60" s="1120"/>
      <c r="FZ60" s="1120"/>
      <c r="GA60" s="1120"/>
      <c r="GB60" s="1120"/>
      <c r="GC60" s="1120"/>
    </row>
    <row r="61" spans="1:185">
      <c r="A61" s="1065"/>
      <c r="B61" s="1566" t="s">
        <v>1457</v>
      </c>
      <c r="C61" s="1563" t="s">
        <v>1464</v>
      </c>
      <c r="D61" s="1563" t="str">
        <f>B61&amp;C61</f>
        <v>&lt; select &gt; &lt; select &gt;</v>
      </c>
      <c r="E61" s="879"/>
      <c r="F61" s="875"/>
      <c r="G61" s="1592">
        <f>F71</f>
        <v>0</v>
      </c>
      <c r="H61" s="877"/>
      <c r="I61" s="877"/>
      <c r="J61" s="879"/>
      <c r="K61" s="953"/>
      <c r="L61" s="1065"/>
    </row>
    <row r="62" spans="1:185">
      <c r="A62" s="1065"/>
      <c r="B62" s="1566"/>
      <c r="C62" s="1564"/>
      <c r="D62" s="1564"/>
      <c r="E62" s="880"/>
      <c r="F62" s="875"/>
      <c r="G62" s="1593"/>
      <c r="H62" s="877"/>
      <c r="I62" s="877"/>
      <c r="J62" s="879"/>
      <c r="K62" s="953"/>
      <c r="L62" s="1065"/>
    </row>
    <row r="63" spans="1:185">
      <c r="A63" s="1065"/>
      <c r="B63" s="1566"/>
      <c r="C63" s="1564"/>
      <c r="D63" s="1564"/>
      <c r="E63" s="880"/>
      <c r="F63" s="875"/>
      <c r="G63" s="1593"/>
      <c r="H63" s="877"/>
      <c r="I63" s="877"/>
      <c r="J63" s="879"/>
      <c r="K63" s="953"/>
      <c r="L63" s="1065"/>
    </row>
    <row r="64" spans="1:185">
      <c r="A64" s="1065"/>
      <c r="B64" s="1566"/>
      <c r="C64" s="1564"/>
      <c r="D64" s="1564"/>
      <c r="E64" s="880"/>
      <c r="F64" s="875"/>
      <c r="G64" s="1593"/>
      <c r="H64" s="877"/>
      <c r="I64" s="877"/>
      <c r="J64" s="879"/>
      <c r="K64" s="953"/>
      <c r="L64" s="1065"/>
    </row>
    <row r="65" spans="1:185">
      <c r="A65" s="1065"/>
      <c r="B65" s="1566"/>
      <c r="C65" s="1564"/>
      <c r="D65" s="1564"/>
      <c r="E65" s="880"/>
      <c r="F65" s="875"/>
      <c r="G65" s="1593"/>
      <c r="H65" s="877"/>
      <c r="I65" s="877"/>
      <c r="J65" s="879"/>
      <c r="K65" s="953"/>
      <c r="L65" s="1065"/>
    </row>
    <row r="66" spans="1:185">
      <c r="A66" s="1065"/>
      <c r="B66" s="1566"/>
      <c r="C66" s="1564"/>
      <c r="D66" s="1564"/>
      <c r="E66" s="880"/>
      <c r="F66" s="875"/>
      <c r="G66" s="1593"/>
      <c r="H66" s="877"/>
      <c r="I66" s="877"/>
      <c r="J66" s="879"/>
      <c r="K66" s="953"/>
      <c r="L66" s="1065"/>
    </row>
    <row r="67" spans="1:185">
      <c r="A67" s="1065"/>
      <c r="B67" s="1566"/>
      <c r="C67" s="1564"/>
      <c r="D67" s="1564"/>
      <c r="E67" s="880"/>
      <c r="F67" s="875"/>
      <c r="G67" s="1593"/>
      <c r="H67" s="877"/>
      <c r="I67" s="877"/>
      <c r="J67" s="879"/>
      <c r="K67" s="953"/>
      <c r="L67" s="1065"/>
    </row>
    <row r="68" spans="1:185">
      <c r="A68" s="1065"/>
      <c r="B68" s="1566"/>
      <c r="C68" s="1564"/>
      <c r="D68" s="1564"/>
      <c r="E68" s="880"/>
      <c r="F68" s="875"/>
      <c r="G68" s="1593"/>
      <c r="H68" s="877"/>
      <c r="I68" s="877"/>
      <c r="J68" s="879"/>
      <c r="K68" s="953"/>
      <c r="L68" s="1065"/>
    </row>
    <row r="69" spans="1:185">
      <c r="A69" s="1065"/>
      <c r="B69" s="1566"/>
      <c r="C69" s="1564"/>
      <c r="D69" s="1564"/>
      <c r="E69" s="880"/>
      <c r="F69" s="875"/>
      <c r="G69" s="1593"/>
      <c r="H69" s="877"/>
      <c r="I69" s="877"/>
      <c r="J69" s="879"/>
      <c r="K69" s="953"/>
      <c r="L69" s="1065"/>
    </row>
    <row r="70" spans="1:185">
      <c r="A70" s="1065"/>
      <c r="B70" s="1566"/>
      <c r="C70" s="1565"/>
      <c r="D70" s="1565"/>
      <c r="E70" s="880"/>
      <c r="F70" s="875"/>
      <c r="G70" s="1594"/>
      <c r="H70" s="877"/>
      <c r="I70" s="877"/>
      <c r="J70" s="879"/>
      <c r="K70" s="953"/>
      <c r="L70" s="1065"/>
    </row>
    <row r="71" spans="1:185" s="1121" customFormat="1" ht="15">
      <c r="A71" s="1119"/>
      <c r="B71" s="1110" t="s">
        <v>1522</v>
      </c>
      <c r="C71" s="1111"/>
      <c r="D71" s="1111"/>
      <c r="E71" s="1115"/>
      <c r="F71" s="1113">
        <f>SUM(F61:F70)</f>
        <v>0</v>
      </c>
      <c r="G71" s="1113"/>
      <c r="H71" s="1114"/>
      <c r="I71" s="1114"/>
      <c r="J71" s="1115"/>
      <c r="K71" s="1116"/>
      <c r="L71" s="1119"/>
      <c r="M71" s="1120"/>
      <c r="N71" s="1120"/>
      <c r="O71" s="1120"/>
      <c r="P71" s="1120"/>
      <c r="Q71" s="1120"/>
      <c r="R71" s="1120"/>
      <c r="S71" s="1120"/>
      <c r="T71" s="1120"/>
      <c r="U71" s="1120"/>
      <c r="V71" s="1120"/>
      <c r="W71" s="1120"/>
      <c r="X71" s="1120"/>
      <c r="Y71" s="1120"/>
      <c r="Z71" s="1120"/>
      <c r="AA71" s="1120"/>
      <c r="AB71" s="1120"/>
      <c r="AC71" s="1120"/>
      <c r="AD71" s="1120"/>
      <c r="AE71" s="1120"/>
      <c r="AF71" s="1120"/>
      <c r="AG71" s="1120"/>
      <c r="AH71" s="1120"/>
      <c r="AI71" s="1120"/>
      <c r="AJ71" s="1120"/>
      <c r="AK71" s="1120"/>
      <c r="AL71" s="1120"/>
      <c r="AM71" s="1120"/>
      <c r="AN71" s="1120"/>
      <c r="AO71" s="1120"/>
      <c r="AP71" s="1120"/>
      <c r="AQ71" s="1120"/>
      <c r="AR71" s="1120"/>
      <c r="AS71" s="1120"/>
      <c r="AT71" s="1120"/>
      <c r="AU71" s="1120"/>
      <c r="AV71" s="1120"/>
      <c r="AW71" s="1120"/>
      <c r="AX71" s="1120"/>
      <c r="AY71" s="1120"/>
      <c r="AZ71" s="1120"/>
      <c r="BA71" s="1120"/>
      <c r="BB71" s="1120"/>
      <c r="BC71" s="1120"/>
      <c r="BD71" s="1120"/>
      <c r="BE71" s="1120"/>
      <c r="BF71" s="1120"/>
      <c r="BG71" s="1120"/>
      <c r="BH71" s="1120"/>
      <c r="BI71" s="1120"/>
      <c r="BJ71" s="1120"/>
      <c r="BK71" s="1120"/>
      <c r="BL71" s="1120"/>
      <c r="BM71" s="1120"/>
      <c r="BN71" s="1120"/>
      <c r="BO71" s="1120"/>
      <c r="BP71" s="1120"/>
      <c r="BQ71" s="1120"/>
      <c r="BR71" s="1120"/>
      <c r="BS71" s="1120"/>
      <c r="BT71" s="1120"/>
      <c r="BU71" s="1120"/>
      <c r="BV71" s="1120"/>
      <c r="BW71" s="1120"/>
      <c r="BX71" s="1120"/>
      <c r="BY71" s="1120"/>
      <c r="BZ71" s="1120"/>
      <c r="CA71" s="1120"/>
      <c r="CB71" s="1120"/>
      <c r="CC71" s="1120"/>
      <c r="CD71" s="1120"/>
      <c r="CE71" s="1120"/>
      <c r="CF71" s="1120"/>
      <c r="CG71" s="1120"/>
      <c r="CH71" s="1120"/>
      <c r="CI71" s="1120"/>
      <c r="CJ71" s="1120"/>
      <c r="CK71" s="1120"/>
      <c r="CL71" s="1120"/>
      <c r="CM71" s="1120"/>
      <c r="CN71" s="1120"/>
      <c r="CO71" s="1120"/>
      <c r="CP71" s="1120"/>
      <c r="CQ71" s="1120"/>
      <c r="CR71" s="1120"/>
      <c r="CS71" s="1120"/>
      <c r="CT71" s="1120"/>
      <c r="CU71" s="1120"/>
      <c r="CV71" s="1120"/>
      <c r="CW71" s="1120"/>
      <c r="CX71" s="1120"/>
      <c r="CY71" s="1120"/>
      <c r="CZ71" s="1120"/>
      <c r="DA71" s="1120"/>
      <c r="DB71" s="1120"/>
      <c r="DC71" s="1120"/>
      <c r="DD71" s="1120"/>
      <c r="DE71" s="1120"/>
      <c r="DF71" s="1120"/>
      <c r="DG71" s="1120"/>
      <c r="DH71" s="1120"/>
      <c r="DI71" s="1120"/>
      <c r="DJ71" s="1120"/>
      <c r="DK71" s="1120"/>
      <c r="DL71" s="1120"/>
      <c r="DM71" s="1120"/>
      <c r="DN71" s="1120"/>
      <c r="DO71" s="1120"/>
      <c r="DP71" s="1120"/>
      <c r="DQ71" s="1120"/>
      <c r="DR71" s="1120"/>
      <c r="DS71" s="1120"/>
      <c r="DT71" s="1120"/>
      <c r="DU71" s="1120"/>
      <c r="DV71" s="1120"/>
      <c r="DW71" s="1120"/>
      <c r="DX71" s="1120"/>
      <c r="DY71" s="1120"/>
      <c r="DZ71" s="1120"/>
      <c r="EA71" s="1120"/>
      <c r="EB71" s="1120"/>
      <c r="EC71" s="1120"/>
      <c r="ED71" s="1120"/>
      <c r="EE71" s="1120"/>
      <c r="EF71" s="1120"/>
      <c r="EG71" s="1120"/>
      <c r="EH71" s="1120"/>
      <c r="EI71" s="1120"/>
      <c r="EJ71" s="1120"/>
      <c r="EK71" s="1120"/>
      <c r="EL71" s="1120"/>
      <c r="EM71" s="1120"/>
      <c r="EN71" s="1120"/>
      <c r="EO71" s="1120"/>
      <c r="EP71" s="1120"/>
      <c r="EQ71" s="1120"/>
      <c r="ER71" s="1120"/>
      <c r="ES71" s="1120"/>
      <c r="ET71" s="1120"/>
      <c r="EU71" s="1120"/>
      <c r="EV71" s="1120"/>
      <c r="EW71" s="1120"/>
      <c r="EX71" s="1120"/>
      <c r="EY71" s="1120"/>
      <c r="EZ71" s="1120"/>
      <c r="FA71" s="1120"/>
      <c r="FB71" s="1120"/>
      <c r="FC71" s="1120"/>
      <c r="FD71" s="1120"/>
      <c r="FE71" s="1120"/>
      <c r="FF71" s="1120"/>
      <c r="FG71" s="1120"/>
      <c r="FH71" s="1120"/>
      <c r="FI71" s="1120"/>
      <c r="FJ71" s="1120"/>
      <c r="FK71" s="1120"/>
      <c r="FL71" s="1120"/>
      <c r="FM71" s="1120"/>
      <c r="FN71" s="1120"/>
      <c r="FO71" s="1120"/>
      <c r="FP71" s="1120"/>
      <c r="FQ71" s="1120"/>
      <c r="FR71" s="1120"/>
      <c r="FS71" s="1120"/>
      <c r="FT71" s="1120"/>
      <c r="FU71" s="1120"/>
      <c r="FV71" s="1120"/>
      <c r="FW71" s="1120"/>
      <c r="FX71" s="1120"/>
      <c r="FY71" s="1120"/>
      <c r="FZ71" s="1120"/>
      <c r="GA71" s="1120"/>
      <c r="GB71" s="1120"/>
      <c r="GC71" s="1120"/>
    </row>
    <row r="72" spans="1:185">
      <c r="A72" s="1065"/>
      <c r="B72" s="1566" t="s">
        <v>1457</v>
      </c>
      <c r="C72" s="1563" t="s">
        <v>1464</v>
      </c>
      <c r="D72" s="1563" t="str">
        <f>B72&amp;C72</f>
        <v>&lt; select &gt; &lt; select &gt;</v>
      </c>
      <c r="E72" s="879"/>
      <c r="F72" s="875"/>
      <c r="G72" s="1592">
        <f>F82</f>
        <v>0</v>
      </c>
      <c r="H72" s="877"/>
      <c r="I72" s="877"/>
      <c r="J72" s="879"/>
      <c r="K72" s="953"/>
      <c r="L72" s="1065"/>
    </row>
    <row r="73" spans="1:185">
      <c r="A73" s="1065"/>
      <c r="B73" s="1566"/>
      <c r="C73" s="1564"/>
      <c r="D73" s="1564"/>
      <c r="E73" s="880"/>
      <c r="F73" s="875"/>
      <c r="G73" s="1593"/>
      <c r="H73" s="877"/>
      <c r="I73" s="877"/>
      <c r="J73" s="879"/>
      <c r="K73" s="953"/>
      <c r="L73" s="1065"/>
    </row>
    <row r="74" spans="1:185">
      <c r="A74" s="1065"/>
      <c r="B74" s="1566"/>
      <c r="C74" s="1564"/>
      <c r="D74" s="1564"/>
      <c r="E74" s="880"/>
      <c r="F74" s="875"/>
      <c r="G74" s="1593"/>
      <c r="H74" s="877"/>
      <c r="I74" s="877"/>
      <c r="J74" s="879"/>
      <c r="K74" s="953"/>
      <c r="L74" s="1065"/>
    </row>
    <row r="75" spans="1:185">
      <c r="A75" s="1065"/>
      <c r="B75" s="1566"/>
      <c r="C75" s="1564"/>
      <c r="D75" s="1564"/>
      <c r="E75" s="880"/>
      <c r="F75" s="875"/>
      <c r="G75" s="1593"/>
      <c r="H75" s="877"/>
      <c r="I75" s="877"/>
      <c r="J75" s="879"/>
      <c r="K75" s="953"/>
      <c r="L75" s="1065"/>
    </row>
    <row r="76" spans="1:185">
      <c r="A76" s="1065"/>
      <c r="B76" s="1566"/>
      <c r="C76" s="1564"/>
      <c r="D76" s="1564"/>
      <c r="E76" s="880"/>
      <c r="F76" s="875"/>
      <c r="G76" s="1593"/>
      <c r="H76" s="877"/>
      <c r="I76" s="877"/>
      <c r="J76" s="879"/>
      <c r="K76" s="953"/>
      <c r="L76" s="1065"/>
    </row>
    <row r="77" spans="1:185">
      <c r="A77" s="1065"/>
      <c r="B77" s="1566"/>
      <c r="C77" s="1564"/>
      <c r="D77" s="1564"/>
      <c r="E77" s="880"/>
      <c r="F77" s="875"/>
      <c r="G77" s="1593"/>
      <c r="H77" s="877"/>
      <c r="I77" s="877"/>
      <c r="J77" s="879"/>
      <c r="K77" s="953"/>
      <c r="L77" s="1065"/>
    </row>
    <row r="78" spans="1:185">
      <c r="A78" s="1065"/>
      <c r="B78" s="1566"/>
      <c r="C78" s="1564"/>
      <c r="D78" s="1564"/>
      <c r="E78" s="880"/>
      <c r="F78" s="875"/>
      <c r="G78" s="1593"/>
      <c r="H78" s="877"/>
      <c r="I78" s="877"/>
      <c r="J78" s="879"/>
      <c r="K78" s="953"/>
      <c r="L78" s="1065"/>
    </row>
    <row r="79" spans="1:185">
      <c r="A79" s="1065"/>
      <c r="B79" s="1566"/>
      <c r="C79" s="1564"/>
      <c r="D79" s="1564"/>
      <c r="E79" s="880"/>
      <c r="F79" s="875"/>
      <c r="G79" s="1593"/>
      <c r="H79" s="877"/>
      <c r="I79" s="877"/>
      <c r="J79" s="879"/>
      <c r="K79" s="953"/>
      <c r="L79" s="1065"/>
    </row>
    <row r="80" spans="1:185">
      <c r="A80" s="1065"/>
      <c r="B80" s="1566"/>
      <c r="C80" s="1564"/>
      <c r="D80" s="1564"/>
      <c r="E80" s="880"/>
      <c r="F80" s="875"/>
      <c r="G80" s="1593"/>
      <c r="H80" s="877"/>
      <c r="I80" s="877"/>
      <c r="J80" s="879"/>
      <c r="K80" s="953"/>
      <c r="L80" s="1065"/>
    </row>
    <row r="81" spans="1:185">
      <c r="A81" s="1065"/>
      <c r="B81" s="1566"/>
      <c r="C81" s="1565"/>
      <c r="D81" s="1565"/>
      <c r="E81" s="880"/>
      <c r="F81" s="875"/>
      <c r="G81" s="1594"/>
      <c r="H81" s="877"/>
      <c r="I81" s="877"/>
      <c r="J81" s="879"/>
      <c r="K81" s="953"/>
      <c r="L81" s="1065"/>
    </row>
    <row r="82" spans="1:185" s="1121" customFormat="1" ht="15">
      <c r="A82" s="1119"/>
      <c r="B82" s="1110" t="s">
        <v>1522</v>
      </c>
      <c r="C82" s="1111"/>
      <c r="D82" s="1111"/>
      <c r="E82" s="1115"/>
      <c r="F82" s="1113">
        <f>SUM(F72:F81)</f>
        <v>0</v>
      </c>
      <c r="G82" s="1113"/>
      <c r="H82" s="1114"/>
      <c r="I82" s="1114"/>
      <c r="J82" s="1115"/>
      <c r="K82" s="1116"/>
      <c r="L82" s="1119"/>
      <c r="M82" s="1120"/>
      <c r="N82" s="1120"/>
      <c r="O82" s="1120"/>
      <c r="P82" s="1120"/>
      <c r="Q82" s="1120"/>
      <c r="R82" s="1120"/>
      <c r="S82" s="1120"/>
      <c r="T82" s="1120"/>
      <c r="U82" s="1120"/>
      <c r="V82" s="1120"/>
      <c r="W82" s="1120"/>
      <c r="X82" s="1120"/>
      <c r="Y82" s="1120"/>
      <c r="Z82" s="1120"/>
      <c r="AA82" s="1120"/>
      <c r="AB82" s="1120"/>
      <c r="AC82" s="1120"/>
      <c r="AD82" s="1120"/>
      <c r="AE82" s="1120"/>
      <c r="AF82" s="1120"/>
      <c r="AG82" s="1120"/>
      <c r="AH82" s="1120"/>
      <c r="AI82" s="1120"/>
      <c r="AJ82" s="1120"/>
      <c r="AK82" s="1120"/>
      <c r="AL82" s="1120"/>
      <c r="AM82" s="1120"/>
      <c r="AN82" s="1120"/>
      <c r="AO82" s="1120"/>
      <c r="AP82" s="1120"/>
      <c r="AQ82" s="1120"/>
      <c r="AR82" s="1120"/>
      <c r="AS82" s="1120"/>
      <c r="AT82" s="1120"/>
      <c r="AU82" s="1120"/>
      <c r="AV82" s="1120"/>
      <c r="AW82" s="1120"/>
      <c r="AX82" s="1120"/>
      <c r="AY82" s="1120"/>
      <c r="AZ82" s="1120"/>
      <c r="BA82" s="1120"/>
      <c r="BB82" s="1120"/>
      <c r="BC82" s="1120"/>
      <c r="BD82" s="1120"/>
      <c r="BE82" s="1120"/>
      <c r="BF82" s="1120"/>
      <c r="BG82" s="1120"/>
      <c r="BH82" s="1120"/>
      <c r="BI82" s="1120"/>
      <c r="BJ82" s="1120"/>
      <c r="BK82" s="1120"/>
      <c r="BL82" s="1120"/>
      <c r="BM82" s="1120"/>
      <c r="BN82" s="1120"/>
      <c r="BO82" s="1120"/>
      <c r="BP82" s="1120"/>
      <c r="BQ82" s="1120"/>
      <c r="BR82" s="1120"/>
      <c r="BS82" s="1120"/>
      <c r="BT82" s="1120"/>
      <c r="BU82" s="1120"/>
      <c r="BV82" s="1120"/>
      <c r="BW82" s="1120"/>
      <c r="BX82" s="1120"/>
      <c r="BY82" s="1120"/>
      <c r="BZ82" s="1120"/>
      <c r="CA82" s="1120"/>
      <c r="CB82" s="1120"/>
      <c r="CC82" s="1120"/>
      <c r="CD82" s="1120"/>
      <c r="CE82" s="1120"/>
      <c r="CF82" s="1120"/>
      <c r="CG82" s="1120"/>
      <c r="CH82" s="1120"/>
      <c r="CI82" s="1120"/>
      <c r="CJ82" s="1120"/>
      <c r="CK82" s="1120"/>
      <c r="CL82" s="1120"/>
      <c r="CM82" s="1120"/>
      <c r="CN82" s="1120"/>
      <c r="CO82" s="1120"/>
      <c r="CP82" s="1120"/>
      <c r="CQ82" s="1120"/>
      <c r="CR82" s="1120"/>
      <c r="CS82" s="1120"/>
      <c r="CT82" s="1120"/>
      <c r="CU82" s="1120"/>
      <c r="CV82" s="1120"/>
      <c r="CW82" s="1120"/>
      <c r="CX82" s="1120"/>
      <c r="CY82" s="1120"/>
      <c r="CZ82" s="1120"/>
      <c r="DA82" s="1120"/>
      <c r="DB82" s="1120"/>
      <c r="DC82" s="1120"/>
      <c r="DD82" s="1120"/>
      <c r="DE82" s="1120"/>
      <c r="DF82" s="1120"/>
      <c r="DG82" s="1120"/>
      <c r="DH82" s="1120"/>
      <c r="DI82" s="1120"/>
      <c r="DJ82" s="1120"/>
      <c r="DK82" s="1120"/>
      <c r="DL82" s="1120"/>
      <c r="DM82" s="1120"/>
      <c r="DN82" s="1120"/>
      <c r="DO82" s="1120"/>
      <c r="DP82" s="1120"/>
      <c r="DQ82" s="1120"/>
      <c r="DR82" s="1120"/>
      <c r="DS82" s="1120"/>
      <c r="DT82" s="1120"/>
      <c r="DU82" s="1120"/>
      <c r="DV82" s="1120"/>
      <c r="DW82" s="1120"/>
      <c r="DX82" s="1120"/>
      <c r="DY82" s="1120"/>
      <c r="DZ82" s="1120"/>
      <c r="EA82" s="1120"/>
      <c r="EB82" s="1120"/>
      <c r="EC82" s="1120"/>
      <c r="ED82" s="1120"/>
      <c r="EE82" s="1120"/>
      <c r="EF82" s="1120"/>
      <c r="EG82" s="1120"/>
      <c r="EH82" s="1120"/>
      <c r="EI82" s="1120"/>
      <c r="EJ82" s="1120"/>
      <c r="EK82" s="1120"/>
      <c r="EL82" s="1120"/>
      <c r="EM82" s="1120"/>
      <c r="EN82" s="1120"/>
      <c r="EO82" s="1120"/>
      <c r="EP82" s="1120"/>
      <c r="EQ82" s="1120"/>
      <c r="ER82" s="1120"/>
      <c r="ES82" s="1120"/>
      <c r="ET82" s="1120"/>
      <c r="EU82" s="1120"/>
      <c r="EV82" s="1120"/>
      <c r="EW82" s="1120"/>
      <c r="EX82" s="1120"/>
      <c r="EY82" s="1120"/>
      <c r="EZ82" s="1120"/>
      <c r="FA82" s="1120"/>
      <c r="FB82" s="1120"/>
      <c r="FC82" s="1120"/>
      <c r="FD82" s="1120"/>
      <c r="FE82" s="1120"/>
      <c r="FF82" s="1120"/>
      <c r="FG82" s="1120"/>
      <c r="FH82" s="1120"/>
      <c r="FI82" s="1120"/>
      <c r="FJ82" s="1120"/>
      <c r="FK82" s="1120"/>
      <c r="FL82" s="1120"/>
      <c r="FM82" s="1120"/>
      <c r="FN82" s="1120"/>
      <c r="FO82" s="1120"/>
      <c r="FP82" s="1120"/>
      <c r="FQ82" s="1120"/>
      <c r="FR82" s="1120"/>
      <c r="FS82" s="1120"/>
      <c r="FT82" s="1120"/>
      <c r="FU82" s="1120"/>
      <c r="FV82" s="1120"/>
      <c r="FW82" s="1120"/>
      <c r="FX82" s="1120"/>
      <c r="FY82" s="1120"/>
      <c r="FZ82" s="1120"/>
      <c r="GA82" s="1120"/>
      <c r="GB82" s="1120"/>
      <c r="GC82" s="1120"/>
    </row>
    <row r="83" spans="1:185">
      <c r="A83" s="1065"/>
      <c r="B83" s="1566" t="s">
        <v>1457</v>
      </c>
      <c r="C83" s="1563" t="s">
        <v>1464</v>
      </c>
      <c r="D83" s="1563" t="str">
        <f>B83&amp;C83</f>
        <v>&lt; select &gt; &lt; select &gt;</v>
      </c>
      <c r="E83" s="879"/>
      <c r="F83" s="875"/>
      <c r="G83" s="1592">
        <f>F93</f>
        <v>0</v>
      </c>
      <c r="H83" s="877"/>
      <c r="I83" s="877"/>
      <c r="J83" s="879"/>
      <c r="K83" s="953"/>
      <c r="L83" s="1065"/>
    </row>
    <row r="84" spans="1:185">
      <c r="A84" s="1065"/>
      <c r="B84" s="1566"/>
      <c r="C84" s="1564"/>
      <c r="D84" s="1564"/>
      <c r="E84" s="880"/>
      <c r="F84" s="875"/>
      <c r="G84" s="1593"/>
      <c r="H84" s="877"/>
      <c r="I84" s="877"/>
      <c r="J84" s="879"/>
      <c r="K84" s="953"/>
      <c r="L84" s="1065"/>
    </row>
    <row r="85" spans="1:185">
      <c r="A85" s="1065"/>
      <c r="B85" s="1566"/>
      <c r="C85" s="1564"/>
      <c r="D85" s="1564"/>
      <c r="E85" s="880"/>
      <c r="F85" s="875"/>
      <c r="G85" s="1593"/>
      <c r="H85" s="877"/>
      <c r="I85" s="877"/>
      <c r="J85" s="879"/>
      <c r="K85" s="953"/>
      <c r="L85" s="1065"/>
    </row>
    <row r="86" spans="1:185">
      <c r="A86" s="1065"/>
      <c r="B86" s="1566"/>
      <c r="C86" s="1564"/>
      <c r="D86" s="1564"/>
      <c r="E86" s="880"/>
      <c r="F86" s="875"/>
      <c r="G86" s="1593"/>
      <c r="H86" s="877"/>
      <c r="I86" s="877"/>
      <c r="J86" s="879"/>
      <c r="K86" s="953"/>
      <c r="L86" s="1065"/>
    </row>
    <row r="87" spans="1:185">
      <c r="A87" s="1065"/>
      <c r="B87" s="1566"/>
      <c r="C87" s="1564"/>
      <c r="D87" s="1564"/>
      <c r="E87" s="880"/>
      <c r="F87" s="875"/>
      <c r="G87" s="1593"/>
      <c r="H87" s="877"/>
      <c r="I87" s="877"/>
      <c r="J87" s="879"/>
      <c r="K87" s="953"/>
      <c r="L87" s="1065"/>
    </row>
    <row r="88" spans="1:185">
      <c r="A88" s="1065"/>
      <c r="B88" s="1566"/>
      <c r="C88" s="1564"/>
      <c r="D88" s="1564"/>
      <c r="E88" s="880"/>
      <c r="F88" s="875"/>
      <c r="G88" s="1593"/>
      <c r="H88" s="877"/>
      <c r="I88" s="877"/>
      <c r="J88" s="879"/>
      <c r="K88" s="953"/>
      <c r="L88" s="1065"/>
    </row>
    <row r="89" spans="1:185">
      <c r="A89" s="1065"/>
      <c r="B89" s="1566"/>
      <c r="C89" s="1564"/>
      <c r="D89" s="1564"/>
      <c r="E89" s="880"/>
      <c r="F89" s="875"/>
      <c r="G89" s="1593"/>
      <c r="H89" s="877"/>
      <c r="I89" s="877"/>
      <c r="J89" s="879"/>
      <c r="K89" s="953"/>
      <c r="L89" s="1065"/>
    </row>
    <row r="90" spans="1:185">
      <c r="A90" s="1065"/>
      <c r="B90" s="1566"/>
      <c r="C90" s="1564"/>
      <c r="D90" s="1564"/>
      <c r="E90" s="880"/>
      <c r="F90" s="875"/>
      <c r="G90" s="1593"/>
      <c r="H90" s="877"/>
      <c r="I90" s="877"/>
      <c r="J90" s="879"/>
      <c r="K90" s="953"/>
      <c r="L90" s="1065"/>
    </row>
    <row r="91" spans="1:185">
      <c r="A91" s="1065"/>
      <c r="B91" s="1566"/>
      <c r="C91" s="1564"/>
      <c r="D91" s="1564"/>
      <c r="E91" s="880"/>
      <c r="F91" s="875"/>
      <c r="G91" s="1593"/>
      <c r="H91" s="877"/>
      <c r="I91" s="877"/>
      <c r="J91" s="879"/>
      <c r="K91" s="953"/>
      <c r="L91" s="1065"/>
    </row>
    <row r="92" spans="1:185">
      <c r="A92" s="1065"/>
      <c r="B92" s="1566"/>
      <c r="C92" s="1565"/>
      <c r="D92" s="1565"/>
      <c r="E92" s="880"/>
      <c r="F92" s="875"/>
      <c r="G92" s="1594"/>
      <c r="H92" s="877"/>
      <c r="I92" s="877"/>
      <c r="J92" s="879"/>
      <c r="K92" s="953"/>
      <c r="L92" s="1065"/>
    </row>
    <row r="93" spans="1:185" s="1121" customFormat="1" ht="15">
      <c r="A93" s="1119"/>
      <c r="B93" s="1110" t="s">
        <v>1522</v>
      </c>
      <c r="C93" s="1111"/>
      <c r="D93" s="1111"/>
      <c r="E93" s="1115"/>
      <c r="F93" s="1113">
        <f>SUM(F83:F92)</f>
        <v>0</v>
      </c>
      <c r="G93" s="1113"/>
      <c r="H93" s="1114"/>
      <c r="I93" s="1114"/>
      <c r="J93" s="1115"/>
      <c r="K93" s="1116"/>
      <c r="L93" s="1119"/>
      <c r="M93" s="1120"/>
      <c r="N93" s="1120"/>
      <c r="O93" s="1120"/>
      <c r="P93" s="1120"/>
      <c r="Q93" s="1120"/>
      <c r="R93" s="1120"/>
      <c r="S93" s="1120"/>
      <c r="T93" s="1120"/>
      <c r="U93" s="1120"/>
      <c r="V93" s="1120"/>
      <c r="W93" s="1120"/>
      <c r="X93" s="1120"/>
      <c r="Y93" s="1120"/>
      <c r="Z93" s="1120"/>
      <c r="AA93" s="1120"/>
      <c r="AB93" s="1120"/>
      <c r="AC93" s="1120"/>
      <c r="AD93" s="1120"/>
      <c r="AE93" s="1120"/>
      <c r="AF93" s="1120"/>
      <c r="AG93" s="1120"/>
      <c r="AH93" s="1120"/>
      <c r="AI93" s="1120"/>
      <c r="AJ93" s="1120"/>
      <c r="AK93" s="1120"/>
      <c r="AL93" s="1120"/>
      <c r="AM93" s="1120"/>
      <c r="AN93" s="1120"/>
      <c r="AO93" s="1120"/>
      <c r="AP93" s="1120"/>
      <c r="AQ93" s="1120"/>
      <c r="AR93" s="1120"/>
      <c r="AS93" s="1120"/>
      <c r="AT93" s="1120"/>
      <c r="AU93" s="1120"/>
      <c r="AV93" s="1120"/>
      <c r="AW93" s="1120"/>
      <c r="AX93" s="1120"/>
      <c r="AY93" s="1120"/>
      <c r="AZ93" s="1120"/>
      <c r="BA93" s="1120"/>
      <c r="BB93" s="1120"/>
      <c r="BC93" s="1120"/>
      <c r="BD93" s="1120"/>
      <c r="BE93" s="1120"/>
      <c r="BF93" s="1120"/>
      <c r="BG93" s="1120"/>
      <c r="BH93" s="1120"/>
      <c r="BI93" s="1120"/>
      <c r="BJ93" s="1120"/>
      <c r="BK93" s="1120"/>
      <c r="BL93" s="1120"/>
      <c r="BM93" s="1120"/>
      <c r="BN93" s="1120"/>
      <c r="BO93" s="1120"/>
      <c r="BP93" s="1120"/>
      <c r="BQ93" s="1120"/>
      <c r="BR93" s="1120"/>
      <c r="BS93" s="1120"/>
      <c r="BT93" s="1120"/>
      <c r="BU93" s="1120"/>
      <c r="BV93" s="1120"/>
      <c r="BW93" s="1120"/>
      <c r="BX93" s="1120"/>
      <c r="BY93" s="1120"/>
      <c r="BZ93" s="1120"/>
      <c r="CA93" s="1120"/>
      <c r="CB93" s="1120"/>
      <c r="CC93" s="1120"/>
      <c r="CD93" s="1120"/>
      <c r="CE93" s="1120"/>
      <c r="CF93" s="1120"/>
      <c r="CG93" s="1120"/>
      <c r="CH93" s="1120"/>
      <c r="CI93" s="1120"/>
      <c r="CJ93" s="1120"/>
      <c r="CK93" s="1120"/>
      <c r="CL93" s="1120"/>
      <c r="CM93" s="1120"/>
      <c r="CN93" s="1120"/>
      <c r="CO93" s="1120"/>
      <c r="CP93" s="1120"/>
      <c r="CQ93" s="1120"/>
      <c r="CR93" s="1120"/>
      <c r="CS93" s="1120"/>
      <c r="CT93" s="1120"/>
      <c r="CU93" s="1120"/>
      <c r="CV93" s="1120"/>
      <c r="CW93" s="1120"/>
      <c r="CX93" s="1120"/>
      <c r="CY93" s="1120"/>
      <c r="CZ93" s="1120"/>
      <c r="DA93" s="1120"/>
      <c r="DB93" s="1120"/>
      <c r="DC93" s="1120"/>
      <c r="DD93" s="1120"/>
      <c r="DE93" s="1120"/>
      <c r="DF93" s="1120"/>
      <c r="DG93" s="1120"/>
      <c r="DH93" s="1120"/>
      <c r="DI93" s="1120"/>
      <c r="DJ93" s="1120"/>
      <c r="DK93" s="1120"/>
      <c r="DL93" s="1120"/>
      <c r="DM93" s="1120"/>
      <c r="DN93" s="1120"/>
      <c r="DO93" s="1120"/>
      <c r="DP93" s="1120"/>
      <c r="DQ93" s="1120"/>
      <c r="DR93" s="1120"/>
      <c r="DS93" s="1120"/>
      <c r="DT93" s="1120"/>
      <c r="DU93" s="1120"/>
      <c r="DV93" s="1120"/>
      <c r="DW93" s="1120"/>
      <c r="DX93" s="1120"/>
      <c r="DY93" s="1120"/>
      <c r="DZ93" s="1120"/>
      <c r="EA93" s="1120"/>
      <c r="EB93" s="1120"/>
      <c r="EC93" s="1120"/>
      <c r="ED93" s="1120"/>
      <c r="EE93" s="1120"/>
      <c r="EF93" s="1120"/>
      <c r="EG93" s="1120"/>
      <c r="EH93" s="1120"/>
      <c r="EI93" s="1120"/>
      <c r="EJ93" s="1120"/>
      <c r="EK93" s="1120"/>
      <c r="EL93" s="1120"/>
      <c r="EM93" s="1120"/>
      <c r="EN93" s="1120"/>
      <c r="EO93" s="1120"/>
      <c r="EP93" s="1120"/>
      <c r="EQ93" s="1120"/>
      <c r="ER93" s="1120"/>
      <c r="ES93" s="1120"/>
      <c r="ET93" s="1120"/>
      <c r="EU93" s="1120"/>
      <c r="EV93" s="1120"/>
      <c r="EW93" s="1120"/>
      <c r="EX93" s="1120"/>
      <c r="EY93" s="1120"/>
      <c r="EZ93" s="1120"/>
      <c r="FA93" s="1120"/>
      <c r="FB93" s="1120"/>
      <c r="FC93" s="1120"/>
      <c r="FD93" s="1120"/>
      <c r="FE93" s="1120"/>
      <c r="FF93" s="1120"/>
      <c r="FG93" s="1120"/>
      <c r="FH93" s="1120"/>
      <c r="FI93" s="1120"/>
      <c r="FJ93" s="1120"/>
      <c r="FK93" s="1120"/>
      <c r="FL93" s="1120"/>
      <c r="FM93" s="1120"/>
      <c r="FN93" s="1120"/>
      <c r="FO93" s="1120"/>
      <c r="FP93" s="1120"/>
      <c r="FQ93" s="1120"/>
      <c r="FR93" s="1120"/>
      <c r="FS93" s="1120"/>
      <c r="FT93" s="1120"/>
      <c r="FU93" s="1120"/>
      <c r="FV93" s="1120"/>
      <c r="FW93" s="1120"/>
      <c r="FX93" s="1120"/>
      <c r="FY93" s="1120"/>
      <c r="FZ93" s="1120"/>
      <c r="GA93" s="1120"/>
      <c r="GB93" s="1120"/>
      <c r="GC93" s="1120"/>
    </row>
    <row r="94" spans="1:185">
      <c r="A94" s="1065"/>
      <c r="B94" s="1566" t="s">
        <v>1457</v>
      </c>
      <c r="C94" s="1563" t="s">
        <v>1464</v>
      </c>
      <c r="D94" s="1563" t="str">
        <f>B94&amp;C94</f>
        <v>&lt; select &gt; &lt; select &gt;</v>
      </c>
      <c r="E94" s="879"/>
      <c r="F94" s="875"/>
      <c r="G94" s="1592">
        <f>F104</f>
        <v>0</v>
      </c>
      <c r="H94" s="877"/>
      <c r="I94" s="877"/>
      <c r="J94" s="879"/>
      <c r="K94" s="953"/>
      <c r="L94" s="1065"/>
    </row>
    <row r="95" spans="1:185">
      <c r="A95" s="1065"/>
      <c r="B95" s="1566"/>
      <c r="C95" s="1564"/>
      <c r="D95" s="1564"/>
      <c r="E95" s="880"/>
      <c r="F95" s="875"/>
      <c r="G95" s="1593"/>
      <c r="H95" s="877"/>
      <c r="I95" s="877"/>
      <c r="J95" s="879"/>
      <c r="K95" s="953"/>
      <c r="L95" s="1065"/>
    </row>
    <row r="96" spans="1:185">
      <c r="A96" s="1065"/>
      <c r="B96" s="1566"/>
      <c r="C96" s="1564"/>
      <c r="D96" s="1564"/>
      <c r="E96" s="880"/>
      <c r="F96" s="875"/>
      <c r="G96" s="1593"/>
      <c r="H96" s="877"/>
      <c r="I96" s="877"/>
      <c r="J96" s="879"/>
      <c r="K96" s="953"/>
      <c r="L96" s="1065"/>
    </row>
    <row r="97" spans="1:185">
      <c r="A97" s="1065"/>
      <c r="B97" s="1566"/>
      <c r="C97" s="1564"/>
      <c r="D97" s="1564"/>
      <c r="E97" s="880"/>
      <c r="F97" s="875"/>
      <c r="G97" s="1593"/>
      <c r="H97" s="877"/>
      <c r="I97" s="877"/>
      <c r="J97" s="879"/>
      <c r="K97" s="953"/>
      <c r="L97" s="1065"/>
    </row>
    <row r="98" spans="1:185">
      <c r="A98" s="1065"/>
      <c r="B98" s="1566"/>
      <c r="C98" s="1564"/>
      <c r="D98" s="1564"/>
      <c r="E98" s="880"/>
      <c r="F98" s="875"/>
      <c r="G98" s="1593"/>
      <c r="H98" s="877"/>
      <c r="I98" s="877"/>
      <c r="J98" s="879"/>
      <c r="K98" s="953"/>
      <c r="L98" s="1065"/>
    </row>
    <row r="99" spans="1:185">
      <c r="A99" s="1065"/>
      <c r="B99" s="1566"/>
      <c r="C99" s="1564"/>
      <c r="D99" s="1564"/>
      <c r="E99" s="880"/>
      <c r="F99" s="875"/>
      <c r="G99" s="1593"/>
      <c r="H99" s="877"/>
      <c r="I99" s="877"/>
      <c r="J99" s="879"/>
      <c r="K99" s="953"/>
      <c r="L99" s="1065"/>
    </row>
    <row r="100" spans="1:185">
      <c r="A100" s="1065"/>
      <c r="B100" s="1566"/>
      <c r="C100" s="1564"/>
      <c r="D100" s="1564"/>
      <c r="E100" s="880"/>
      <c r="F100" s="875"/>
      <c r="G100" s="1593"/>
      <c r="H100" s="877"/>
      <c r="I100" s="877"/>
      <c r="J100" s="879"/>
      <c r="K100" s="953"/>
      <c r="L100" s="1065"/>
    </row>
    <row r="101" spans="1:185">
      <c r="A101" s="1065"/>
      <c r="B101" s="1566"/>
      <c r="C101" s="1564"/>
      <c r="D101" s="1564"/>
      <c r="E101" s="880"/>
      <c r="F101" s="875"/>
      <c r="G101" s="1593"/>
      <c r="H101" s="877"/>
      <c r="I101" s="877"/>
      <c r="J101" s="879"/>
      <c r="K101" s="953"/>
      <c r="L101" s="1065"/>
    </row>
    <row r="102" spans="1:185">
      <c r="A102" s="1065"/>
      <c r="B102" s="1566"/>
      <c r="C102" s="1564"/>
      <c r="D102" s="1564"/>
      <c r="E102" s="880"/>
      <c r="F102" s="875"/>
      <c r="G102" s="1593"/>
      <c r="H102" s="877"/>
      <c r="I102" s="877"/>
      <c r="J102" s="879"/>
      <c r="K102" s="953"/>
      <c r="L102" s="1065"/>
    </row>
    <row r="103" spans="1:185">
      <c r="A103" s="1065"/>
      <c r="B103" s="1566"/>
      <c r="C103" s="1565"/>
      <c r="D103" s="1565"/>
      <c r="E103" s="880"/>
      <c r="F103" s="875"/>
      <c r="G103" s="1594"/>
      <c r="H103" s="877"/>
      <c r="I103" s="877"/>
      <c r="J103" s="879"/>
      <c r="K103" s="953"/>
      <c r="L103" s="1065"/>
    </row>
    <row r="104" spans="1:185" s="1121" customFormat="1" ht="15">
      <c r="A104" s="1119"/>
      <c r="B104" s="1110" t="s">
        <v>1522</v>
      </c>
      <c r="C104" s="1111"/>
      <c r="D104" s="1111"/>
      <c r="E104" s="1115"/>
      <c r="F104" s="1113">
        <f>SUM(F94:F103)</f>
        <v>0</v>
      </c>
      <c r="G104" s="1113"/>
      <c r="H104" s="1114"/>
      <c r="I104" s="1114"/>
      <c r="J104" s="1115"/>
      <c r="K104" s="1116"/>
      <c r="L104" s="1119"/>
      <c r="M104" s="1120"/>
      <c r="N104" s="1120"/>
      <c r="O104" s="1120"/>
      <c r="P104" s="1120"/>
      <c r="Q104" s="1120"/>
      <c r="R104" s="1120"/>
      <c r="S104" s="1120"/>
      <c r="T104" s="1120"/>
      <c r="U104" s="1120"/>
      <c r="V104" s="1120"/>
      <c r="W104" s="1120"/>
      <c r="X104" s="1120"/>
      <c r="Y104" s="1120"/>
      <c r="Z104" s="1120"/>
      <c r="AA104" s="1120"/>
      <c r="AB104" s="1120"/>
      <c r="AC104" s="1120"/>
      <c r="AD104" s="1120"/>
      <c r="AE104" s="1120"/>
      <c r="AF104" s="1120"/>
      <c r="AG104" s="1120"/>
      <c r="AH104" s="1120"/>
      <c r="AI104" s="1120"/>
      <c r="AJ104" s="1120"/>
      <c r="AK104" s="1120"/>
      <c r="AL104" s="1120"/>
      <c r="AM104" s="1120"/>
      <c r="AN104" s="1120"/>
      <c r="AO104" s="1120"/>
      <c r="AP104" s="1120"/>
      <c r="AQ104" s="1120"/>
      <c r="AR104" s="1120"/>
      <c r="AS104" s="1120"/>
      <c r="AT104" s="1120"/>
      <c r="AU104" s="1120"/>
      <c r="AV104" s="1120"/>
      <c r="AW104" s="1120"/>
      <c r="AX104" s="1120"/>
      <c r="AY104" s="1120"/>
      <c r="AZ104" s="1120"/>
      <c r="BA104" s="1120"/>
      <c r="BB104" s="1120"/>
      <c r="BC104" s="1120"/>
      <c r="BD104" s="1120"/>
      <c r="BE104" s="1120"/>
      <c r="BF104" s="1120"/>
      <c r="BG104" s="1120"/>
      <c r="BH104" s="1120"/>
      <c r="BI104" s="1120"/>
      <c r="BJ104" s="1120"/>
      <c r="BK104" s="1120"/>
      <c r="BL104" s="1120"/>
      <c r="BM104" s="1120"/>
      <c r="BN104" s="1120"/>
      <c r="BO104" s="1120"/>
      <c r="BP104" s="1120"/>
      <c r="BQ104" s="1120"/>
      <c r="BR104" s="1120"/>
      <c r="BS104" s="1120"/>
      <c r="BT104" s="1120"/>
      <c r="BU104" s="1120"/>
      <c r="BV104" s="1120"/>
      <c r="BW104" s="1120"/>
      <c r="BX104" s="1120"/>
      <c r="BY104" s="1120"/>
      <c r="BZ104" s="1120"/>
      <c r="CA104" s="1120"/>
      <c r="CB104" s="1120"/>
      <c r="CC104" s="1120"/>
      <c r="CD104" s="1120"/>
      <c r="CE104" s="1120"/>
      <c r="CF104" s="1120"/>
      <c r="CG104" s="1120"/>
      <c r="CH104" s="1120"/>
      <c r="CI104" s="1120"/>
      <c r="CJ104" s="1120"/>
      <c r="CK104" s="1120"/>
      <c r="CL104" s="1120"/>
      <c r="CM104" s="1120"/>
      <c r="CN104" s="1120"/>
      <c r="CO104" s="1120"/>
      <c r="CP104" s="1120"/>
      <c r="CQ104" s="1120"/>
      <c r="CR104" s="1120"/>
      <c r="CS104" s="1120"/>
      <c r="CT104" s="1120"/>
      <c r="CU104" s="1120"/>
      <c r="CV104" s="1120"/>
      <c r="CW104" s="1120"/>
      <c r="CX104" s="1120"/>
      <c r="CY104" s="1120"/>
      <c r="CZ104" s="1120"/>
      <c r="DA104" s="1120"/>
      <c r="DB104" s="1120"/>
      <c r="DC104" s="1120"/>
      <c r="DD104" s="1120"/>
      <c r="DE104" s="1120"/>
      <c r="DF104" s="1120"/>
      <c r="DG104" s="1120"/>
      <c r="DH104" s="1120"/>
      <c r="DI104" s="1120"/>
      <c r="DJ104" s="1120"/>
      <c r="DK104" s="1120"/>
      <c r="DL104" s="1120"/>
      <c r="DM104" s="1120"/>
      <c r="DN104" s="1120"/>
      <c r="DO104" s="1120"/>
      <c r="DP104" s="1120"/>
      <c r="DQ104" s="1120"/>
      <c r="DR104" s="1120"/>
      <c r="DS104" s="1120"/>
      <c r="DT104" s="1120"/>
      <c r="DU104" s="1120"/>
      <c r="DV104" s="1120"/>
      <c r="DW104" s="1120"/>
      <c r="DX104" s="1120"/>
      <c r="DY104" s="1120"/>
      <c r="DZ104" s="1120"/>
      <c r="EA104" s="1120"/>
      <c r="EB104" s="1120"/>
      <c r="EC104" s="1120"/>
      <c r="ED104" s="1120"/>
      <c r="EE104" s="1120"/>
      <c r="EF104" s="1120"/>
      <c r="EG104" s="1120"/>
      <c r="EH104" s="1120"/>
      <c r="EI104" s="1120"/>
      <c r="EJ104" s="1120"/>
      <c r="EK104" s="1120"/>
      <c r="EL104" s="1120"/>
      <c r="EM104" s="1120"/>
      <c r="EN104" s="1120"/>
      <c r="EO104" s="1120"/>
      <c r="EP104" s="1120"/>
      <c r="EQ104" s="1120"/>
      <c r="ER104" s="1120"/>
      <c r="ES104" s="1120"/>
      <c r="ET104" s="1120"/>
      <c r="EU104" s="1120"/>
      <c r="EV104" s="1120"/>
      <c r="EW104" s="1120"/>
      <c r="EX104" s="1120"/>
      <c r="EY104" s="1120"/>
      <c r="EZ104" s="1120"/>
      <c r="FA104" s="1120"/>
      <c r="FB104" s="1120"/>
      <c r="FC104" s="1120"/>
      <c r="FD104" s="1120"/>
      <c r="FE104" s="1120"/>
      <c r="FF104" s="1120"/>
      <c r="FG104" s="1120"/>
      <c r="FH104" s="1120"/>
      <c r="FI104" s="1120"/>
      <c r="FJ104" s="1120"/>
      <c r="FK104" s="1120"/>
      <c r="FL104" s="1120"/>
      <c r="FM104" s="1120"/>
      <c r="FN104" s="1120"/>
      <c r="FO104" s="1120"/>
      <c r="FP104" s="1120"/>
      <c r="FQ104" s="1120"/>
      <c r="FR104" s="1120"/>
      <c r="FS104" s="1120"/>
      <c r="FT104" s="1120"/>
      <c r="FU104" s="1120"/>
      <c r="FV104" s="1120"/>
      <c r="FW104" s="1120"/>
      <c r="FX104" s="1120"/>
      <c r="FY104" s="1120"/>
      <c r="FZ104" s="1120"/>
      <c r="GA104" s="1120"/>
      <c r="GB104" s="1120"/>
      <c r="GC104" s="1120"/>
    </row>
    <row r="105" spans="1:185">
      <c r="A105" s="1065"/>
      <c r="B105" s="1566" t="s">
        <v>1457</v>
      </c>
      <c r="C105" s="1563" t="s">
        <v>1464</v>
      </c>
      <c r="D105" s="1563" t="str">
        <f>B105&amp;C105</f>
        <v>&lt; select &gt; &lt; select &gt;</v>
      </c>
      <c r="E105" s="879"/>
      <c r="F105" s="875"/>
      <c r="G105" s="1592">
        <f>F115</f>
        <v>0</v>
      </c>
      <c r="H105" s="877"/>
      <c r="I105" s="877"/>
      <c r="J105" s="879"/>
      <c r="K105" s="953"/>
      <c r="L105" s="1065"/>
    </row>
    <row r="106" spans="1:185">
      <c r="A106" s="1065"/>
      <c r="B106" s="1566"/>
      <c r="C106" s="1564"/>
      <c r="D106" s="1564"/>
      <c r="E106" s="880"/>
      <c r="F106" s="875"/>
      <c r="G106" s="1593"/>
      <c r="H106" s="877"/>
      <c r="I106" s="877"/>
      <c r="J106" s="879"/>
      <c r="K106" s="953"/>
      <c r="L106" s="1065"/>
    </row>
    <row r="107" spans="1:185">
      <c r="A107" s="1065"/>
      <c r="B107" s="1566"/>
      <c r="C107" s="1564"/>
      <c r="D107" s="1564"/>
      <c r="E107" s="880"/>
      <c r="F107" s="875"/>
      <c r="G107" s="1593"/>
      <c r="H107" s="877"/>
      <c r="I107" s="877"/>
      <c r="J107" s="879"/>
      <c r="K107" s="953"/>
      <c r="L107" s="1065"/>
    </row>
    <row r="108" spans="1:185">
      <c r="A108" s="1065"/>
      <c r="B108" s="1566"/>
      <c r="C108" s="1564"/>
      <c r="D108" s="1564"/>
      <c r="E108" s="880"/>
      <c r="F108" s="875"/>
      <c r="G108" s="1593"/>
      <c r="H108" s="877"/>
      <c r="I108" s="877"/>
      <c r="J108" s="879"/>
      <c r="K108" s="953"/>
      <c r="L108" s="1065"/>
    </row>
    <row r="109" spans="1:185">
      <c r="A109" s="1065"/>
      <c r="B109" s="1566"/>
      <c r="C109" s="1564"/>
      <c r="D109" s="1564"/>
      <c r="E109" s="880"/>
      <c r="F109" s="875"/>
      <c r="G109" s="1593"/>
      <c r="H109" s="877"/>
      <c r="I109" s="877"/>
      <c r="J109" s="879"/>
      <c r="K109" s="953"/>
      <c r="L109" s="1065"/>
    </row>
    <row r="110" spans="1:185">
      <c r="A110" s="1065"/>
      <c r="B110" s="1566"/>
      <c r="C110" s="1564"/>
      <c r="D110" s="1564"/>
      <c r="E110" s="880"/>
      <c r="F110" s="875"/>
      <c r="G110" s="1593"/>
      <c r="H110" s="877"/>
      <c r="I110" s="877"/>
      <c r="J110" s="879"/>
      <c r="K110" s="953"/>
      <c r="L110" s="1065"/>
    </row>
    <row r="111" spans="1:185">
      <c r="A111" s="1065"/>
      <c r="B111" s="1566"/>
      <c r="C111" s="1564"/>
      <c r="D111" s="1564"/>
      <c r="E111" s="880"/>
      <c r="F111" s="875"/>
      <c r="G111" s="1593"/>
      <c r="H111" s="877"/>
      <c r="I111" s="877"/>
      <c r="J111" s="879"/>
      <c r="K111" s="953"/>
      <c r="L111" s="1065"/>
    </row>
    <row r="112" spans="1:185">
      <c r="A112" s="1065"/>
      <c r="B112" s="1566"/>
      <c r="C112" s="1564"/>
      <c r="D112" s="1564"/>
      <c r="E112" s="880"/>
      <c r="F112" s="875"/>
      <c r="G112" s="1593"/>
      <c r="H112" s="877"/>
      <c r="I112" s="877"/>
      <c r="J112" s="879"/>
      <c r="K112" s="953"/>
      <c r="L112" s="1065"/>
    </row>
    <row r="113" spans="1:185">
      <c r="A113" s="1065"/>
      <c r="B113" s="1566"/>
      <c r="C113" s="1564"/>
      <c r="D113" s="1564"/>
      <c r="E113" s="880"/>
      <c r="F113" s="875"/>
      <c r="G113" s="1593"/>
      <c r="H113" s="877"/>
      <c r="I113" s="877"/>
      <c r="J113" s="879"/>
      <c r="K113" s="953"/>
      <c r="L113" s="1065"/>
    </row>
    <row r="114" spans="1:185">
      <c r="A114" s="1065"/>
      <c r="B114" s="1566"/>
      <c r="C114" s="1565"/>
      <c r="D114" s="1565"/>
      <c r="E114" s="880"/>
      <c r="F114" s="875"/>
      <c r="G114" s="1594"/>
      <c r="H114" s="877"/>
      <c r="I114" s="877"/>
      <c r="J114" s="879"/>
      <c r="K114" s="953"/>
      <c r="L114" s="1065"/>
    </row>
    <row r="115" spans="1:185" s="1121" customFormat="1" ht="15">
      <c r="A115" s="1119"/>
      <c r="B115" s="1122" t="s">
        <v>1522</v>
      </c>
      <c r="C115" s="1123"/>
      <c r="D115" s="1123"/>
      <c r="E115" s="1115"/>
      <c r="F115" s="1113">
        <f>SUM(F105:F114)</f>
        <v>0</v>
      </c>
      <c r="G115" s="1113"/>
      <c r="H115" s="1114"/>
      <c r="I115" s="1114"/>
      <c r="J115" s="1124"/>
      <c r="K115" s="1125"/>
      <c r="L115" s="1119"/>
      <c r="M115" s="1120"/>
      <c r="N115" s="1120"/>
      <c r="O115" s="1120"/>
      <c r="P115" s="1120"/>
      <c r="Q115" s="1120"/>
      <c r="R115" s="1120"/>
      <c r="S115" s="1120"/>
      <c r="T115" s="1120"/>
      <c r="U115" s="1120"/>
      <c r="V115" s="1120"/>
      <c r="W115" s="1120"/>
      <c r="X115" s="1120"/>
      <c r="Y115" s="1120"/>
      <c r="Z115" s="1120"/>
      <c r="AA115" s="1120"/>
      <c r="AB115" s="1120"/>
      <c r="AC115" s="1120"/>
      <c r="AD115" s="1120"/>
      <c r="AE115" s="1120"/>
      <c r="AF115" s="1120"/>
      <c r="AG115" s="1120"/>
      <c r="AH115" s="1120"/>
      <c r="AI115" s="1120"/>
      <c r="AJ115" s="1120"/>
      <c r="AK115" s="1120"/>
      <c r="AL115" s="1120"/>
      <c r="AM115" s="1120"/>
      <c r="AN115" s="1120"/>
      <c r="AO115" s="1120"/>
      <c r="AP115" s="1120"/>
      <c r="AQ115" s="1120"/>
      <c r="AR115" s="1120"/>
      <c r="AS115" s="1120"/>
      <c r="AT115" s="1120"/>
      <c r="AU115" s="1120"/>
      <c r="AV115" s="1120"/>
      <c r="AW115" s="1120"/>
      <c r="AX115" s="1120"/>
      <c r="AY115" s="1120"/>
      <c r="AZ115" s="1120"/>
      <c r="BA115" s="1120"/>
      <c r="BB115" s="1120"/>
      <c r="BC115" s="1120"/>
      <c r="BD115" s="1120"/>
      <c r="BE115" s="1120"/>
      <c r="BF115" s="1120"/>
      <c r="BG115" s="1120"/>
      <c r="BH115" s="1120"/>
      <c r="BI115" s="1120"/>
      <c r="BJ115" s="1120"/>
      <c r="BK115" s="1120"/>
      <c r="BL115" s="1120"/>
      <c r="BM115" s="1120"/>
      <c r="BN115" s="1120"/>
      <c r="BO115" s="1120"/>
      <c r="BP115" s="1120"/>
      <c r="BQ115" s="1120"/>
      <c r="BR115" s="1120"/>
      <c r="BS115" s="1120"/>
      <c r="BT115" s="1120"/>
      <c r="BU115" s="1120"/>
      <c r="BV115" s="1120"/>
      <c r="BW115" s="1120"/>
      <c r="BX115" s="1120"/>
      <c r="BY115" s="1120"/>
      <c r="BZ115" s="1120"/>
      <c r="CA115" s="1120"/>
      <c r="CB115" s="1120"/>
      <c r="CC115" s="1120"/>
      <c r="CD115" s="1120"/>
      <c r="CE115" s="1120"/>
      <c r="CF115" s="1120"/>
      <c r="CG115" s="1120"/>
      <c r="CH115" s="1120"/>
      <c r="CI115" s="1120"/>
      <c r="CJ115" s="1120"/>
      <c r="CK115" s="1120"/>
      <c r="CL115" s="1120"/>
      <c r="CM115" s="1120"/>
      <c r="CN115" s="1120"/>
      <c r="CO115" s="1120"/>
      <c r="CP115" s="1120"/>
      <c r="CQ115" s="1120"/>
      <c r="CR115" s="1120"/>
      <c r="CS115" s="1120"/>
      <c r="CT115" s="1120"/>
      <c r="CU115" s="1120"/>
      <c r="CV115" s="1120"/>
      <c r="CW115" s="1120"/>
      <c r="CX115" s="1120"/>
      <c r="CY115" s="1120"/>
      <c r="CZ115" s="1120"/>
      <c r="DA115" s="1120"/>
      <c r="DB115" s="1120"/>
      <c r="DC115" s="1120"/>
      <c r="DD115" s="1120"/>
      <c r="DE115" s="1120"/>
      <c r="DF115" s="1120"/>
      <c r="DG115" s="1120"/>
      <c r="DH115" s="1120"/>
      <c r="DI115" s="1120"/>
      <c r="DJ115" s="1120"/>
      <c r="DK115" s="1120"/>
      <c r="DL115" s="1120"/>
      <c r="DM115" s="1120"/>
      <c r="DN115" s="1120"/>
      <c r="DO115" s="1120"/>
      <c r="DP115" s="1120"/>
      <c r="DQ115" s="1120"/>
      <c r="DR115" s="1120"/>
      <c r="DS115" s="1120"/>
      <c r="DT115" s="1120"/>
      <c r="DU115" s="1120"/>
      <c r="DV115" s="1120"/>
      <c r="DW115" s="1120"/>
      <c r="DX115" s="1120"/>
      <c r="DY115" s="1120"/>
      <c r="DZ115" s="1120"/>
      <c r="EA115" s="1120"/>
      <c r="EB115" s="1120"/>
      <c r="EC115" s="1120"/>
      <c r="ED115" s="1120"/>
      <c r="EE115" s="1120"/>
      <c r="EF115" s="1120"/>
      <c r="EG115" s="1120"/>
      <c r="EH115" s="1120"/>
      <c r="EI115" s="1120"/>
      <c r="EJ115" s="1120"/>
      <c r="EK115" s="1120"/>
      <c r="EL115" s="1120"/>
      <c r="EM115" s="1120"/>
      <c r="EN115" s="1120"/>
      <c r="EO115" s="1120"/>
      <c r="EP115" s="1120"/>
      <c r="EQ115" s="1120"/>
      <c r="ER115" s="1120"/>
      <c r="ES115" s="1120"/>
      <c r="ET115" s="1120"/>
      <c r="EU115" s="1120"/>
      <c r="EV115" s="1120"/>
      <c r="EW115" s="1120"/>
      <c r="EX115" s="1120"/>
      <c r="EY115" s="1120"/>
      <c r="EZ115" s="1120"/>
      <c r="FA115" s="1120"/>
      <c r="FB115" s="1120"/>
      <c r="FC115" s="1120"/>
      <c r="FD115" s="1120"/>
      <c r="FE115" s="1120"/>
      <c r="FF115" s="1120"/>
      <c r="FG115" s="1120"/>
      <c r="FH115" s="1120"/>
      <c r="FI115" s="1120"/>
      <c r="FJ115" s="1120"/>
      <c r="FK115" s="1120"/>
      <c r="FL115" s="1120"/>
      <c r="FM115" s="1120"/>
      <c r="FN115" s="1120"/>
      <c r="FO115" s="1120"/>
      <c r="FP115" s="1120"/>
      <c r="FQ115" s="1120"/>
      <c r="FR115" s="1120"/>
      <c r="FS115" s="1120"/>
      <c r="FT115" s="1120"/>
      <c r="FU115" s="1120"/>
      <c r="FV115" s="1120"/>
      <c r="FW115" s="1120"/>
      <c r="FX115" s="1120"/>
      <c r="FY115" s="1120"/>
      <c r="FZ115" s="1120"/>
      <c r="GA115" s="1120"/>
      <c r="GB115" s="1120"/>
      <c r="GC115" s="1120"/>
    </row>
    <row r="116" spans="1:185">
      <c r="A116" s="1065"/>
      <c r="B116" s="1566" t="s">
        <v>1457</v>
      </c>
      <c r="C116" s="1563" t="s">
        <v>1464</v>
      </c>
      <c r="D116" s="1563" t="str">
        <f>B116&amp;C116</f>
        <v>&lt; select &gt; &lt; select &gt;</v>
      </c>
      <c r="E116" s="879"/>
      <c r="F116" s="875"/>
      <c r="G116" s="1592">
        <f>F126</f>
        <v>0</v>
      </c>
      <c r="H116" s="877"/>
      <c r="I116" s="877"/>
      <c r="J116" s="879"/>
      <c r="K116" s="953"/>
      <c r="L116" s="1065"/>
    </row>
    <row r="117" spans="1:185" ht="15" customHeight="1">
      <c r="A117" s="1065"/>
      <c r="B117" s="1566"/>
      <c r="C117" s="1564"/>
      <c r="D117" s="1564"/>
      <c r="E117" s="880"/>
      <c r="F117" s="875"/>
      <c r="G117" s="1593"/>
      <c r="H117" s="877"/>
      <c r="I117" s="877"/>
      <c r="J117" s="879"/>
      <c r="K117" s="953"/>
      <c r="L117" s="1065"/>
    </row>
    <row r="118" spans="1:185" ht="15" customHeight="1">
      <c r="A118" s="1065"/>
      <c r="B118" s="1566"/>
      <c r="C118" s="1564"/>
      <c r="D118" s="1564"/>
      <c r="E118" s="880"/>
      <c r="F118" s="875"/>
      <c r="G118" s="1593"/>
      <c r="H118" s="877"/>
      <c r="I118" s="877"/>
      <c r="J118" s="879"/>
      <c r="K118" s="953"/>
      <c r="L118" s="1065"/>
    </row>
    <row r="119" spans="1:185" ht="15" customHeight="1">
      <c r="A119" s="1065"/>
      <c r="B119" s="1566"/>
      <c r="C119" s="1564"/>
      <c r="D119" s="1564"/>
      <c r="E119" s="880"/>
      <c r="F119" s="875"/>
      <c r="G119" s="1593"/>
      <c r="H119" s="877"/>
      <c r="I119" s="877"/>
      <c r="J119" s="879"/>
      <c r="K119" s="953"/>
      <c r="L119" s="1065"/>
    </row>
    <row r="120" spans="1:185" ht="15" customHeight="1">
      <c r="A120" s="1065"/>
      <c r="B120" s="1566"/>
      <c r="C120" s="1564"/>
      <c r="D120" s="1564"/>
      <c r="E120" s="880"/>
      <c r="F120" s="875"/>
      <c r="G120" s="1593"/>
      <c r="H120" s="877"/>
      <c r="I120" s="877"/>
      <c r="J120" s="879"/>
      <c r="K120" s="953"/>
      <c r="L120" s="1065"/>
    </row>
    <row r="121" spans="1:185" ht="15" customHeight="1">
      <c r="A121" s="1065"/>
      <c r="B121" s="1566"/>
      <c r="C121" s="1564"/>
      <c r="D121" s="1564"/>
      <c r="E121" s="880"/>
      <c r="F121" s="875"/>
      <c r="G121" s="1593"/>
      <c r="H121" s="877"/>
      <c r="I121" s="877"/>
      <c r="J121" s="879"/>
      <c r="K121" s="953"/>
      <c r="L121" s="1065"/>
    </row>
    <row r="122" spans="1:185" ht="15" customHeight="1">
      <c r="A122" s="1065"/>
      <c r="B122" s="1566"/>
      <c r="C122" s="1564"/>
      <c r="D122" s="1564"/>
      <c r="E122" s="880"/>
      <c r="F122" s="875"/>
      <c r="G122" s="1593"/>
      <c r="H122" s="877"/>
      <c r="I122" s="877"/>
      <c r="J122" s="879"/>
      <c r="K122" s="953"/>
      <c r="L122" s="1065"/>
    </row>
    <row r="123" spans="1:185" ht="15" customHeight="1">
      <c r="A123" s="1065"/>
      <c r="B123" s="1566"/>
      <c r="C123" s="1564"/>
      <c r="D123" s="1564"/>
      <c r="E123" s="880"/>
      <c r="F123" s="875"/>
      <c r="G123" s="1593"/>
      <c r="H123" s="877"/>
      <c r="I123" s="877"/>
      <c r="J123" s="879"/>
      <c r="K123" s="953"/>
      <c r="L123" s="1065"/>
    </row>
    <row r="124" spans="1:185" ht="15" customHeight="1">
      <c r="A124" s="1065"/>
      <c r="B124" s="1566"/>
      <c r="C124" s="1564"/>
      <c r="D124" s="1564"/>
      <c r="E124" s="880"/>
      <c r="F124" s="875"/>
      <c r="G124" s="1593"/>
      <c r="H124" s="877"/>
      <c r="I124" s="877"/>
      <c r="J124" s="879"/>
      <c r="K124" s="953"/>
      <c r="L124" s="1065"/>
    </row>
    <row r="125" spans="1:185" ht="15.75" customHeight="1" thickBot="1">
      <c r="A125" s="1065"/>
      <c r="B125" s="1566"/>
      <c r="C125" s="1565"/>
      <c r="D125" s="1565"/>
      <c r="E125" s="881"/>
      <c r="F125" s="876"/>
      <c r="G125" s="1595"/>
      <c r="H125" s="878"/>
      <c r="I125" s="878"/>
      <c r="J125" s="954"/>
      <c r="K125" s="955"/>
      <c r="L125" s="1065"/>
    </row>
    <row r="126" spans="1:185" s="1121" customFormat="1" ht="15.6" thickBot="1">
      <c r="A126" s="1119"/>
      <c r="B126" s="1126" t="s">
        <v>1522</v>
      </c>
      <c r="C126" s="1127"/>
      <c r="D126" s="1127"/>
      <c r="E126" s="1128"/>
      <c r="F126" s="1129">
        <f>SUM(F116:F125)</f>
        <v>0</v>
      </c>
      <c r="G126" s="1130"/>
      <c r="H126" s="1130"/>
      <c r="I126" s="1130"/>
      <c r="J126" s="1131"/>
      <c r="K126" s="1132"/>
      <c r="L126" s="1119"/>
      <c r="M126" s="1120"/>
      <c r="N126" s="1120"/>
      <c r="O126" s="1120"/>
      <c r="P126" s="1120"/>
      <c r="Q126" s="1120"/>
      <c r="R126" s="1120"/>
      <c r="S126" s="1120"/>
      <c r="T126" s="1120"/>
      <c r="U126" s="1120"/>
      <c r="V126" s="1120"/>
      <c r="W126" s="1120"/>
      <c r="X126" s="1120"/>
      <c r="Y126" s="1120"/>
      <c r="Z126" s="1120"/>
      <c r="AA126" s="1120"/>
      <c r="AB126" s="1120"/>
      <c r="AC126" s="1120"/>
      <c r="AD126" s="1120"/>
      <c r="AE126" s="1120"/>
      <c r="AF126" s="1120"/>
      <c r="AG126" s="1120"/>
      <c r="AH126" s="1120"/>
      <c r="AI126" s="1120"/>
      <c r="AJ126" s="1120"/>
      <c r="AK126" s="1120"/>
      <c r="AL126" s="1120"/>
      <c r="AM126" s="1120"/>
      <c r="AN126" s="1120"/>
      <c r="AO126" s="1120"/>
      <c r="AP126" s="1120"/>
      <c r="AQ126" s="1120"/>
      <c r="AR126" s="1120"/>
      <c r="AS126" s="1120"/>
      <c r="AT126" s="1120"/>
      <c r="AU126" s="1120"/>
      <c r="AV126" s="1120"/>
      <c r="AW126" s="1120"/>
      <c r="AX126" s="1120"/>
      <c r="AY126" s="1120"/>
      <c r="AZ126" s="1120"/>
      <c r="BA126" s="1120"/>
      <c r="BB126" s="1120"/>
      <c r="BC126" s="1120"/>
      <c r="BD126" s="1120"/>
      <c r="BE126" s="1120"/>
      <c r="BF126" s="1120"/>
      <c r="BG126" s="1120"/>
      <c r="BH126" s="1120"/>
      <c r="BI126" s="1120"/>
      <c r="BJ126" s="1120"/>
      <c r="BK126" s="1120"/>
      <c r="BL126" s="1120"/>
      <c r="BM126" s="1120"/>
      <c r="BN126" s="1120"/>
      <c r="BO126" s="1120"/>
      <c r="BP126" s="1120"/>
      <c r="BQ126" s="1120"/>
      <c r="BR126" s="1120"/>
      <c r="BS126" s="1120"/>
      <c r="BT126" s="1120"/>
      <c r="BU126" s="1120"/>
      <c r="BV126" s="1120"/>
      <c r="BW126" s="1120"/>
      <c r="BX126" s="1120"/>
      <c r="BY126" s="1120"/>
      <c r="BZ126" s="1120"/>
      <c r="CA126" s="1120"/>
      <c r="CB126" s="1120"/>
      <c r="CC126" s="1120"/>
      <c r="CD126" s="1120"/>
      <c r="CE126" s="1120"/>
      <c r="CF126" s="1120"/>
      <c r="CG126" s="1120"/>
      <c r="CH126" s="1120"/>
      <c r="CI126" s="1120"/>
      <c r="CJ126" s="1120"/>
      <c r="CK126" s="1120"/>
      <c r="CL126" s="1120"/>
      <c r="CM126" s="1120"/>
      <c r="CN126" s="1120"/>
      <c r="CO126" s="1120"/>
      <c r="CP126" s="1120"/>
      <c r="CQ126" s="1120"/>
      <c r="CR126" s="1120"/>
      <c r="CS126" s="1120"/>
      <c r="CT126" s="1120"/>
      <c r="CU126" s="1120"/>
      <c r="CV126" s="1120"/>
      <c r="CW126" s="1120"/>
      <c r="CX126" s="1120"/>
      <c r="CY126" s="1120"/>
      <c r="CZ126" s="1120"/>
      <c r="DA126" s="1120"/>
      <c r="DB126" s="1120"/>
      <c r="DC126" s="1120"/>
      <c r="DD126" s="1120"/>
      <c r="DE126" s="1120"/>
      <c r="DF126" s="1120"/>
      <c r="DG126" s="1120"/>
      <c r="DH126" s="1120"/>
      <c r="DI126" s="1120"/>
      <c r="DJ126" s="1120"/>
      <c r="DK126" s="1120"/>
      <c r="DL126" s="1120"/>
      <c r="DM126" s="1120"/>
      <c r="DN126" s="1120"/>
      <c r="DO126" s="1120"/>
      <c r="DP126" s="1120"/>
      <c r="DQ126" s="1120"/>
      <c r="DR126" s="1120"/>
      <c r="DS126" s="1120"/>
      <c r="DT126" s="1120"/>
      <c r="DU126" s="1120"/>
      <c r="DV126" s="1120"/>
      <c r="DW126" s="1120"/>
      <c r="DX126" s="1120"/>
      <c r="DY126" s="1120"/>
      <c r="DZ126" s="1120"/>
      <c r="EA126" s="1120"/>
      <c r="EB126" s="1120"/>
      <c r="EC126" s="1120"/>
      <c r="ED126" s="1120"/>
      <c r="EE126" s="1120"/>
      <c r="EF126" s="1120"/>
      <c r="EG126" s="1120"/>
      <c r="EH126" s="1120"/>
      <c r="EI126" s="1120"/>
      <c r="EJ126" s="1120"/>
      <c r="EK126" s="1120"/>
      <c r="EL126" s="1120"/>
      <c r="EM126" s="1120"/>
      <c r="EN126" s="1120"/>
      <c r="EO126" s="1120"/>
      <c r="EP126" s="1120"/>
      <c r="EQ126" s="1120"/>
      <c r="ER126" s="1120"/>
      <c r="ES126" s="1120"/>
      <c r="ET126" s="1120"/>
      <c r="EU126" s="1120"/>
      <c r="EV126" s="1120"/>
      <c r="EW126" s="1120"/>
      <c r="EX126" s="1120"/>
      <c r="EY126" s="1120"/>
      <c r="EZ126" s="1120"/>
      <c r="FA126" s="1120"/>
      <c r="FB126" s="1120"/>
      <c r="FC126" s="1120"/>
      <c r="FD126" s="1120"/>
      <c r="FE126" s="1120"/>
      <c r="FF126" s="1120"/>
      <c r="FG126" s="1120"/>
      <c r="FH126" s="1120"/>
      <c r="FI126" s="1120"/>
      <c r="FJ126" s="1120"/>
      <c r="FK126" s="1120"/>
      <c r="FL126" s="1120"/>
      <c r="FM126" s="1120"/>
      <c r="FN126" s="1120"/>
      <c r="FO126" s="1120"/>
      <c r="FP126" s="1120"/>
      <c r="FQ126" s="1120"/>
      <c r="FR126" s="1120"/>
      <c r="FS126" s="1120"/>
      <c r="FT126" s="1120"/>
      <c r="FU126" s="1120"/>
      <c r="FV126" s="1120"/>
      <c r="FW126" s="1120"/>
      <c r="FX126" s="1120"/>
      <c r="FY126" s="1120"/>
      <c r="FZ126" s="1120"/>
      <c r="GA126" s="1120"/>
      <c r="GB126" s="1120"/>
      <c r="GC126" s="1120"/>
    </row>
    <row r="127" spans="1:185" ht="14.4" thickBot="1">
      <c r="A127" s="1065"/>
      <c r="B127" s="1133" t="s">
        <v>1523</v>
      </c>
      <c r="C127" s="1134"/>
      <c r="D127" s="1134"/>
      <c r="E127" s="1135"/>
      <c r="F127" s="1136">
        <f>SUM(F16+F27+F38+F49+F60+F71+F82+F93+F104+F115+F126)</f>
        <v>0</v>
      </c>
      <c r="G127" s="1136"/>
      <c r="H127" s="1137"/>
      <c r="I127" s="1137"/>
      <c r="J127" s="1138"/>
      <c r="K127" s="1139"/>
      <c r="L127" s="1065"/>
    </row>
    <row r="128" spans="1:185" ht="13.5" customHeight="1">
      <c r="A128" s="1065"/>
      <c r="B128" s="1065"/>
      <c r="C128" s="1065"/>
      <c r="D128" s="1065"/>
      <c r="E128" s="1065"/>
      <c r="F128" s="1065"/>
      <c r="G128" s="1065"/>
      <c r="H128" s="1065"/>
      <c r="I128" s="1065"/>
      <c r="J128" s="1065"/>
      <c r="K128" s="1065"/>
      <c r="L128" s="1065"/>
    </row>
    <row r="129" spans="1:185" ht="13.5" hidden="1" customHeight="1" outlineLevel="1">
      <c r="A129" s="1065"/>
      <c r="B129" s="1074" t="s">
        <v>1273</v>
      </c>
      <c r="C129" s="1074"/>
      <c r="D129" s="1074"/>
      <c r="E129" s="1065"/>
      <c r="F129" s="1065"/>
      <c r="G129" s="1065"/>
      <c r="H129" s="1065"/>
      <c r="I129" s="1065"/>
      <c r="J129" s="1065"/>
      <c r="K129" s="1065"/>
      <c r="L129" s="1065"/>
    </row>
    <row r="130" spans="1:185" s="1142" customFormat="1" ht="32.25" hidden="1" customHeight="1" outlineLevel="1">
      <c r="A130" s="1140"/>
      <c r="B130" s="1505" t="s">
        <v>1293</v>
      </c>
      <c r="C130" s="1506"/>
      <c r="D130" s="1074"/>
      <c r="E130" s="808" t="str">
        <f>'Menus déroulants'!C15</f>
        <v>EEM1 - Thermal insulation</v>
      </c>
      <c r="F130" s="808" t="str">
        <f>'Menus déroulants'!C16</f>
        <v>EEM2 - Micromodulation</v>
      </c>
      <c r="G130" s="1065"/>
      <c r="H130" s="808" t="str">
        <f>'Menus déroulants'!C17</f>
        <v>EEM3 - Combustion oxygen trim</v>
      </c>
      <c r="I130" s="1065"/>
      <c r="J130" s="1065"/>
      <c r="K130" s="1065"/>
      <c r="L130" s="1140"/>
      <c r="M130" s="1141"/>
      <c r="N130" s="1141"/>
      <c r="O130" s="1141"/>
      <c r="P130" s="1141"/>
      <c r="Q130" s="1141"/>
      <c r="R130" s="1141"/>
      <c r="S130" s="1141"/>
      <c r="T130" s="1141"/>
      <c r="U130" s="1141"/>
      <c r="V130" s="1141"/>
      <c r="W130" s="1141"/>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1141"/>
      <c r="BJ130" s="1141"/>
      <c r="BK130" s="1141"/>
      <c r="BL130" s="1141"/>
      <c r="BM130" s="1141"/>
      <c r="BN130" s="1141"/>
      <c r="BO130" s="1141"/>
      <c r="BP130" s="1141"/>
      <c r="BQ130" s="1141"/>
      <c r="BR130" s="1141"/>
      <c r="BS130" s="1141"/>
      <c r="BT130" s="1141"/>
      <c r="BU130" s="1141"/>
      <c r="BV130" s="1141"/>
      <c r="BW130" s="1141"/>
      <c r="BX130" s="1141"/>
      <c r="BY130" s="1141"/>
      <c r="BZ130" s="1141"/>
      <c r="CA130" s="1141"/>
      <c r="CB130" s="1141"/>
      <c r="CC130" s="1141"/>
      <c r="CD130" s="1141"/>
      <c r="CE130" s="1141"/>
      <c r="CF130" s="1141"/>
      <c r="CG130" s="1141"/>
      <c r="CH130" s="1141"/>
      <c r="CI130" s="1141"/>
      <c r="CJ130" s="1141"/>
      <c r="CK130" s="1141"/>
      <c r="CL130" s="1141"/>
      <c r="CM130" s="1141"/>
      <c r="CN130" s="1141"/>
      <c r="CO130" s="1141"/>
      <c r="CP130" s="1141"/>
      <c r="CQ130" s="1141"/>
      <c r="CR130" s="1141"/>
      <c r="CS130" s="1141"/>
      <c r="CT130" s="1141"/>
      <c r="CU130" s="1141"/>
      <c r="CV130" s="1141"/>
      <c r="CW130" s="1141"/>
      <c r="CX130" s="1141"/>
      <c r="CY130" s="1141"/>
      <c r="CZ130" s="1141"/>
      <c r="DA130" s="1141"/>
      <c r="DB130" s="1141"/>
      <c r="DC130" s="1141"/>
      <c r="DD130" s="1141"/>
      <c r="DE130" s="1141"/>
      <c r="DF130" s="1141"/>
      <c r="DG130" s="1141"/>
      <c r="DH130" s="1141"/>
      <c r="DI130" s="1141"/>
      <c r="DJ130" s="1141"/>
      <c r="DK130" s="1141"/>
      <c r="DL130" s="1141"/>
      <c r="DM130" s="1141"/>
      <c r="DN130" s="1141"/>
      <c r="DO130" s="1141"/>
      <c r="DP130" s="1141"/>
      <c r="DQ130" s="1141"/>
      <c r="DR130" s="1141"/>
      <c r="DS130" s="1141"/>
      <c r="DT130" s="1141"/>
      <c r="DU130" s="1141"/>
      <c r="DV130" s="1141"/>
      <c r="DW130" s="1141"/>
      <c r="DX130" s="1141"/>
      <c r="DY130" s="1141"/>
      <c r="DZ130" s="1141"/>
      <c r="EA130" s="1141"/>
      <c r="EB130" s="1141"/>
      <c r="EC130" s="1141"/>
      <c r="ED130" s="1141"/>
      <c r="EE130" s="1141"/>
      <c r="EF130" s="1141"/>
      <c r="EG130" s="1141"/>
      <c r="EH130" s="1141"/>
      <c r="EI130" s="1141"/>
      <c r="EJ130" s="1141"/>
      <c r="EK130" s="1141"/>
      <c r="EL130" s="1141"/>
      <c r="EM130" s="1141"/>
      <c r="EN130" s="1141"/>
      <c r="EO130" s="1141"/>
      <c r="EP130" s="1141"/>
      <c r="EQ130" s="1141"/>
      <c r="ER130" s="1141"/>
      <c r="ES130" s="1141"/>
      <c r="ET130" s="1141"/>
      <c r="EU130" s="1141"/>
      <c r="EV130" s="1141"/>
      <c r="EW130" s="1141"/>
      <c r="EX130" s="1141"/>
      <c r="EY130" s="1141"/>
      <c r="EZ130" s="1141"/>
      <c r="FA130" s="1141"/>
      <c r="FB130" s="1141"/>
      <c r="FC130" s="1141"/>
      <c r="FD130" s="1141"/>
      <c r="FE130" s="1141"/>
      <c r="FF130" s="1141"/>
      <c r="FG130" s="1141"/>
      <c r="FH130" s="1141"/>
      <c r="FI130" s="1141"/>
      <c r="FJ130" s="1141"/>
      <c r="FK130" s="1141"/>
      <c r="FL130" s="1141"/>
      <c r="FM130" s="1141"/>
      <c r="FN130" s="1141"/>
      <c r="FO130" s="1141"/>
      <c r="FP130" s="1141"/>
      <c r="FQ130" s="1141"/>
      <c r="FR130" s="1141"/>
      <c r="FS130" s="1141"/>
      <c r="FT130" s="1141"/>
      <c r="FU130" s="1141"/>
      <c r="FV130" s="1141"/>
      <c r="FW130" s="1141"/>
      <c r="FX130" s="1141"/>
      <c r="FY130" s="1141"/>
      <c r="FZ130" s="1141"/>
      <c r="GA130" s="1141"/>
      <c r="GB130" s="1141"/>
      <c r="GC130" s="1141"/>
    </row>
    <row r="131" spans="1:185" ht="13.5" hidden="1" customHeight="1" outlineLevel="1">
      <c r="A131" s="1065"/>
      <c r="B131" s="1596">
        <v>1</v>
      </c>
      <c r="C131" s="1597"/>
      <c r="D131" s="1074"/>
      <c r="E131" s="1143">
        <f t="shared" ref="E131:H131" si="0">IF($B$17=E130,$F$27,0)</f>
        <v>0</v>
      </c>
      <c r="F131" s="1143">
        <f t="shared" si="0"/>
        <v>0</v>
      </c>
      <c r="G131" s="1065"/>
      <c r="H131" s="1143">
        <f t="shared" si="0"/>
        <v>0</v>
      </c>
      <c r="I131" s="1065"/>
      <c r="J131" s="1065"/>
      <c r="K131" s="1065"/>
      <c r="L131" s="1065"/>
    </row>
    <row r="132" spans="1:185" ht="13.5" hidden="1" customHeight="1" outlineLevel="1">
      <c r="A132" s="1065"/>
      <c r="B132" s="1596">
        <v>2</v>
      </c>
      <c r="C132" s="1597"/>
      <c r="D132" s="1074"/>
      <c r="E132" s="1143">
        <f t="shared" ref="E132:H132" si="1">IF($B$28=E130,$F$38,0)</f>
        <v>0</v>
      </c>
      <c r="F132" s="1143">
        <f t="shared" si="1"/>
        <v>0</v>
      </c>
      <c r="G132" s="1065"/>
      <c r="H132" s="1143">
        <f t="shared" si="1"/>
        <v>0</v>
      </c>
      <c r="I132" s="1065"/>
      <c r="J132" s="1065"/>
      <c r="K132" s="1065"/>
      <c r="L132" s="1065"/>
    </row>
    <row r="133" spans="1:185" ht="13.5" hidden="1" customHeight="1" outlineLevel="1">
      <c r="A133" s="1065"/>
      <c r="B133" s="1596">
        <v>3</v>
      </c>
      <c r="C133" s="1597"/>
      <c r="D133" s="1074"/>
      <c r="E133" s="1143">
        <f t="shared" ref="E133:H133" si="2">IF($B$39=E130,$F$49,0)</f>
        <v>0</v>
      </c>
      <c r="F133" s="1143">
        <f t="shared" si="2"/>
        <v>0</v>
      </c>
      <c r="G133" s="1065"/>
      <c r="H133" s="1143">
        <f t="shared" si="2"/>
        <v>0</v>
      </c>
      <c r="I133" s="1065"/>
      <c r="J133" s="1065"/>
      <c r="K133" s="1065"/>
      <c r="L133" s="1065"/>
    </row>
    <row r="134" spans="1:185" ht="13.5" hidden="1" customHeight="1" outlineLevel="1">
      <c r="A134" s="1065"/>
      <c r="B134" s="1596">
        <v>4</v>
      </c>
      <c r="C134" s="1597"/>
      <c r="D134" s="1074"/>
      <c r="E134" s="1143">
        <f t="shared" ref="E134:H134" si="3">IF($B$50=E130,$F$60,0)</f>
        <v>0</v>
      </c>
      <c r="F134" s="1143">
        <f t="shared" si="3"/>
        <v>0</v>
      </c>
      <c r="G134" s="1065"/>
      <c r="H134" s="1143">
        <f t="shared" si="3"/>
        <v>0</v>
      </c>
      <c r="I134" s="1065"/>
      <c r="J134" s="1065"/>
      <c r="K134" s="1065"/>
      <c r="L134" s="1065"/>
    </row>
    <row r="135" spans="1:185" ht="13.5" hidden="1" customHeight="1" outlineLevel="1">
      <c r="A135" s="1065"/>
      <c r="B135" s="1596">
        <v>5</v>
      </c>
      <c r="C135" s="1597"/>
      <c r="D135" s="1074"/>
      <c r="E135" s="1143">
        <f t="shared" ref="E135:H135" si="4">IF($B$61=E130,$F$71,0)</f>
        <v>0</v>
      </c>
      <c r="F135" s="1143">
        <f t="shared" si="4"/>
        <v>0</v>
      </c>
      <c r="G135" s="1065"/>
      <c r="H135" s="1143">
        <f t="shared" si="4"/>
        <v>0</v>
      </c>
      <c r="I135" s="1065"/>
      <c r="J135" s="1065"/>
      <c r="K135" s="1065"/>
      <c r="L135" s="1065"/>
    </row>
    <row r="136" spans="1:185" ht="13.5" hidden="1" customHeight="1" outlineLevel="1">
      <c r="A136" s="1065"/>
      <c r="B136" s="1596">
        <v>6</v>
      </c>
      <c r="C136" s="1597"/>
      <c r="D136" s="1074"/>
      <c r="E136" s="1143">
        <f t="shared" ref="E136:H136" si="5">IF($B$72=E130,$F$82,0)</f>
        <v>0</v>
      </c>
      <c r="F136" s="1143">
        <f t="shared" si="5"/>
        <v>0</v>
      </c>
      <c r="G136" s="1065"/>
      <c r="H136" s="1143">
        <f t="shared" si="5"/>
        <v>0</v>
      </c>
      <c r="I136" s="1065"/>
      <c r="J136" s="1065"/>
      <c r="K136" s="1065"/>
      <c r="L136" s="1065"/>
    </row>
    <row r="137" spans="1:185" ht="13.5" hidden="1" customHeight="1" outlineLevel="1">
      <c r="A137" s="1065"/>
      <c r="B137" s="1596">
        <v>7</v>
      </c>
      <c r="C137" s="1597"/>
      <c r="D137" s="1074"/>
      <c r="E137" s="1143">
        <f t="shared" ref="E137:H137" si="6">IF($B$83=E130,$F$93,0)</f>
        <v>0</v>
      </c>
      <c r="F137" s="1143">
        <f t="shared" si="6"/>
        <v>0</v>
      </c>
      <c r="G137" s="1065"/>
      <c r="H137" s="1143">
        <f t="shared" si="6"/>
        <v>0</v>
      </c>
      <c r="I137" s="1065"/>
      <c r="J137" s="1065"/>
      <c r="K137" s="1065"/>
      <c r="L137" s="1065"/>
    </row>
    <row r="138" spans="1:185" ht="13.5" hidden="1" customHeight="1" outlineLevel="1">
      <c r="A138" s="1065"/>
      <c r="B138" s="1596">
        <v>8</v>
      </c>
      <c r="C138" s="1597"/>
      <c r="D138" s="1074"/>
      <c r="E138" s="1143">
        <f t="shared" ref="E138:H138" si="7">IF($B$94=E130,$F$104,0)</f>
        <v>0</v>
      </c>
      <c r="F138" s="1143">
        <f t="shared" si="7"/>
        <v>0</v>
      </c>
      <c r="G138" s="1065"/>
      <c r="H138" s="1143">
        <f t="shared" si="7"/>
        <v>0</v>
      </c>
      <c r="I138" s="1065"/>
      <c r="J138" s="1065"/>
      <c r="K138" s="1065"/>
      <c r="L138" s="1065"/>
    </row>
    <row r="139" spans="1:185" ht="13.5" hidden="1" customHeight="1" outlineLevel="1">
      <c r="A139" s="1065"/>
      <c r="B139" s="1596">
        <v>9</v>
      </c>
      <c r="C139" s="1597"/>
      <c r="D139" s="1074"/>
      <c r="E139" s="1143">
        <f t="shared" ref="E139:H139" si="8">IF($B$105=E130,$F$115,0)</f>
        <v>0</v>
      </c>
      <c r="F139" s="1143">
        <f t="shared" si="8"/>
        <v>0</v>
      </c>
      <c r="G139" s="1065"/>
      <c r="H139" s="1143">
        <f t="shared" si="8"/>
        <v>0</v>
      </c>
      <c r="I139" s="1065"/>
      <c r="J139" s="1065"/>
      <c r="K139" s="1065"/>
      <c r="L139" s="1065"/>
    </row>
    <row r="140" spans="1:185" ht="13.5" hidden="1" customHeight="1" outlineLevel="1">
      <c r="A140" s="1065"/>
      <c r="B140" s="1596">
        <v>10</v>
      </c>
      <c r="C140" s="1597"/>
      <c r="D140" s="1074"/>
      <c r="E140" s="1143">
        <f t="shared" ref="E140" si="9">IF($B$116=E130,$F$126,0)</f>
        <v>0</v>
      </c>
      <c r="F140" s="1143">
        <f>IF($B$116=F130,$F$126,0)</f>
        <v>0</v>
      </c>
      <c r="G140" s="1065"/>
      <c r="H140" s="1143">
        <f>IF($B$116=H130,$F$126,0)</f>
        <v>0</v>
      </c>
      <c r="I140" s="1065"/>
      <c r="J140" s="1065"/>
      <c r="K140" s="1065"/>
      <c r="L140" s="1065"/>
    </row>
    <row r="141" spans="1:185" s="1148" customFormat="1" ht="13.5" hidden="1" customHeight="1" outlineLevel="1">
      <c r="A141" s="1144"/>
      <c r="B141" s="1145" t="s">
        <v>1264</v>
      </c>
      <c r="C141" s="1145"/>
      <c r="D141" s="1074"/>
      <c r="E141" s="1146">
        <f>SUM(E131:E140)</f>
        <v>0</v>
      </c>
      <c r="F141" s="1146">
        <f>SUM(F131:F140)</f>
        <v>0</v>
      </c>
      <c r="G141" s="1065"/>
      <c r="H141" s="1146">
        <f>SUM(H131:H140)</f>
        <v>0</v>
      </c>
      <c r="I141" s="1065"/>
      <c r="J141" s="1065"/>
      <c r="K141" s="1065"/>
      <c r="L141" s="1144"/>
      <c r="M141" s="1147"/>
      <c r="N141" s="1147"/>
      <c r="O141" s="1147"/>
      <c r="P141" s="1147"/>
      <c r="Q141" s="1147"/>
      <c r="R141" s="1147"/>
      <c r="S141" s="1147"/>
      <c r="T141" s="1147"/>
      <c r="U141" s="1147"/>
      <c r="V141" s="1147"/>
      <c r="W141" s="1147"/>
      <c r="X141" s="1147"/>
      <c r="Y141" s="1147"/>
      <c r="Z141" s="1147"/>
      <c r="AA141" s="1147"/>
      <c r="AB141" s="1147"/>
      <c r="AC141" s="1147"/>
      <c r="AD141" s="1147"/>
      <c r="AE141" s="1147"/>
      <c r="AF141" s="1147"/>
      <c r="AG141" s="1147"/>
      <c r="AH141" s="1147"/>
      <c r="AI141" s="1147"/>
      <c r="AJ141" s="1147"/>
      <c r="AK141" s="1147"/>
      <c r="AL141" s="1147"/>
      <c r="AM141" s="1147"/>
      <c r="AN141" s="1147"/>
      <c r="AO141" s="1147"/>
      <c r="AP141" s="1147"/>
      <c r="AQ141" s="1147"/>
      <c r="AR141" s="1147"/>
      <c r="AS141" s="1147"/>
      <c r="AT141" s="1147"/>
      <c r="AU141" s="1147"/>
      <c r="AV141" s="1147"/>
      <c r="AW141" s="1147"/>
      <c r="AX141" s="1147"/>
      <c r="AY141" s="1147"/>
      <c r="AZ141" s="1147"/>
      <c r="BA141" s="1147"/>
      <c r="BB141" s="1147"/>
      <c r="BC141" s="1147"/>
      <c r="BD141" s="1147"/>
      <c r="BE141" s="1147"/>
      <c r="BF141" s="1147"/>
      <c r="BG141" s="1147"/>
      <c r="BH141" s="1147"/>
      <c r="BI141" s="1147"/>
      <c r="BJ141" s="1147"/>
      <c r="BK141" s="1147"/>
      <c r="BL141" s="1147"/>
      <c r="BM141" s="1147"/>
      <c r="BN141" s="1147"/>
      <c r="BO141" s="1147"/>
      <c r="BP141" s="1147"/>
      <c r="BQ141" s="1147"/>
      <c r="BR141" s="1147"/>
      <c r="BS141" s="1147"/>
      <c r="BT141" s="1147"/>
      <c r="BU141" s="1147"/>
      <c r="BV141" s="1147"/>
      <c r="BW141" s="1147"/>
      <c r="BX141" s="1147"/>
      <c r="BY141" s="1147"/>
      <c r="BZ141" s="1147"/>
      <c r="CA141" s="1147"/>
      <c r="CB141" s="1147"/>
      <c r="CC141" s="1147"/>
      <c r="CD141" s="1147"/>
      <c r="CE141" s="1147"/>
      <c r="CF141" s="1147"/>
      <c r="CG141" s="1147"/>
      <c r="CH141" s="1147"/>
      <c r="CI141" s="1147"/>
      <c r="CJ141" s="1147"/>
      <c r="CK141" s="1147"/>
      <c r="CL141" s="1147"/>
      <c r="CM141" s="1147"/>
      <c r="CN141" s="1147"/>
      <c r="CO141" s="1147"/>
      <c r="CP141" s="1147"/>
      <c r="CQ141" s="1147"/>
      <c r="CR141" s="1147"/>
      <c r="CS141" s="1147"/>
      <c r="CT141" s="1147"/>
      <c r="CU141" s="1147"/>
      <c r="CV141" s="1147"/>
      <c r="CW141" s="1147"/>
      <c r="CX141" s="1147"/>
      <c r="CY141" s="1147"/>
      <c r="CZ141" s="1147"/>
      <c r="DA141" s="1147"/>
      <c r="DB141" s="1147"/>
      <c r="DC141" s="1147"/>
      <c r="DD141" s="1147"/>
      <c r="DE141" s="1147"/>
      <c r="DF141" s="1147"/>
      <c r="DG141" s="1147"/>
      <c r="DH141" s="1147"/>
      <c r="DI141" s="1147"/>
      <c r="DJ141" s="1147"/>
      <c r="DK141" s="1147"/>
      <c r="DL141" s="1147"/>
      <c r="DM141" s="1147"/>
      <c r="DN141" s="1147"/>
      <c r="DO141" s="1147"/>
      <c r="DP141" s="1147"/>
      <c r="DQ141" s="1147"/>
      <c r="DR141" s="1147"/>
      <c r="DS141" s="1147"/>
      <c r="DT141" s="1147"/>
      <c r="DU141" s="1147"/>
      <c r="DV141" s="1147"/>
      <c r="DW141" s="1147"/>
      <c r="DX141" s="1147"/>
      <c r="DY141" s="1147"/>
      <c r="DZ141" s="1147"/>
      <c r="EA141" s="1147"/>
      <c r="EB141" s="1147"/>
      <c r="EC141" s="1147"/>
      <c r="ED141" s="1147"/>
      <c r="EE141" s="1147"/>
      <c r="EF141" s="1147"/>
      <c r="EG141" s="1147"/>
      <c r="EH141" s="1147"/>
      <c r="EI141" s="1147"/>
      <c r="EJ141" s="1147"/>
      <c r="EK141" s="1147"/>
      <c r="EL141" s="1147"/>
      <c r="EM141" s="1147"/>
      <c r="EN141" s="1147"/>
      <c r="EO141" s="1147"/>
      <c r="EP141" s="1147"/>
      <c r="EQ141" s="1147"/>
      <c r="ER141" s="1147"/>
      <c r="ES141" s="1147"/>
      <c r="ET141" s="1147"/>
      <c r="EU141" s="1147"/>
      <c r="EV141" s="1147"/>
      <c r="EW141" s="1147"/>
      <c r="EX141" s="1147"/>
      <c r="EY141" s="1147"/>
      <c r="EZ141" s="1147"/>
      <c r="FA141" s="1147"/>
      <c r="FB141" s="1147"/>
      <c r="FC141" s="1147"/>
      <c r="FD141" s="1147"/>
      <c r="FE141" s="1147"/>
      <c r="FF141" s="1147"/>
      <c r="FG141" s="1147"/>
      <c r="FH141" s="1147"/>
      <c r="FI141" s="1147"/>
      <c r="FJ141" s="1147"/>
      <c r="FK141" s="1147"/>
      <c r="FL141" s="1147"/>
      <c r="FM141" s="1147"/>
      <c r="FN141" s="1147"/>
      <c r="FO141" s="1147"/>
      <c r="FP141" s="1147"/>
      <c r="FQ141" s="1147"/>
      <c r="FR141" s="1147"/>
      <c r="FS141" s="1147"/>
      <c r="FT141" s="1147"/>
      <c r="FU141" s="1147"/>
      <c r="FV141" s="1147"/>
      <c r="FW141" s="1147"/>
      <c r="FX141" s="1147"/>
      <c r="FY141" s="1147"/>
      <c r="FZ141" s="1147"/>
      <c r="GA141" s="1147"/>
      <c r="GB141" s="1147"/>
      <c r="GC141" s="1147"/>
    </row>
    <row r="142" spans="1:185" ht="13.5" hidden="1" customHeight="1" outlineLevel="1">
      <c r="A142" s="1065"/>
      <c r="B142" s="1065"/>
      <c r="C142" s="1065"/>
      <c r="D142" s="1065"/>
      <c r="E142" s="1065"/>
      <c r="F142" s="1065"/>
      <c r="G142" s="1065"/>
      <c r="H142" s="1065"/>
      <c r="I142" s="1065"/>
      <c r="J142" s="1065"/>
      <c r="K142" s="1065"/>
      <c r="L142" s="1065"/>
    </row>
    <row r="143" spans="1:185" ht="13.5" hidden="1" customHeight="1" outlineLevel="1">
      <c r="A143" s="1065"/>
      <c r="B143" s="1074" t="s">
        <v>1273</v>
      </c>
      <c r="C143" s="1065"/>
      <c r="D143" s="1074"/>
      <c r="E143" s="1065"/>
      <c r="F143" s="1065"/>
      <c r="G143" s="1065"/>
      <c r="H143" s="1065"/>
      <c r="I143" s="1065"/>
      <c r="J143" s="1065"/>
      <c r="K143" s="1065"/>
      <c r="L143" s="1065"/>
    </row>
    <row r="144" spans="1:185" ht="13.5" hidden="1" customHeight="1" outlineLevel="1">
      <c r="A144" s="1065"/>
      <c r="B144" s="1505" t="s">
        <v>1398</v>
      </c>
      <c r="C144" s="1506"/>
      <c r="D144" s="1074"/>
      <c r="E144" s="808" t="str">
        <f>'Menus déroulants'!C15</f>
        <v>EEM1 - Thermal insulation</v>
      </c>
      <c r="F144" s="808" t="str">
        <f>'Menus déroulants'!C16</f>
        <v>EEM2 - Micromodulation</v>
      </c>
      <c r="G144" s="1065"/>
      <c r="H144" s="808" t="str">
        <f>'Menus déroulants'!C17</f>
        <v>EEM3 - Combustion oxygen trim</v>
      </c>
      <c r="I144" s="1065"/>
      <c r="J144" s="1065"/>
      <c r="K144" s="1065"/>
      <c r="L144" s="1065"/>
    </row>
    <row r="145" spans="1:12" ht="13.5" hidden="1" customHeight="1" outlineLevel="1">
      <c r="A145" s="1065"/>
      <c r="B145" s="1596" t="str">
        <f>'Menus déroulants'!E15</f>
        <v>Boiler #1</v>
      </c>
      <c r="C145" s="1597"/>
      <c r="D145" s="1074"/>
      <c r="E145" s="1149"/>
      <c r="F145" s="1143">
        <f>IFERROR(VLOOKUP($F$144&amp;B145,$D$17:$G$126,4,FALSE),0)</f>
        <v>0</v>
      </c>
      <c r="G145" s="1065"/>
      <c r="H145" s="1143">
        <f>IFERROR(VLOOKUP($H$144&amp;B145,$D$17:$G$126,4,FALSE),0)</f>
        <v>0</v>
      </c>
      <c r="I145" s="1065"/>
      <c r="J145" s="1065"/>
      <c r="K145" s="1065"/>
      <c r="L145" s="1065"/>
    </row>
    <row r="146" spans="1:12" ht="13.5" hidden="1" customHeight="1" outlineLevel="1">
      <c r="A146" s="1065"/>
      <c r="B146" s="1596" t="str">
        <f>'Menus déroulants'!E16</f>
        <v>Boiler #2</v>
      </c>
      <c r="C146" s="1597"/>
      <c r="D146" s="1074"/>
      <c r="E146" s="1149"/>
      <c r="F146" s="1143">
        <f>IFERROR(VLOOKUP($F$144&amp;B146,$D$17:$G$126,4,FALSE),0)</f>
        <v>0</v>
      </c>
      <c r="G146" s="1065"/>
      <c r="H146" s="1143">
        <f>IFERROR(VLOOKUP($H$144&amp;B146,$D$17:$G$126,4,FALSE),0)</f>
        <v>0</v>
      </c>
      <c r="I146" s="1065"/>
      <c r="J146" s="1065"/>
      <c r="K146" s="1065"/>
      <c r="L146" s="1065"/>
    </row>
    <row r="147" spans="1:12" ht="13.5" hidden="1" customHeight="1" outlineLevel="1">
      <c r="A147" s="1065"/>
      <c r="B147" s="1596" t="str">
        <f>'Menus déroulants'!E17</f>
        <v>Boiler #3</v>
      </c>
      <c r="C147" s="1597"/>
      <c r="D147" s="1074"/>
      <c r="E147" s="1149"/>
      <c r="F147" s="1143">
        <f>IFERROR(VLOOKUP($F$144&amp;B147,$D$17:$G$126,4,FALSE),0)</f>
        <v>0</v>
      </c>
      <c r="G147" s="1065"/>
      <c r="H147" s="1143">
        <f>IFERROR(VLOOKUP($H$144&amp;B147,$D$17:$G$126,4,FALSE),0)</f>
        <v>0</v>
      </c>
      <c r="I147" s="1065"/>
      <c r="J147" s="1065"/>
      <c r="K147" s="1065"/>
      <c r="L147" s="1065"/>
    </row>
    <row r="148" spans="1:12" ht="13.5" hidden="1" customHeight="1" outlineLevel="1">
      <c r="A148" s="1065"/>
      <c r="B148" s="1596" t="str">
        <f>'Menus déroulants'!E18</f>
        <v>Boiler #4</v>
      </c>
      <c r="C148" s="1597"/>
      <c r="D148" s="1074"/>
      <c r="E148" s="1149"/>
      <c r="F148" s="1143">
        <f>IFERROR(VLOOKUP($F$144&amp;B148,$D$17:$G$126,4,FALSE),0)</f>
        <v>0</v>
      </c>
      <c r="G148" s="1065"/>
      <c r="H148" s="1143">
        <f>IFERROR(VLOOKUP($H$144&amp;B148,$D$17:$G$126,4,FALSE),0)</f>
        <v>0</v>
      </c>
      <c r="I148" s="1065"/>
      <c r="J148" s="1065"/>
      <c r="K148" s="1065"/>
      <c r="L148" s="1065"/>
    </row>
    <row r="149" spans="1:12" ht="13.5" customHeight="1" collapsed="1">
      <c r="A149" s="1065"/>
      <c r="B149" s="1065"/>
      <c r="C149" s="1065"/>
      <c r="D149" s="1065"/>
      <c r="E149" s="1065"/>
      <c r="F149" s="1065"/>
      <c r="G149" s="1065"/>
      <c r="H149" s="1065"/>
      <c r="I149" s="1065"/>
      <c r="J149" s="1065"/>
      <c r="K149" s="1065"/>
      <c r="L149" s="1065"/>
    </row>
    <row r="150" spans="1:12" s="1066" customFormat="1"/>
    <row r="151" spans="1:12" s="1066" customFormat="1"/>
    <row r="152" spans="1:12" s="1066" customFormat="1"/>
    <row r="153" spans="1:12" s="1066" customFormat="1"/>
    <row r="154" spans="1:12" s="1066" customFormat="1"/>
    <row r="155" spans="1:12" s="1066" customFormat="1"/>
    <row r="156" spans="1:12" s="1066" customFormat="1"/>
    <row r="157" spans="1:12" s="1066" customFormat="1"/>
    <row r="158" spans="1:12" s="1066" customFormat="1"/>
    <row r="159" spans="1:12" s="1066" customFormat="1"/>
    <row r="160" spans="1:12" s="1066" customFormat="1"/>
    <row r="161" s="1066" customFormat="1"/>
    <row r="162" s="1066" customFormat="1"/>
    <row r="163" s="1066" customFormat="1"/>
    <row r="164" s="1066" customFormat="1"/>
    <row r="165" s="1066" customFormat="1"/>
    <row r="166" s="1066" customFormat="1"/>
    <row r="167" s="1066" customFormat="1"/>
    <row r="168" s="1066" customFormat="1"/>
    <row r="169" s="1066" customFormat="1"/>
    <row r="170" s="1066" customFormat="1"/>
    <row r="171" s="1066" customFormat="1"/>
    <row r="172" s="1066" customFormat="1"/>
    <row r="173" s="1066" customFormat="1"/>
    <row r="174" s="1066" customFormat="1"/>
    <row r="175" s="1066" customFormat="1"/>
    <row r="176" s="1066" customFormat="1"/>
    <row r="177" s="1066" customFormat="1"/>
    <row r="178" s="1066" customFormat="1"/>
    <row r="179" s="1066" customFormat="1"/>
    <row r="180" s="1066" customFormat="1"/>
    <row r="181" s="1066" customFormat="1"/>
    <row r="182" s="1066" customFormat="1"/>
    <row r="183" s="1066" customFormat="1"/>
    <row r="184" s="1066" customFormat="1"/>
    <row r="185" s="1066" customFormat="1"/>
    <row r="186" s="1066" customFormat="1"/>
    <row r="187" s="1066" customFormat="1"/>
    <row r="188" s="1066" customFormat="1"/>
    <row r="189" s="1066" customFormat="1"/>
    <row r="190" s="1066" customFormat="1"/>
    <row r="191" s="1066" customFormat="1"/>
    <row r="192" s="1066" customFormat="1"/>
    <row r="193" s="1066" customFormat="1"/>
    <row r="194" s="1066" customFormat="1"/>
    <row r="195" s="1066" customFormat="1"/>
    <row r="196" s="1066" customFormat="1"/>
    <row r="197" s="1066" customFormat="1"/>
    <row r="198" s="1066" customFormat="1"/>
    <row r="199" s="1066" customFormat="1"/>
    <row r="200" s="1066" customFormat="1"/>
    <row r="201" s="1066" customFormat="1"/>
    <row r="202" s="1066" customFormat="1"/>
    <row r="203" s="1066" customFormat="1"/>
    <row r="204" s="1066" customFormat="1"/>
    <row r="205" s="1066" customFormat="1"/>
    <row r="206" s="1066" customFormat="1"/>
    <row r="207" s="1066" customFormat="1"/>
    <row r="208" s="1066" customFormat="1"/>
    <row r="209" s="1066" customFormat="1"/>
    <row r="210" s="1066" customFormat="1"/>
    <row r="211" s="1066" customFormat="1"/>
    <row r="212" s="1066" customFormat="1"/>
    <row r="213" s="1066" customFormat="1"/>
    <row r="214" s="1066" customFormat="1"/>
    <row r="215" s="1066" customFormat="1"/>
    <row r="216" s="1066" customFormat="1"/>
    <row r="217" s="1066" customFormat="1"/>
    <row r="218" s="1066" customFormat="1"/>
    <row r="219" s="1066" customFormat="1"/>
    <row r="220" s="1066" customFormat="1"/>
    <row r="221" s="1066" customFormat="1"/>
    <row r="222" s="1066" customFormat="1"/>
    <row r="223" s="1066" customFormat="1"/>
    <row r="224" s="1066" customFormat="1"/>
    <row r="225" s="1066" customFormat="1"/>
    <row r="226" s="1066" customFormat="1"/>
    <row r="227" s="1066" customFormat="1"/>
    <row r="228" s="1066" customFormat="1"/>
    <row r="229" s="1066" customFormat="1"/>
    <row r="230" s="1066" customFormat="1"/>
    <row r="231" s="1066" customFormat="1"/>
    <row r="232" s="1066" customFormat="1"/>
    <row r="233" s="1066" customFormat="1"/>
    <row r="234" s="1066" customFormat="1"/>
    <row r="235" s="1066" customFormat="1"/>
    <row r="236" s="1066" customFormat="1"/>
    <row r="237" s="1066" customFormat="1"/>
    <row r="238" s="1066" customFormat="1"/>
    <row r="239" s="1066" customFormat="1"/>
    <row r="240" s="1066" customFormat="1"/>
    <row r="241" s="1066" customFormat="1"/>
    <row r="242" s="1066" customFormat="1"/>
    <row r="243" s="1066" customFormat="1"/>
    <row r="244" s="1066" customFormat="1"/>
    <row r="245" s="1066" customFormat="1"/>
    <row r="246" s="1066" customFormat="1"/>
    <row r="247" s="1066" customFormat="1"/>
    <row r="248" s="1066" customFormat="1"/>
    <row r="249" s="1066" customFormat="1"/>
    <row r="250" s="1066" customFormat="1"/>
    <row r="251" s="1066" customFormat="1"/>
    <row r="252" s="1066" customFormat="1"/>
    <row r="253" s="1066" customFormat="1"/>
    <row r="254" s="1066" customFormat="1"/>
    <row r="255" s="1066" customFormat="1"/>
    <row r="256" s="1066" customFormat="1"/>
    <row r="257" s="1066" customFormat="1"/>
    <row r="258" s="1066" customFormat="1"/>
    <row r="259" s="1066" customFormat="1"/>
    <row r="260" s="1066" customFormat="1"/>
    <row r="261" s="1066" customFormat="1"/>
    <row r="262" s="1066" customFormat="1"/>
    <row r="263" s="1066" customFormat="1"/>
    <row r="264" s="1066" customFormat="1"/>
    <row r="265" s="1066" customFormat="1"/>
    <row r="266" s="1066" customFormat="1"/>
    <row r="267" s="1066" customFormat="1"/>
    <row r="268" s="1066" customFormat="1"/>
    <row r="269" s="1066" customFormat="1"/>
    <row r="270" s="1066" customFormat="1"/>
    <row r="271" s="1066" customFormat="1"/>
    <row r="272" s="1066" customFormat="1"/>
    <row r="273" s="1066" customFormat="1"/>
    <row r="274" s="1066" customFormat="1"/>
    <row r="275" s="1066" customFormat="1"/>
    <row r="276" s="1066" customFormat="1"/>
    <row r="277" s="1066" customFormat="1"/>
    <row r="278" s="1066" customFormat="1"/>
    <row r="279" s="1066" customFormat="1"/>
    <row r="280" s="1066" customFormat="1"/>
    <row r="281" s="1066" customFormat="1"/>
    <row r="282" s="1066" customFormat="1"/>
    <row r="283" s="1066" customFormat="1"/>
    <row r="284" s="1066" customFormat="1"/>
    <row r="285" s="1066" customFormat="1"/>
    <row r="286" s="1066" customFormat="1"/>
    <row r="287" s="1066" customFormat="1"/>
    <row r="288" s="1066" customFormat="1"/>
    <row r="289" s="1066" customFormat="1"/>
    <row r="290" s="1066" customFormat="1"/>
    <row r="291" s="1066" customFormat="1"/>
    <row r="292" s="1066" customFormat="1"/>
    <row r="293" s="1066" customFormat="1"/>
    <row r="294" s="1066" customFormat="1"/>
    <row r="295" s="1066" customFormat="1"/>
    <row r="296" s="1066" customFormat="1"/>
    <row r="297" s="1066" customFormat="1"/>
    <row r="298" s="1066" customFormat="1"/>
    <row r="299" s="1066" customFormat="1"/>
    <row r="300" s="1066" customFormat="1"/>
    <row r="301" s="1066" customFormat="1"/>
    <row r="302" s="1066" customFormat="1"/>
    <row r="303" s="1066" customFormat="1"/>
    <row r="304" s="1066" customFormat="1"/>
    <row r="305" s="1066" customFormat="1"/>
    <row r="306" s="1066" customFormat="1"/>
    <row r="307" s="1066" customFormat="1"/>
    <row r="308" s="1066" customFormat="1"/>
    <row r="309" s="1066" customFormat="1"/>
    <row r="310" s="1066" customFormat="1"/>
    <row r="311" s="1066" customFormat="1"/>
    <row r="312" s="1066" customFormat="1"/>
    <row r="313" s="1066" customFormat="1"/>
    <row r="314" s="1066" customFormat="1"/>
    <row r="315" s="1066" customFormat="1"/>
    <row r="316" s="1066" customFormat="1"/>
    <row r="317" s="1066" customFormat="1"/>
    <row r="318" s="1066" customFormat="1"/>
    <row r="319" s="1066" customFormat="1"/>
    <row r="320" s="1066" customFormat="1"/>
    <row r="321" s="1066" customFormat="1"/>
    <row r="322" s="1066" customFormat="1"/>
    <row r="323" s="1066" customFormat="1"/>
    <row r="324" s="1066" customFormat="1"/>
    <row r="325" s="1066" customFormat="1"/>
    <row r="326" s="1066" customFormat="1"/>
    <row r="327" s="1066" customFormat="1"/>
    <row r="328" s="1066" customFormat="1"/>
    <row r="329" s="1066" customFormat="1"/>
    <row r="330" s="1066" customFormat="1"/>
    <row r="331" s="1066" customFormat="1"/>
    <row r="332" s="1066" customFormat="1"/>
    <row r="333" s="1066" customFormat="1"/>
    <row r="334" s="1066" customFormat="1"/>
    <row r="335" s="1066" customFormat="1"/>
    <row r="336" s="1066" customFormat="1"/>
    <row r="337" s="1066" customFormat="1"/>
    <row r="338" s="1066" customFormat="1"/>
    <row r="339" s="1066" customFormat="1"/>
    <row r="340" s="1066" customFormat="1"/>
    <row r="341" s="1066" customFormat="1"/>
    <row r="342" s="1066" customFormat="1"/>
    <row r="343" s="1066" customFormat="1"/>
    <row r="344" s="1066" customFormat="1"/>
    <row r="345" s="1066" customFormat="1"/>
    <row r="346" s="1066" customFormat="1"/>
    <row r="347" s="1066" customFormat="1"/>
    <row r="348" s="1066" customFormat="1"/>
    <row r="349" s="1066" customFormat="1"/>
    <row r="350" s="1066" customFormat="1"/>
    <row r="351" s="1066" customFormat="1"/>
    <row r="352" s="1066" customFormat="1"/>
    <row r="353" s="1066" customFormat="1"/>
    <row r="354" s="1066" customFormat="1"/>
    <row r="355" s="1066" customFormat="1"/>
    <row r="356" s="1066" customFormat="1"/>
    <row r="357" s="1066" customFormat="1"/>
    <row r="358" s="1066" customFormat="1"/>
    <row r="359" s="1066" customFormat="1"/>
    <row r="360" s="1066" customFormat="1"/>
    <row r="361" s="1066" customFormat="1"/>
    <row r="362" s="1066" customFormat="1"/>
    <row r="363" s="1066" customFormat="1"/>
    <row r="364" s="1066" customFormat="1"/>
    <row r="365" s="1066" customFormat="1"/>
    <row r="366" s="1066" customFormat="1"/>
    <row r="367" s="1066" customFormat="1"/>
    <row r="368" s="1066" customFormat="1"/>
    <row r="369" s="1066" customFormat="1"/>
    <row r="370" s="1066" customFormat="1"/>
    <row r="371" s="1066" customFormat="1"/>
    <row r="372" s="1066" customFormat="1"/>
    <row r="373" s="1066" customFormat="1"/>
    <row r="374" s="1066" customFormat="1"/>
    <row r="375" s="1066" customFormat="1"/>
    <row r="376" s="1066" customFormat="1"/>
    <row r="377" s="1066" customFormat="1"/>
    <row r="378" s="1066" customFormat="1"/>
    <row r="379" s="1066" customFormat="1"/>
    <row r="380" s="1066" customFormat="1"/>
    <row r="381" s="1066" customFormat="1"/>
    <row r="382" s="1066" customFormat="1"/>
    <row r="383" s="1066" customFormat="1"/>
    <row r="384" s="1066" customFormat="1"/>
    <row r="385" s="1066" customFormat="1"/>
    <row r="386" s="1066" customFormat="1"/>
    <row r="387" s="1066" customFormat="1"/>
    <row r="388" s="1066" customFormat="1"/>
    <row r="389" s="1066" customFormat="1"/>
    <row r="390" s="1066" customFormat="1"/>
    <row r="391" s="1066" customFormat="1"/>
    <row r="392" s="1066" customFormat="1"/>
    <row r="393" s="1066" customFormat="1"/>
    <row r="394" s="1066" customFormat="1"/>
    <row r="395" s="1066" customFormat="1"/>
    <row r="396" s="1066" customFormat="1"/>
    <row r="397" s="1066" customFormat="1"/>
    <row r="398" s="1066" customFormat="1"/>
    <row r="399" s="1066" customFormat="1"/>
    <row r="400" s="1066" customFormat="1"/>
    <row r="401" s="1066" customFormat="1"/>
    <row r="402" s="1066" customFormat="1"/>
    <row r="403" s="1066" customFormat="1"/>
    <row r="404" s="1066" customFormat="1"/>
    <row r="405" s="1066" customFormat="1"/>
    <row r="406" s="1066" customFormat="1"/>
    <row r="407" s="1066" customFormat="1"/>
    <row r="408" s="1066" customFormat="1"/>
    <row r="409" s="1066" customFormat="1"/>
    <row r="410" s="1066" customFormat="1"/>
    <row r="411" s="1066" customFormat="1"/>
    <row r="412" s="1066" customFormat="1"/>
    <row r="413" s="1066" customFormat="1"/>
    <row r="414" s="1066" customFormat="1"/>
    <row r="415" s="1066" customFormat="1"/>
    <row r="416" s="1066" customFormat="1"/>
    <row r="417" s="1066" customFormat="1"/>
    <row r="418" s="1066" customFormat="1"/>
    <row r="419" s="1066" customFormat="1"/>
    <row r="420" s="1066" customFormat="1"/>
    <row r="421" s="1066" customFormat="1"/>
    <row r="422" s="1066" customFormat="1"/>
    <row r="423" s="1066" customFormat="1"/>
    <row r="424" s="1066" customFormat="1"/>
    <row r="425" s="1066" customFormat="1"/>
    <row r="426" s="1066" customFormat="1"/>
    <row r="427" s="1066" customFormat="1"/>
    <row r="428" s="1066" customFormat="1"/>
    <row r="429" s="1066" customFormat="1"/>
    <row r="430" s="1066" customFormat="1"/>
    <row r="431" s="1066" customFormat="1"/>
    <row r="432" s="1066" customFormat="1"/>
    <row r="433" s="1066" customFormat="1"/>
    <row r="434" s="1066" customFormat="1"/>
    <row r="435" s="1066" customFormat="1"/>
    <row r="436" s="1066" customFormat="1"/>
    <row r="437" s="1066" customFormat="1"/>
    <row r="438" s="1066" customFormat="1"/>
    <row r="439" s="1066" customFormat="1"/>
    <row r="440" s="1066" customFormat="1"/>
    <row r="441" s="1066" customFormat="1"/>
    <row r="442" s="1066" customFormat="1"/>
    <row r="443" s="1066" customFormat="1"/>
    <row r="444" s="1066" customFormat="1"/>
    <row r="445" s="1066" customFormat="1"/>
    <row r="446" s="1066" customFormat="1"/>
    <row r="447" s="1066" customFormat="1"/>
    <row r="448" s="1066" customFormat="1"/>
    <row r="449" s="1066" customFormat="1"/>
    <row r="450" s="1066" customFormat="1"/>
    <row r="451" s="1066" customFormat="1"/>
    <row r="452" s="1066" customFormat="1"/>
    <row r="453" s="1066" customFormat="1"/>
    <row r="454" s="1066" customFormat="1"/>
    <row r="455" s="1066" customFormat="1"/>
    <row r="456" s="1066" customFormat="1"/>
    <row r="457" s="1066" customFormat="1"/>
    <row r="458" s="1066" customFormat="1"/>
    <row r="459" s="1066" customFormat="1"/>
    <row r="460" s="1066" customFormat="1"/>
    <row r="461" s="1066" customFormat="1"/>
    <row r="462" s="1066" customFormat="1"/>
    <row r="463" s="1066" customFormat="1"/>
    <row r="464" s="1066" customFormat="1"/>
    <row r="465" s="1066" customFormat="1"/>
    <row r="466" s="1066" customFormat="1"/>
    <row r="467" s="1066" customFormat="1"/>
    <row r="468" s="1066" customFormat="1"/>
    <row r="469" s="1066" customFormat="1"/>
    <row r="470" s="1066" customFormat="1"/>
    <row r="471" s="1066" customFormat="1"/>
    <row r="472" s="1066" customFormat="1"/>
    <row r="473" s="1066" customFormat="1"/>
    <row r="474" s="1066" customFormat="1"/>
    <row r="475" s="1066" customFormat="1"/>
    <row r="476" s="1066" customFormat="1"/>
    <row r="477" s="1066" customFormat="1"/>
    <row r="478" s="1066" customFormat="1"/>
    <row r="479" s="1066" customFormat="1"/>
    <row r="480" s="1066" customFormat="1"/>
    <row r="481" s="1066" customFormat="1"/>
    <row r="482" s="1066" customFormat="1"/>
    <row r="483" s="1066" customFormat="1"/>
    <row r="484" s="1066" customFormat="1"/>
    <row r="485" s="1066" customFormat="1"/>
    <row r="486" s="1066" customFormat="1"/>
    <row r="487" s="1066" customFormat="1"/>
    <row r="488" s="1066" customFormat="1"/>
    <row r="489" s="1066" customFormat="1"/>
    <row r="490" s="1066" customFormat="1"/>
    <row r="491" s="1066" customFormat="1"/>
    <row r="492" s="1066" customFormat="1"/>
    <row r="493" s="1066" customFormat="1"/>
    <row r="494" s="1066" customFormat="1"/>
    <row r="495" s="1066" customFormat="1"/>
    <row r="496" s="1066" customFormat="1"/>
    <row r="497" s="1066" customFormat="1"/>
    <row r="498" s="1066" customFormat="1"/>
    <row r="499" s="1066" customFormat="1"/>
    <row r="500" s="1066" customFormat="1"/>
    <row r="501" s="1066" customFormat="1"/>
    <row r="502" s="1066" customFormat="1"/>
    <row r="503" s="1066" customFormat="1"/>
    <row r="504" s="1066" customFormat="1"/>
    <row r="505" s="1066" customFormat="1"/>
    <row r="506" s="1066" customFormat="1"/>
    <row r="507" s="1066" customFormat="1"/>
    <row r="508" s="1066" customFormat="1"/>
    <row r="509" s="1066" customFormat="1"/>
    <row r="510" s="1066" customFormat="1"/>
    <row r="511" s="1066" customFormat="1"/>
    <row r="512" s="1066" customFormat="1"/>
    <row r="513" s="1066" customFormat="1"/>
    <row r="514" s="1066" customFormat="1"/>
    <row r="515" s="1066" customFormat="1"/>
    <row r="516" s="1066" customFormat="1"/>
    <row r="517" s="1066" customFormat="1"/>
    <row r="518" s="1066" customFormat="1"/>
    <row r="519" s="1066" customFormat="1"/>
    <row r="520" s="1066" customFormat="1"/>
    <row r="521" s="1066" customFormat="1"/>
    <row r="522" s="1066" customFormat="1"/>
    <row r="523" s="1066" customFormat="1"/>
    <row r="524" s="1066" customFormat="1"/>
    <row r="525" s="1066" customFormat="1"/>
    <row r="526" s="1066" customFormat="1"/>
    <row r="527" s="1066" customFormat="1"/>
    <row r="528" s="1066" customFormat="1"/>
    <row r="529" s="1066" customFormat="1"/>
    <row r="530" s="1066" customFormat="1"/>
    <row r="531" s="1066" customFormat="1"/>
    <row r="532" s="1066" customFormat="1"/>
    <row r="533" s="1066" customFormat="1"/>
    <row r="534" s="1066" customFormat="1"/>
    <row r="535" s="1066" customFormat="1"/>
    <row r="536" s="1066" customFormat="1"/>
    <row r="537" s="1066" customFormat="1"/>
    <row r="538" s="1066" customFormat="1"/>
    <row r="539" s="1066" customFormat="1"/>
    <row r="540" s="1066" customFormat="1"/>
    <row r="541" s="1066" customFormat="1"/>
    <row r="542" s="1066" customFormat="1"/>
    <row r="543" s="1066" customFormat="1"/>
    <row r="544" s="1066" customFormat="1"/>
    <row r="545" s="1066" customFormat="1"/>
    <row r="546" s="1066" customFormat="1"/>
    <row r="547" s="1066" customFormat="1"/>
    <row r="548" s="1066" customFormat="1"/>
    <row r="549" s="1066" customFormat="1"/>
    <row r="550" s="1066" customFormat="1"/>
    <row r="551" s="1066" customFormat="1"/>
    <row r="552" s="1066" customFormat="1"/>
    <row r="553" s="1066" customFormat="1"/>
    <row r="554" s="1066" customFormat="1"/>
    <row r="555" s="1066" customFormat="1"/>
    <row r="556" s="1066" customFormat="1"/>
    <row r="557" s="1066" customFormat="1"/>
    <row r="558" s="1066" customFormat="1"/>
    <row r="559" s="1066" customFormat="1"/>
    <row r="560" s="1066" customFormat="1"/>
    <row r="561" s="1066" customFormat="1"/>
    <row r="562" s="1066" customFormat="1"/>
    <row r="563" s="1066" customFormat="1"/>
    <row r="564" s="1066" customFormat="1"/>
    <row r="565" s="1066" customFormat="1"/>
    <row r="566" s="1066" customFormat="1"/>
    <row r="567" s="1066" customFormat="1"/>
    <row r="568" s="1066" customFormat="1"/>
    <row r="569" s="1066" customFormat="1"/>
    <row r="570" s="1066" customFormat="1"/>
    <row r="571" s="1066" customFormat="1"/>
    <row r="572" s="1066" customFormat="1"/>
    <row r="573" s="1066" customFormat="1"/>
    <row r="574" s="1066" customFormat="1"/>
    <row r="575" s="1066" customFormat="1"/>
    <row r="576" s="1066" customFormat="1"/>
    <row r="577" s="1066" customFormat="1"/>
    <row r="578" s="1066" customFormat="1"/>
    <row r="579" s="1066" customFormat="1"/>
    <row r="580" s="1066" customFormat="1"/>
    <row r="581" s="1066" customFormat="1"/>
    <row r="582" s="1066" customFormat="1"/>
    <row r="583" s="1066" customFormat="1"/>
    <row r="584" s="1066" customFormat="1"/>
    <row r="585" s="1066" customFormat="1"/>
    <row r="586" s="1066" customFormat="1"/>
    <row r="587" s="1066" customFormat="1"/>
    <row r="588" s="1066" customFormat="1"/>
    <row r="589" s="1066" customFormat="1"/>
    <row r="590" s="1066" customFormat="1"/>
    <row r="591" s="1066" customFormat="1"/>
    <row r="592" s="1066" customFormat="1"/>
    <row r="593" s="1066" customFormat="1"/>
    <row r="594" s="1066" customFormat="1"/>
    <row r="595" s="1066" customFormat="1"/>
    <row r="596" s="1066" customFormat="1"/>
    <row r="597" s="1066" customFormat="1"/>
    <row r="598" s="1066" customFormat="1"/>
    <row r="599" s="1066" customFormat="1"/>
    <row r="600" s="1066" customFormat="1"/>
    <row r="601" s="1066" customFormat="1"/>
    <row r="602" s="1066" customFormat="1"/>
    <row r="603" s="1066" customFormat="1"/>
    <row r="604" s="1066" customFormat="1"/>
    <row r="605" s="1066" customFormat="1"/>
    <row r="606" s="1066" customFormat="1"/>
    <row r="607" s="1066" customFormat="1"/>
    <row r="608" s="1066" customFormat="1"/>
    <row r="609" s="1066" customFormat="1"/>
    <row r="610" s="1066" customFormat="1"/>
    <row r="611" s="1066" customFormat="1"/>
    <row r="612" s="1066" customFormat="1"/>
    <row r="613" s="1066" customFormat="1"/>
    <row r="614" s="1066" customFormat="1"/>
    <row r="615" s="1066" customFormat="1"/>
    <row r="616" s="1066" customFormat="1"/>
    <row r="617" s="1066" customFormat="1"/>
    <row r="618" s="1066" customFormat="1"/>
    <row r="619" s="1066" customFormat="1"/>
    <row r="620" s="1066" customFormat="1"/>
    <row r="621" s="1066" customFormat="1"/>
    <row r="622" s="1066" customFormat="1"/>
    <row r="623" s="1066" customFormat="1"/>
    <row r="624" s="1066" customFormat="1"/>
    <row r="625" s="1066" customFormat="1"/>
    <row r="626" s="1066" customFormat="1"/>
    <row r="627" s="1066" customFormat="1"/>
    <row r="628" s="1066" customFormat="1"/>
    <row r="629" s="1066" customFormat="1"/>
    <row r="630" s="1066" customFormat="1"/>
    <row r="631" s="1066" customFormat="1"/>
    <row r="632" s="1066" customFormat="1"/>
    <row r="633" s="1066" customFormat="1"/>
    <row r="634" s="1066" customFormat="1"/>
    <row r="635" s="1066" customFormat="1"/>
    <row r="636" s="1066" customFormat="1"/>
    <row r="637" s="1066" customFormat="1"/>
    <row r="638" s="1066" customFormat="1"/>
    <row r="639" s="1066" customFormat="1"/>
    <row r="640" s="1066" customFormat="1"/>
    <row r="641" s="1066" customFormat="1"/>
    <row r="642" s="1066" customFormat="1"/>
    <row r="643" s="1066" customFormat="1"/>
    <row r="644" s="1066" customFormat="1"/>
    <row r="645" s="1066" customFormat="1"/>
    <row r="646" s="1066" customFormat="1"/>
    <row r="647" s="1066" customFormat="1"/>
    <row r="648" s="1066" customFormat="1"/>
    <row r="649" s="1066" customFormat="1"/>
    <row r="650" s="1066" customFormat="1"/>
    <row r="651" s="1066" customFormat="1"/>
    <row r="652" s="1066" customFormat="1"/>
    <row r="653" s="1066" customFormat="1"/>
    <row r="654" s="1066" customFormat="1"/>
    <row r="655" s="1066" customFormat="1"/>
    <row r="656" s="1066" customFormat="1"/>
    <row r="657" s="1066" customFormat="1"/>
    <row r="658" s="1066" customFormat="1"/>
    <row r="659" s="1066" customFormat="1"/>
    <row r="660" s="1066" customFormat="1"/>
    <row r="661" s="1066" customFormat="1"/>
    <row r="662" s="1066" customFormat="1"/>
    <row r="663" s="1066" customFormat="1"/>
    <row r="664" s="1066" customFormat="1"/>
    <row r="665" s="1066" customFormat="1"/>
    <row r="666" s="1066" customFormat="1"/>
    <row r="667" s="1066" customFormat="1"/>
    <row r="668" s="1066" customFormat="1"/>
    <row r="669" s="1066" customFormat="1"/>
    <row r="670" s="1066" customFormat="1"/>
    <row r="671" s="1066" customFormat="1"/>
    <row r="672" s="1066" customFormat="1"/>
    <row r="673" s="1066" customFormat="1"/>
    <row r="674" s="1066" customFormat="1"/>
    <row r="675" s="1066" customFormat="1"/>
    <row r="676" s="1066" customFormat="1"/>
    <row r="677" s="1066" customFormat="1"/>
    <row r="678" s="1066" customFormat="1"/>
    <row r="679" s="1066" customFormat="1"/>
    <row r="680" s="1066" customFormat="1"/>
    <row r="681" s="1066" customFormat="1"/>
    <row r="682" s="1066" customFormat="1"/>
    <row r="683" s="1066" customFormat="1"/>
    <row r="684" s="1066" customFormat="1"/>
    <row r="685" s="1066" customFormat="1"/>
    <row r="686" s="1066" customFormat="1"/>
    <row r="687" s="1066" customFormat="1"/>
    <row r="688" s="1066" customFormat="1"/>
    <row r="689" s="1066" customFormat="1"/>
    <row r="690" s="1066" customFormat="1"/>
    <row r="691" s="1066" customFormat="1"/>
    <row r="692" s="1066" customFormat="1"/>
    <row r="693" s="1066" customFormat="1"/>
    <row r="694" s="1066" customFormat="1"/>
    <row r="695" s="1066" customFormat="1"/>
    <row r="696" s="1066" customFormat="1"/>
    <row r="697" s="1066" customFormat="1"/>
    <row r="698" s="1066" customFormat="1"/>
    <row r="699" s="1066" customFormat="1"/>
    <row r="700" s="1066" customFormat="1"/>
    <row r="701" s="1066" customFormat="1"/>
    <row r="702" s="1066" customFormat="1"/>
    <row r="703" s="1066" customFormat="1"/>
    <row r="704" s="1066" customFormat="1"/>
    <row r="705" s="1066" customFormat="1"/>
    <row r="706" s="1066" customFormat="1"/>
    <row r="707" s="1066" customFormat="1"/>
    <row r="708" s="1066" customFormat="1"/>
    <row r="709" s="1066" customFormat="1"/>
    <row r="710" s="1066" customFormat="1"/>
    <row r="711" s="1066" customFormat="1"/>
    <row r="712" s="1066" customFormat="1"/>
    <row r="713" s="1066" customFormat="1"/>
    <row r="714" s="1066" customFormat="1"/>
    <row r="715" s="1066" customFormat="1"/>
    <row r="716" s="1066" customFormat="1"/>
    <row r="717" s="1066" customFormat="1"/>
    <row r="718" s="1066" customFormat="1"/>
    <row r="719" s="1066" customFormat="1"/>
    <row r="720" s="1066" customFormat="1"/>
    <row r="721" s="1066" customFormat="1"/>
    <row r="722" s="1066" customFormat="1"/>
    <row r="723" s="1066" customFormat="1"/>
    <row r="724" s="1066" customFormat="1"/>
    <row r="725" s="1066" customFormat="1"/>
    <row r="726" s="1066" customFormat="1"/>
    <row r="727" s="1066" customFormat="1"/>
    <row r="728" s="1066" customFormat="1"/>
    <row r="729" s="1066" customFormat="1"/>
    <row r="730" s="1066" customFormat="1"/>
    <row r="731" s="1066" customFormat="1"/>
    <row r="732" s="1066" customFormat="1"/>
    <row r="733" s="1066" customFormat="1"/>
    <row r="734" s="1066" customFormat="1"/>
    <row r="735" s="1066" customFormat="1"/>
    <row r="736" s="1066" customFormat="1"/>
    <row r="737" s="1066" customFormat="1"/>
    <row r="738" s="1066" customFormat="1"/>
    <row r="739" s="1066" customFormat="1"/>
    <row r="740" s="1066" customFormat="1"/>
    <row r="741" s="1066" customFormat="1"/>
    <row r="742" s="1066" customFormat="1"/>
    <row r="743" s="1066" customFormat="1"/>
    <row r="744" s="1066" customFormat="1"/>
    <row r="745" s="1066" customFormat="1"/>
    <row r="746" s="1066" customFormat="1"/>
    <row r="747" s="1066" customFormat="1"/>
    <row r="748" s="1066" customFormat="1"/>
    <row r="749" s="1066" customFormat="1"/>
    <row r="750" s="1066" customFormat="1"/>
    <row r="751" s="1066" customFormat="1"/>
    <row r="752" s="1066" customFormat="1"/>
    <row r="753" s="1066" customFormat="1"/>
    <row r="754" s="1066" customFormat="1"/>
    <row r="755" s="1066" customFormat="1"/>
    <row r="756" s="1066" customFormat="1"/>
    <row r="757" s="1066" customFormat="1"/>
    <row r="758" s="1066" customFormat="1"/>
    <row r="759" s="1066" customFormat="1"/>
    <row r="760" s="1066" customFormat="1"/>
    <row r="761" s="1066" customFormat="1"/>
    <row r="762" s="1066" customFormat="1"/>
    <row r="763" s="1066" customFormat="1"/>
    <row r="764" s="1066" customFormat="1"/>
    <row r="765" s="1066" customFormat="1"/>
    <row r="766" s="1066" customFormat="1"/>
    <row r="767" s="1066" customFormat="1"/>
    <row r="768" s="1066" customFormat="1"/>
    <row r="769" s="1066" customFormat="1"/>
    <row r="770" s="1066" customFormat="1"/>
    <row r="771" s="1066" customFormat="1"/>
    <row r="772" s="1066" customFormat="1"/>
    <row r="773" s="1066" customFormat="1"/>
    <row r="774" s="1066" customFormat="1"/>
    <row r="775" s="1066" customFormat="1"/>
    <row r="776" s="1066" customFormat="1"/>
    <row r="777" s="1066" customFormat="1"/>
    <row r="778" s="1066" customFormat="1"/>
    <row r="779" s="1066" customFormat="1"/>
    <row r="780" s="1066" customFormat="1"/>
    <row r="781" s="1066" customFormat="1"/>
    <row r="782" s="1066" customFormat="1"/>
    <row r="783" s="1066" customFormat="1"/>
    <row r="784" s="1066" customFormat="1"/>
    <row r="785" s="1066" customFormat="1"/>
    <row r="786" s="1066" customFormat="1"/>
    <row r="787" s="1066" customFormat="1"/>
    <row r="788" s="1066" customFormat="1"/>
    <row r="789" s="1066" customFormat="1"/>
    <row r="790" s="1066" customFormat="1"/>
    <row r="791" s="1066" customFormat="1"/>
    <row r="792" s="1066" customFormat="1"/>
    <row r="793" s="1066" customFormat="1"/>
    <row r="794" s="1066" customFormat="1"/>
    <row r="795" s="1066" customFormat="1"/>
    <row r="796" s="1066" customFormat="1"/>
    <row r="797" s="1066" customFormat="1"/>
    <row r="798" s="1066" customFormat="1"/>
    <row r="799" s="1066" customFormat="1"/>
    <row r="800" s="1066" customFormat="1"/>
    <row r="801" s="1066" customFormat="1"/>
    <row r="802" s="1066" customFormat="1"/>
    <row r="803" s="1066" customFormat="1"/>
    <row r="804" s="1066" customFormat="1"/>
    <row r="805" s="1066" customFormat="1"/>
    <row r="806" s="1066" customFormat="1"/>
    <row r="807" s="1066" customFormat="1"/>
    <row r="808" s="1066" customFormat="1"/>
    <row r="809" s="1066" customFormat="1"/>
    <row r="810" s="1066" customFormat="1"/>
    <row r="811" s="1066" customFormat="1"/>
    <row r="812" s="1066" customFormat="1"/>
    <row r="813" s="1066" customFormat="1"/>
    <row r="814" s="1066" customFormat="1"/>
    <row r="815" s="1066" customFormat="1"/>
    <row r="816" s="1066" customFormat="1"/>
    <row r="817" s="1066" customFormat="1"/>
    <row r="818" s="1066" customFormat="1"/>
    <row r="819" s="1066" customFormat="1"/>
    <row r="820" s="1066" customFormat="1"/>
    <row r="821" s="1066" customFormat="1"/>
    <row r="822" s="1066" customFormat="1"/>
    <row r="823" s="1066" customFormat="1"/>
    <row r="824" s="1066" customFormat="1"/>
    <row r="825" s="1066" customFormat="1"/>
    <row r="826" s="1066" customFormat="1"/>
    <row r="827" s="1066" customFormat="1"/>
    <row r="828" s="1066" customFormat="1"/>
    <row r="829" s="1066" customFormat="1"/>
    <row r="830" s="1066" customFormat="1"/>
    <row r="831" s="1066" customFormat="1"/>
    <row r="832" s="1066" customFormat="1"/>
    <row r="833" s="1066" customFormat="1"/>
    <row r="834" s="1066" customFormat="1"/>
    <row r="835" s="1066" customFormat="1"/>
    <row r="836" s="1066" customFormat="1"/>
    <row r="837" s="1066" customFormat="1"/>
    <row r="838" s="1066" customFormat="1"/>
    <row r="839" s="1066" customFormat="1"/>
    <row r="840" s="1066" customFormat="1"/>
    <row r="841" s="1066" customFormat="1"/>
    <row r="842" s="1066" customFormat="1"/>
    <row r="843" s="1066" customFormat="1"/>
    <row r="844" s="1066" customFormat="1"/>
    <row r="845" s="1066" customFormat="1"/>
    <row r="846" s="1066" customFormat="1"/>
    <row r="847" s="1066" customFormat="1"/>
    <row r="848" s="1066" customFormat="1"/>
    <row r="849" s="1066" customFormat="1"/>
    <row r="850" s="1066" customFormat="1"/>
    <row r="851" s="1066" customFormat="1"/>
    <row r="852" s="1066" customFormat="1"/>
    <row r="853" s="1066" customFormat="1"/>
    <row r="854" s="1066" customFormat="1"/>
    <row r="855" s="1066" customFormat="1"/>
    <row r="856" s="1066" customFormat="1"/>
    <row r="857" s="1066" customFormat="1"/>
    <row r="858" s="1066" customFormat="1"/>
    <row r="859" s="1066" customFormat="1"/>
    <row r="860" s="1066" customFormat="1"/>
    <row r="861" s="1066" customFormat="1"/>
    <row r="862" s="1066" customFormat="1"/>
    <row r="863" s="1066" customFormat="1"/>
    <row r="864" s="1066" customFormat="1"/>
    <row r="865" s="1066" customFormat="1"/>
    <row r="866" s="1066" customFormat="1"/>
    <row r="867" s="1066" customFormat="1"/>
    <row r="868" s="1066" customFormat="1"/>
    <row r="869" s="1066" customFormat="1"/>
    <row r="870" s="1066" customFormat="1"/>
    <row r="871" s="1066" customFormat="1"/>
    <row r="872" s="1066" customFormat="1"/>
    <row r="873" s="1066" customFormat="1"/>
    <row r="874" s="1066" customFormat="1"/>
    <row r="875" s="1066" customFormat="1"/>
    <row r="876" s="1066" customFormat="1"/>
    <row r="877" s="1066" customFormat="1"/>
    <row r="878" s="1066" customFormat="1"/>
    <row r="879" s="1066" customFormat="1"/>
    <row r="880" s="1066" customFormat="1"/>
    <row r="881" s="1066" customFormat="1"/>
    <row r="882" s="1066" customFormat="1"/>
    <row r="883" s="1066" customFormat="1"/>
    <row r="884" s="1066" customFormat="1"/>
    <row r="885" s="1066" customFormat="1"/>
    <row r="886" s="1066" customFormat="1"/>
    <row r="887" s="1066" customFormat="1"/>
    <row r="888" s="1066" customFormat="1"/>
    <row r="889" s="1066" customFormat="1"/>
    <row r="890" s="1066" customFormat="1"/>
    <row r="891" s="1066" customFormat="1"/>
    <row r="892" s="1066" customFormat="1"/>
    <row r="893" s="1066" customFormat="1"/>
    <row r="894" s="1066" customFormat="1"/>
    <row r="895" s="1066" customFormat="1"/>
    <row r="896" s="1066" customFormat="1"/>
    <row r="897" s="1066" customFormat="1"/>
    <row r="898" s="1066" customFormat="1"/>
    <row r="899" s="1066" customFormat="1"/>
    <row r="900" s="1066" customFormat="1"/>
    <row r="901" s="1066" customFormat="1"/>
    <row r="902" s="1066" customFormat="1"/>
    <row r="903" s="1066" customFormat="1"/>
    <row r="904" s="1066" customFormat="1"/>
    <row r="905" s="1066" customFormat="1"/>
    <row r="906" s="1066" customFormat="1"/>
    <row r="907" s="1066" customFormat="1"/>
    <row r="908" s="1066" customFormat="1"/>
    <row r="909" s="1066" customFormat="1"/>
    <row r="910" s="1066" customFormat="1"/>
    <row r="911" s="1066" customFormat="1"/>
    <row r="912" s="1066" customFormat="1"/>
    <row r="913" s="1066" customFormat="1"/>
    <row r="914" s="1066" customFormat="1"/>
    <row r="915" s="1066" customFormat="1"/>
    <row r="916" s="1066" customFormat="1"/>
    <row r="917" s="1066" customFormat="1"/>
    <row r="918" s="1066" customFormat="1"/>
    <row r="919" s="1066" customFormat="1"/>
    <row r="920" s="1066" customFormat="1"/>
    <row r="921" s="1066" customFormat="1"/>
    <row r="922" s="1066" customFormat="1"/>
    <row r="923" s="1066" customFormat="1"/>
    <row r="924" s="1066" customFormat="1"/>
    <row r="925" s="1066" customFormat="1"/>
    <row r="926" s="1066" customFormat="1"/>
    <row r="927" s="1066" customFormat="1"/>
    <row r="928" s="1066" customFormat="1"/>
    <row r="929" s="1066" customFormat="1"/>
    <row r="930" s="1066" customFormat="1"/>
    <row r="931" s="1066" customFormat="1"/>
    <row r="932" s="1066" customFormat="1"/>
    <row r="933" s="1066" customFormat="1"/>
    <row r="934" s="1066" customFormat="1"/>
    <row r="935" s="1066" customFormat="1"/>
    <row r="936" s="1066" customFormat="1"/>
    <row r="937" s="1066" customFormat="1"/>
    <row r="938" s="1066" customFormat="1"/>
    <row r="939" s="1066" customFormat="1"/>
    <row r="940" s="1066" customFormat="1"/>
    <row r="941" s="1066" customFormat="1"/>
    <row r="942" s="1066" customFormat="1"/>
    <row r="943" s="1066" customFormat="1"/>
    <row r="944" s="1066" customFormat="1"/>
    <row r="945" s="1066" customFormat="1"/>
    <row r="946" s="1066" customFormat="1"/>
    <row r="947" s="1066" customFormat="1"/>
    <row r="948" s="1066" customFormat="1"/>
    <row r="949" s="1066" customFormat="1"/>
    <row r="950" s="1066" customFormat="1"/>
    <row r="951" s="1066" customFormat="1"/>
    <row r="952" s="1066" customFormat="1"/>
    <row r="953" s="1066" customFormat="1"/>
    <row r="954" s="1066" customFormat="1"/>
    <row r="955" s="1066" customFormat="1"/>
    <row r="956" s="1066" customFormat="1"/>
    <row r="957" s="1066" customFormat="1"/>
    <row r="958" s="1066" customFormat="1"/>
    <row r="959" s="1066" customFormat="1"/>
    <row r="960" s="1066" customFormat="1"/>
    <row r="961" s="1066" customFormat="1"/>
    <row r="962" s="1066" customFormat="1"/>
    <row r="963" s="1066" customFormat="1"/>
    <row r="964" s="1066" customFormat="1"/>
    <row r="965" s="1066" customFormat="1"/>
    <row r="966" s="1066" customFormat="1"/>
    <row r="967" s="1066" customFormat="1"/>
    <row r="968" s="1066" customFormat="1"/>
    <row r="969" s="1066" customFormat="1"/>
    <row r="970" s="1066" customFormat="1"/>
    <row r="971" s="1066" customFormat="1"/>
    <row r="972" s="1066" customFormat="1"/>
    <row r="973" s="1066" customFormat="1"/>
    <row r="974" s="1066" customFormat="1"/>
    <row r="975" s="1066" customFormat="1"/>
    <row r="976" s="1066" customFormat="1"/>
    <row r="977" s="1066" customFormat="1"/>
    <row r="978" s="1066" customFormat="1"/>
    <row r="979" s="1066" customFormat="1"/>
    <row r="980" s="1066" customFormat="1"/>
    <row r="981" s="1066" customFormat="1"/>
    <row r="982" s="1066" customFormat="1"/>
    <row r="983" s="1066" customFormat="1"/>
    <row r="984" s="1066" customFormat="1"/>
    <row r="985" s="1066" customFormat="1"/>
    <row r="986" s="1066" customFormat="1"/>
    <row r="987" s="1066" customFormat="1"/>
    <row r="988" s="1066" customFormat="1"/>
    <row r="989" s="1066" customFormat="1"/>
    <row r="990" s="1066" customFormat="1"/>
    <row r="991" s="1066" customFormat="1"/>
    <row r="992" s="1066" customFormat="1"/>
    <row r="993" s="1066" customFormat="1"/>
    <row r="994" s="1066" customFormat="1"/>
    <row r="995" s="1066" customFormat="1"/>
    <row r="996" s="1066" customFormat="1"/>
    <row r="997" s="1066" customFormat="1"/>
    <row r="998" s="1066" customFormat="1"/>
    <row r="999" s="1066" customFormat="1"/>
    <row r="1000" s="1066" customFormat="1"/>
    <row r="1001" s="1066" customFormat="1"/>
    <row r="1002" s="1066" customFormat="1"/>
    <row r="1003" s="1066" customFormat="1"/>
    <row r="1004" s="1066" customFormat="1"/>
    <row r="1005" s="1066" customFormat="1"/>
    <row r="1006" s="1066" customFormat="1"/>
    <row r="1007" s="1066" customFormat="1"/>
    <row r="1008" s="1066" customFormat="1"/>
    <row r="1009" s="1066" customFormat="1"/>
    <row r="1010" s="1066" customFormat="1"/>
    <row r="1011" s="1066" customFormat="1"/>
    <row r="1012" s="1066" customFormat="1"/>
    <row r="1013" s="1066" customFormat="1"/>
    <row r="1014" s="1066" customFormat="1"/>
    <row r="1015" s="1066" customFormat="1"/>
    <row r="1016" s="1066" customFormat="1"/>
    <row r="1017" s="1066" customFormat="1"/>
    <row r="1018" s="1066" customFormat="1"/>
    <row r="1019" s="1066" customFormat="1"/>
    <row r="1020" s="1066" customFormat="1"/>
    <row r="1021" s="1066" customFormat="1"/>
    <row r="1022" s="1066" customFormat="1"/>
    <row r="1023" s="1066" customFormat="1"/>
    <row r="1024" s="1066" customFormat="1"/>
    <row r="1025" s="1066" customFormat="1"/>
    <row r="1026" s="1066" customFormat="1"/>
    <row r="1027" s="1066" customFormat="1"/>
    <row r="1028" s="1066" customFormat="1"/>
    <row r="1029" s="1066" customFormat="1"/>
    <row r="1030" s="1066" customFormat="1"/>
    <row r="1031" s="1066" customFormat="1"/>
    <row r="1032" s="1066" customFormat="1"/>
    <row r="1033" s="1066" customFormat="1"/>
    <row r="1034" s="1066" customFormat="1"/>
    <row r="1035" s="1066" customFormat="1"/>
    <row r="1036" s="1066" customFormat="1"/>
    <row r="1037" s="1066" customFormat="1"/>
    <row r="1038" s="1066" customFormat="1"/>
    <row r="1039" s="1066" customFormat="1"/>
    <row r="1040" s="1066" customFormat="1"/>
    <row r="1041" s="1066" customFormat="1"/>
    <row r="1042" s="1066" customFormat="1"/>
    <row r="1043" s="1066" customFormat="1"/>
    <row r="1044" s="1066" customFormat="1"/>
    <row r="1045" s="1066" customFormat="1"/>
    <row r="1046" s="1066" customFormat="1"/>
    <row r="1047" s="1066" customFormat="1"/>
    <row r="1048" s="1066" customFormat="1"/>
    <row r="1049" s="1066" customFormat="1"/>
    <row r="1050" s="1066" customFormat="1"/>
    <row r="1051" s="1066" customFormat="1"/>
    <row r="1052" s="1066" customFormat="1"/>
    <row r="1053" s="1066" customFormat="1"/>
  </sheetData>
  <sheetProtection algorithmName="SHA-512" hashValue="9QnyAZ7N2pdifRY5vt5+m9Zf/28laJcKo3NpWyy5rwtuoG5kYq7Jjuxp4xoVZg7CKzFRxyK77JT97jn+0D93BQ==" saltValue="IkgkcyiEWWDfNr2jfnlBnw==" spinCount="100000" sheet="1" objects="1" scenarios="1"/>
  <mergeCells count="73">
    <mergeCell ref="B148:C148"/>
    <mergeCell ref="B130:C130"/>
    <mergeCell ref="B131:C131"/>
    <mergeCell ref="B132:C132"/>
    <mergeCell ref="B133:C133"/>
    <mergeCell ref="B134:C134"/>
    <mergeCell ref="B135:C135"/>
    <mergeCell ref="B136:C136"/>
    <mergeCell ref="B137:C137"/>
    <mergeCell ref="B138:C138"/>
    <mergeCell ref="B139:C139"/>
    <mergeCell ref="B140:C140"/>
    <mergeCell ref="B144:C144"/>
    <mergeCell ref="B145:C145"/>
    <mergeCell ref="B146:C146"/>
    <mergeCell ref="B147:C147"/>
    <mergeCell ref="B116:B125"/>
    <mergeCell ref="G72:G81"/>
    <mergeCell ref="G83:G92"/>
    <mergeCell ref="G94:G103"/>
    <mergeCell ref="G105:G114"/>
    <mergeCell ref="G116:G125"/>
    <mergeCell ref="D94:D103"/>
    <mergeCell ref="D105:D114"/>
    <mergeCell ref="D116:D125"/>
    <mergeCell ref="C116:C125"/>
    <mergeCell ref="D72:D81"/>
    <mergeCell ref="D83:D92"/>
    <mergeCell ref="B105:B114"/>
    <mergeCell ref="C72:C81"/>
    <mergeCell ref="C83:C92"/>
    <mergeCell ref="C94:C103"/>
    <mergeCell ref="G17:G26"/>
    <mergeCell ref="G28:G37"/>
    <mergeCell ref="G39:G48"/>
    <mergeCell ref="G50:G59"/>
    <mergeCell ref="G61:G70"/>
    <mergeCell ref="D50:D59"/>
    <mergeCell ref="D61:D70"/>
    <mergeCell ref="A39:A48"/>
    <mergeCell ref="B39:B48"/>
    <mergeCell ref="B13:B15"/>
    <mergeCell ref="A17:A26"/>
    <mergeCell ref="B17:B26"/>
    <mergeCell ref="A28:A37"/>
    <mergeCell ref="B28:B37"/>
    <mergeCell ref="C50:C59"/>
    <mergeCell ref="C17:C26"/>
    <mergeCell ref="C28:C37"/>
    <mergeCell ref="C39:C48"/>
    <mergeCell ref="D17:D26"/>
    <mergeCell ref="D28:D37"/>
    <mergeCell ref="D39:D48"/>
    <mergeCell ref="B11:B12"/>
    <mergeCell ref="E11:F11"/>
    <mergeCell ref="H11:I11"/>
    <mergeCell ref="J11:J12"/>
    <mergeCell ref="K11:K12"/>
    <mergeCell ref="C11:C12"/>
    <mergeCell ref="D11:D12"/>
    <mergeCell ref="E9:K9"/>
    <mergeCell ref="E10:F10"/>
    <mergeCell ref="H10:I10"/>
    <mergeCell ref="C13:C15"/>
    <mergeCell ref="D13:D15"/>
    <mergeCell ref="G13:G15"/>
    <mergeCell ref="C105:C114"/>
    <mergeCell ref="B50:B59"/>
    <mergeCell ref="B61:B70"/>
    <mergeCell ref="B72:B81"/>
    <mergeCell ref="B83:B92"/>
    <mergeCell ref="B94:B103"/>
    <mergeCell ref="C61:C70"/>
  </mergeCells>
  <dataValidations count="1">
    <dataValidation allowBlank="1" showInputMessage="1" showErrorMessage="1" prompt="Indicate, for example, whether the invoice you will send to Énergir includes costs that are not associated with the subsidized measure." sqref="J11:J12" xr:uid="{8475A47B-4D3F-44FE-992F-AFA21D5945E1}"/>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40CBB74A-825F-4D6C-B1E8-A240DD810E84}">
          <x14:formula1>
            <xm:f>'Menus déroulants'!$C$14:$C$17</xm:f>
          </x14:formula1>
          <xm:sqref>B39:B48 B28:B37 B116:B125 B105:B114 B94:B103 B83:B92 B72:B81 B61:B70 B50:B59 B17:B26</xm:sqref>
        </x14:dataValidation>
        <x14:dataValidation type="list" allowBlank="1" showInputMessage="1" showErrorMessage="1" xr:uid="{D5A83C9B-2F1B-4084-8F2F-7CB4687395D8}">
          <x14:formula1>
            <xm:f>'Menus déroulants'!$E$14:$E$19</xm:f>
          </x14:formula1>
          <xm:sqref>C17 C28 C39 C50 C61 C72 C83 C94 C105 C116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11C3F-9BE5-4B56-A328-AF72B1FE6283}">
  <sheetPr>
    <tabColor theme="6"/>
    <pageSetUpPr autoPageBreaks="0"/>
  </sheetPr>
  <dimension ref="A1:Z77"/>
  <sheetViews>
    <sheetView zoomScaleNormal="100" zoomScaleSheetLayoutView="50" workbookViewId="0">
      <selection activeCell="C77" sqref="C77"/>
    </sheetView>
  </sheetViews>
  <sheetFormatPr baseColWidth="10" defaultColWidth="11.44140625" defaultRowHeight="14.4"/>
  <cols>
    <col min="1" max="2" width="4.21875" style="1021" customWidth="1"/>
    <col min="3" max="3" width="3.5546875" style="1021" customWidth="1"/>
    <col min="4" max="4" width="38" style="1021" customWidth="1"/>
    <col min="5" max="10" width="29" style="1021" customWidth="1"/>
    <col min="11" max="24" width="11.44140625" style="1021"/>
    <col min="25" max="25" width="5.5546875" style="1021" customWidth="1"/>
    <col min="26" max="26" width="6.21875" style="1021" customWidth="1"/>
    <col min="27" max="16384" width="11.44140625" style="1021"/>
  </cols>
  <sheetData>
    <row r="1" spans="1:26">
      <c r="A1" s="6"/>
      <c r="B1" s="6"/>
      <c r="C1" s="6"/>
      <c r="D1" s="6"/>
      <c r="E1" s="6"/>
      <c r="F1" s="6"/>
      <c r="G1" s="6"/>
      <c r="H1" s="6"/>
      <c r="I1" s="6"/>
      <c r="J1" s="6"/>
      <c r="K1" s="6"/>
      <c r="L1" s="6"/>
      <c r="M1" s="6"/>
      <c r="N1" s="6"/>
      <c r="O1" s="6"/>
      <c r="P1" s="6"/>
      <c r="Q1" s="6"/>
      <c r="R1" s="6"/>
      <c r="S1" s="6"/>
      <c r="T1" s="6"/>
      <c r="U1" s="6"/>
      <c r="V1" s="6"/>
      <c r="W1" s="6"/>
      <c r="X1" s="6"/>
      <c r="Y1" s="6"/>
      <c r="Z1" s="6"/>
    </row>
    <row r="2" spans="1:26" ht="21">
      <c r="A2" s="6"/>
      <c r="B2" s="453" t="s">
        <v>1532</v>
      </c>
      <c r="C2" s="6"/>
      <c r="D2" s="1022"/>
      <c r="E2" s="6"/>
      <c r="F2" s="6"/>
      <c r="G2" s="6"/>
      <c r="H2" s="6"/>
      <c r="I2" s="6"/>
      <c r="J2" s="6"/>
      <c r="K2" s="6"/>
      <c r="L2" s="6"/>
      <c r="M2" s="6"/>
      <c r="N2" s="6"/>
      <c r="O2" s="6"/>
      <c r="P2" s="6"/>
      <c r="Q2" s="6"/>
      <c r="R2" s="6"/>
      <c r="S2" s="6"/>
      <c r="T2" s="6"/>
      <c r="U2" s="6"/>
      <c r="V2" s="6"/>
      <c r="W2" s="6"/>
      <c r="X2" s="6"/>
      <c r="Y2" s="6"/>
      <c r="Z2" s="6"/>
    </row>
    <row r="3" spans="1:26" ht="17.399999999999999">
      <c r="A3" s="6"/>
      <c r="B3" s="1026" t="s">
        <v>1650</v>
      </c>
      <c r="C3" s="6"/>
      <c r="D3" s="1150"/>
      <c r="E3" s="6"/>
      <c r="F3" s="6"/>
      <c r="G3" s="6"/>
      <c r="H3" s="6"/>
      <c r="I3" s="6"/>
      <c r="J3" s="6"/>
      <c r="K3" s="6"/>
      <c r="L3" s="6"/>
      <c r="M3" s="6"/>
      <c r="N3" s="6"/>
      <c r="O3" s="6"/>
      <c r="P3" s="6"/>
      <c r="Q3" s="6"/>
      <c r="R3" s="6"/>
      <c r="S3" s="6"/>
      <c r="T3" s="6"/>
      <c r="U3" s="6"/>
      <c r="V3" s="6"/>
      <c r="W3" s="6"/>
      <c r="X3" s="6"/>
      <c r="Y3" s="6"/>
      <c r="Z3" s="6"/>
    </row>
    <row r="4" spans="1:26" ht="14.25" customHeight="1">
      <c r="A4" s="6"/>
      <c r="B4" s="1150"/>
      <c r="C4" s="6"/>
      <c r="D4" s="1150"/>
      <c r="E4" s="6"/>
      <c r="F4" s="6"/>
      <c r="G4" s="6"/>
      <c r="H4" s="6"/>
      <c r="I4" s="6"/>
      <c r="J4" s="6"/>
      <c r="K4" s="6"/>
      <c r="L4" s="6"/>
      <c r="M4" s="6"/>
      <c r="N4" s="6"/>
      <c r="O4" s="6"/>
      <c r="P4" s="6"/>
      <c r="Q4" s="6"/>
      <c r="R4" s="6"/>
      <c r="S4" s="6"/>
      <c r="T4" s="6"/>
      <c r="U4" s="6"/>
      <c r="V4" s="6"/>
      <c r="W4" s="6"/>
      <c r="X4" s="6"/>
      <c r="Y4" s="6"/>
      <c r="Z4" s="6"/>
    </row>
    <row r="5" spans="1:26" ht="20.399999999999999">
      <c r="A5" s="6"/>
      <c r="B5" s="1151" t="s">
        <v>1524</v>
      </c>
      <c r="C5" s="6"/>
      <c r="D5" s="1150"/>
      <c r="E5" s="6"/>
      <c r="F5" s="6"/>
      <c r="G5" s="6"/>
      <c r="H5" s="6"/>
      <c r="I5" s="6"/>
      <c r="J5" s="6"/>
      <c r="K5" s="6"/>
      <c r="L5" s="6"/>
      <c r="M5" s="6"/>
      <c r="N5" s="6"/>
      <c r="O5" s="6"/>
      <c r="P5" s="6"/>
      <c r="Q5" s="6"/>
      <c r="R5" s="6"/>
      <c r="S5" s="6"/>
      <c r="T5" s="6"/>
      <c r="U5" s="6"/>
      <c r="V5" s="6"/>
      <c r="W5" s="6"/>
      <c r="X5" s="6"/>
      <c r="Y5" s="6"/>
      <c r="Z5" s="6"/>
    </row>
    <row r="6" spans="1:26" ht="18" thickBot="1">
      <c r="A6" s="6"/>
      <c r="B6" s="1150"/>
      <c r="C6" s="6"/>
      <c r="D6" s="1150"/>
      <c r="E6" s="6"/>
      <c r="F6" s="6"/>
      <c r="G6" s="6"/>
      <c r="H6" s="6"/>
      <c r="I6" s="6"/>
      <c r="J6" s="6"/>
      <c r="K6" s="6"/>
      <c r="L6" s="6"/>
      <c r="M6" s="6"/>
      <c r="N6" s="6"/>
      <c r="O6" s="6"/>
      <c r="P6" s="6"/>
      <c r="Q6" s="6"/>
      <c r="R6" s="6"/>
      <c r="S6" s="6"/>
      <c r="T6" s="6"/>
      <c r="U6" s="6"/>
      <c r="V6" s="6"/>
      <c r="W6" s="6"/>
      <c r="X6" s="6"/>
      <c r="Y6" s="6"/>
      <c r="Z6" s="6"/>
    </row>
    <row r="7" spans="1:26" ht="9" customHeight="1">
      <c r="A7" s="6"/>
      <c r="B7" s="1152"/>
      <c r="C7" s="1153"/>
      <c r="D7" s="1154"/>
      <c r="E7" s="1153"/>
      <c r="F7" s="1153"/>
      <c r="G7" s="1153"/>
      <c r="H7" s="1153"/>
      <c r="I7" s="1153"/>
      <c r="J7" s="1153"/>
      <c r="K7" s="1153"/>
      <c r="L7" s="1153"/>
      <c r="M7" s="1153"/>
      <c r="N7" s="1153"/>
      <c r="O7" s="1153"/>
      <c r="P7" s="1153"/>
      <c r="Q7" s="1153"/>
      <c r="R7" s="1153"/>
      <c r="S7" s="1153"/>
      <c r="T7" s="1153"/>
      <c r="U7" s="1153"/>
      <c r="V7" s="1153"/>
      <c r="W7" s="1153"/>
      <c r="X7" s="1153"/>
      <c r="Y7" s="1155"/>
      <c r="Z7" s="6"/>
    </row>
    <row r="8" spans="1:26">
      <c r="A8" s="6"/>
      <c r="B8" s="1156"/>
      <c r="C8" s="1600" t="s">
        <v>1525</v>
      </c>
      <c r="D8" s="1600"/>
      <c r="E8" s="1600"/>
      <c r="F8" s="1600"/>
      <c r="G8" s="1600"/>
      <c r="H8" s="1600"/>
      <c r="I8" s="1600"/>
      <c r="J8" s="1600"/>
      <c r="K8" s="1600"/>
      <c r="L8" s="1600"/>
      <c r="M8" s="1600"/>
      <c r="N8" s="6"/>
      <c r="O8" s="6"/>
      <c r="P8" s="6"/>
      <c r="Q8" s="6"/>
      <c r="R8" s="6"/>
      <c r="S8" s="6"/>
      <c r="T8" s="6"/>
      <c r="U8" s="6"/>
      <c r="V8" s="6"/>
      <c r="W8" s="6"/>
      <c r="X8" s="6"/>
      <c r="Y8" s="1157"/>
      <c r="Z8" s="6"/>
    </row>
    <row r="9" spans="1:26" ht="17.399999999999999">
      <c r="A9" s="6"/>
      <c r="B9" s="1158"/>
      <c r="C9" s="6"/>
      <c r="D9" s="1159" t="s">
        <v>1676</v>
      </c>
      <c r="E9" s="6"/>
      <c r="F9" s="6"/>
      <c r="G9" s="6"/>
      <c r="H9" s="6"/>
      <c r="I9" s="6"/>
      <c r="J9" s="6"/>
      <c r="K9" s="6"/>
      <c r="L9" s="6"/>
      <c r="M9" s="6"/>
      <c r="N9" s="6"/>
      <c r="O9" s="6"/>
      <c r="P9" s="6"/>
      <c r="Q9" s="6"/>
      <c r="R9" s="6"/>
      <c r="S9" s="6"/>
      <c r="T9" s="6"/>
      <c r="U9" s="6"/>
      <c r="V9" s="6"/>
      <c r="W9" s="6"/>
      <c r="X9" s="6"/>
      <c r="Y9" s="1157"/>
      <c r="Z9" s="6"/>
    </row>
    <row r="10" spans="1:26" ht="17.399999999999999">
      <c r="A10" s="6"/>
      <c r="B10" s="1158"/>
      <c r="C10" s="6"/>
      <c r="D10" s="1159" t="s">
        <v>1533</v>
      </c>
      <c r="E10" s="6"/>
      <c r="F10" s="6"/>
      <c r="G10" s="6"/>
      <c r="H10" s="6"/>
      <c r="I10" s="6"/>
      <c r="J10" s="6"/>
      <c r="K10" s="6"/>
      <c r="L10" s="6"/>
      <c r="M10" s="6"/>
      <c r="N10" s="6"/>
      <c r="O10" s="6"/>
      <c r="P10" s="6"/>
      <c r="Q10" s="6"/>
      <c r="R10" s="6"/>
      <c r="S10" s="6"/>
      <c r="T10" s="6"/>
      <c r="U10" s="6"/>
      <c r="V10" s="6"/>
      <c r="W10" s="6"/>
      <c r="X10" s="6"/>
      <c r="Y10" s="1157"/>
      <c r="Z10" s="6"/>
    </row>
    <row r="11" spans="1:26" ht="17.399999999999999">
      <c r="A11" s="6"/>
      <c r="B11" s="1158"/>
      <c r="C11" s="6"/>
      <c r="D11" s="1159" t="s">
        <v>1534</v>
      </c>
      <c r="E11" s="6"/>
      <c r="F11" s="6"/>
      <c r="G11" s="6"/>
      <c r="H11" s="6"/>
      <c r="I11" s="6"/>
      <c r="J11" s="6"/>
      <c r="K11" s="6"/>
      <c r="L11" s="6"/>
      <c r="M11" s="6"/>
      <c r="N11" s="6"/>
      <c r="O11" s="6"/>
      <c r="P11" s="6"/>
      <c r="Q11" s="6"/>
      <c r="R11" s="6"/>
      <c r="S11" s="6"/>
      <c r="T11" s="6"/>
      <c r="U11" s="6"/>
      <c r="V11" s="6"/>
      <c r="W11" s="6"/>
      <c r="X11" s="6"/>
      <c r="Y11" s="1157"/>
      <c r="Z11" s="6"/>
    </row>
    <row r="12" spans="1:26" ht="17.399999999999999">
      <c r="A12" s="6"/>
      <c r="B12" s="1158"/>
      <c r="C12" s="6"/>
      <c r="D12" s="1159"/>
      <c r="E12" s="6"/>
      <c r="F12" s="6"/>
      <c r="G12" s="6"/>
      <c r="H12" s="6"/>
      <c r="I12" s="6"/>
      <c r="J12" s="6"/>
      <c r="K12" s="6"/>
      <c r="L12" s="6"/>
      <c r="M12" s="6"/>
      <c r="N12" s="6"/>
      <c r="O12" s="6"/>
      <c r="P12" s="6"/>
      <c r="Q12" s="6"/>
      <c r="R12" s="6"/>
      <c r="S12" s="6"/>
      <c r="T12" s="6"/>
      <c r="U12" s="6"/>
      <c r="V12" s="6"/>
      <c r="W12" s="6"/>
      <c r="X12" s="6"/>
      <c r="Y12" s="1157"/>
      <c r="Z12" s="6"/>
    </row>
    <row r="13" spans="1:26" ht="32.25" customHeight="1">
      <c r="A13" s="6"/>
      <c r="B13" s="1158"/>
      <c r="C13" s="1160" t="s">
        <v>1677</v>
      </c>
      <c r="D13" s="1160"/>
      <c r="E13" s="1160"/>
      <c r="F13" s="1160"/>
      <c r="G13" s="1160"/>
      <c r="H13" s="1160"/>
      <c r="I13" s="1160"/>
      <c r="J13" s="1160"/>
      <c r="K13" s="1160"/>
      <c r="L13" s="1160"/>
      <c r="M13" s="1160"/>
      <c r="N13" s="1160"/>
      <c r="O13" s="1160"/>
      <c r="P13" s="1160"/>
      <c r="Q13" s="1160"/>
      <c r="R13" s="6"/>
      <c r="S13" s="6"/>
      <c r="T13" s="6"/>
      <c r="U13" s="6"/>
      <c r="V13" s="6"/>
      <c r="W13" s="6"/>
      <c r="X13" s="6"/>
      <c r="Y13" s="1157"/>
      <c r="Z13" s="6"/>
    </row>
    <row r="14" spans="1:26">
      <c r="A14" s="6"/>
      <c r="B14" s="1161"/>
      <c r="C14" s="6"/>
      <c r="D14" s="1159"/>
      <c r="E14" s="6"/>
      <c r="F14" s="6"/>
      <c r="G14" s="6"/>
      <c r="H14" s="6"/>
      <c r="I14" s="6"/>
      <c r="J14" s="6"/>
      <c r="K14" s="6"/>
      <c r="L14" s="6"/>
      <c r="M14" s="6"/>
      <c r="N14" s="6"/>
      <c r="O14" s="6"/>
      <c r="P14" s="6"/>
      <c r="Q14" s="6"/>
      <c r="R14" s="6"/>
      <c r="S14" s="6"/>
      <c r="T14" s="6"/>
      <c r="U14" s="6"/>
      <c r="V14" s="6"/>
      <c r="W14" s="6"/>
      <c r="X14" s="6"/>
      <c r="Y14" s="1157"/>
      <c r="Z14" s="6"/>
    </row>
    <row r="15" spans="1:26">
      <c r="A15" s="6"/>
      <c r="B15" s="1156"/>
      <c r="C15" s="1159" t="s">
        <v>1526</v>
      </c>
      <c r="D15" s="1159"/>
      <c r="E15" s="6"/>
      <c r="F15" s="6"/>
      <c r="G15" s="6"/>
      <c r="H15" s="6"/>
      <c r="I15" s="6"/>
      <c r="J15" s="6"/>
      <c r="K15" s="6"/>
      <c r="L15" s="6"/>
      <c r="M15" s="6"/>
      <c r="N15" s="6"/>
      <c r="O15" s="6"/>
      <c r="P15" s="6"/>
      <c r="Q15" s="6"/>
      <c r="R15" s="6"/>
      <c r="S15" s="6"/>
      <c r="T15" s="6"/>
      <c r="U15" s="6"/>
      <c r="V15" s="6"/>
      <c r="W15" s="6"/>
      <c r="X15" s="6"/>
      <c r="Y15" s="1157"/>
      <c r="Z15" s="6"/>
    </row>
    <row r="16" spans="1:26">
      <c r="A16" s="6"/>
      <c r="B16" s="1161"/>
      <c r="C16" s="6"/>
      <c r="D16" s="1159"/>
      <c r="E16" s="6"/>
      <c r="F16" s="6"/>
      <c r="G16" s="6"/>
      <c r="H16" s="6"/>
      <c r="I16" s="6"/>
      <c r="J16" s="6"/>
      <c r="K16" s="6"/>
      <c r="L16" s="6"/>
      <c r="M16" s="6"/>
      <c r="N16" s="6"/>
      <c r="O16" s="6"/>
      <c r="P16" s="6"/>
      <c r="Q16" s="6"/>
      <c r="R16" s="6"/>
      <c r="S16" s="6"/>
      <c r="T16" s="6"/>
      <c r="U16" s="6"/>
      <c r="V16" s="6"/>
      <c r="W16" s="6"/>
      <c r="X16" s="6"/>
      <c r="Y16" s="1157"/>
      <c r="Z16" s="6"/>
    </row>
    <row r="17" spans="1:26" ht="27.6">
      <c r="A17" s="6"/>
      <c r="B17" s="1156"/>
      <c r="C17" s="6"/>
      <c r="D17" s="1162" t="s">
        <v>1527</v>
      </c>
      <c r="E17" s="1163" t="s">
        <v>1528</v>
      </c>
      <c r="F17" s="6"/>
      <c r="G17" s="1164"/>
      <c r="H17" s="6"/>
      <c r="I17" s="6"/>
      <c r="J17" s="6"/>
      <c r="K17" s="6"/>
      <c r="L17" s="6"/>
      <c r="M17" s="6"/>
      <c r="N17" s="6"/>
      <c r="O17" s="6"/>
      <c r="P17" s="6"/>
      <c r="Q17" s="6"/>
      <c r="R17" s="6"/>
      <c r="S17" s="6"/>
      <c r="T17" s="6"/>
      <c r="U17" s="6"/>
      <c r="V17" s="6"/>
      <c r="W17" s="6"/>
      <c r="X17" s="6"/>
      <c r="Y17" s="1157"/>
      <c r="Z17" s="6"/>
    </row>
    <row r="18" spans="1:26" ht="4.5" customHeight="1">
      <c r="A18" s="6"/>
      <c r="B18" s="1156"/>
      <c r="C18" s="6"/>
      <c r="D18" s="1165"/>
      <c r="E18" s="1166"/>
      <c r="F18" s="1167"/>
      <c r="G18" s="1167"/>
      <c r="H18" s="1167"/>
      <c r="I18" s="1167"/>
      <c r="J18" s="1167"/>
      <c r="K18" s="1167"/>
      <c r="L18" s="1167"/>
      <c r="M18" s="6"/>
      <c r="N18" s="6"/>
      <c r="O18" s="6"/>
      <c r="P18" s="6"/>
      <c r="Q18" s="6"/>
      <c r="R18" s="6"/>
      <c r="S18" s="6"/>
      <c r="T18" s="6"/>
      <c r="U18" s="6"/>
      <c r="V18" s="6"/>
      <c r="W18" s="6"/>
      <c r="X18" s="6"/>
      <c r="Y18" s="1157"/>
      <c r="Z18" s="6"/>
    </row>
    <row r="19" spans="1:26" ht="20.25" customHeight="1">
      <c r="A19" s="6"/>
      <c r="B19" s="1156"/>
      <c r="C19" s="6"/>
      <c r="D19" s="1168" t="s">
        <v>1529</v>
      </c>
      <c r="E19" s="1169"/>
      <c r="F19" s="1159"/>
      <c r="G19" s="6"/>
      <c r="H19" s="6"/>
      <c r="I19" s="6"/>
      <c r="J19" s="6"/>
      <c r="K19" s="6"/>
      <c r="L19" s="6"/>
      <c r="M19" s="6"/>
      <c r="N19" s="6"/>
      <c r="O19" s="6"/>
      <c r="P19" s="6"/>
      <c r="Q19" s="6"/>
      <c r="R19" s="6"/>
      <c r="S19" s="6"/>
      <c r="T19" s="6"/>
      <c r="U19" s="6"/>
      <c r="V19" s="6"/>
      <c r="W19" s="6"/>
      <c r="X19" s="6"/>
      <c r="Y19" s="1157"/>
      <c r="Z19" s="6"/>
    </row>
    <row r="20" spans="1:26" ht="4.5" customHeight="1">
      <c r="A20" s="6"/>
      <c r="B20" s="1156"/>
      <c r="C20" s="6"/>
      <c r="D20" s="1170"/>
      <c r="E20" s="1166"/>
      <c r="F20" s="1167"/>
      <c r="G20" s="1167"/>
      <c r="H20" s="1167"/>
      <c r="I20" s="1167"/>
      <c r="J20" s="1167"/>
      <c r="K20" s="1167"/>
      <c r="L20" s="1167"/>
      <c r="M20" s="6"/>
      <c r="N20" s="6"/>
      <c r="O20" s="6"/>
      <c r="P20" s="6"/>
      <c r="Q20" s="6"/>
      <c r="R20" s="6"/>
      <c r="S20" s="6"/>
      <c r="T20" s="6"/>
      <c r="U20" s="6"/>
      <c r="V20" s="6"/>
      <c r="W20" s="6"/>
      <c r="X20" s="6"/>
      <c r="Y20" s="1157"/>
      <c r="Z20" s="6"/>
    </row>
    <row r="21" spans="1:26" ht="20.25" customHeight="1">
      <c r="A21" s="6"/>
      <c r="B21" s="1156"/>
      <c r="C21" s="6"/>
      <c r="D21" s="1168" t="s">
        <v>1460</v>
      </c>
      <c r="E21" s="1169"/>
      <c r="F21" s="1159"/>
      <c r="G21" s="6"/>
      <c r="H21" s="6"/>
      <c r="I21" s="6"/>
      <c r="J21" s="6"/>
      <c r="K21" s="6"/>
      <c r="L21" s="6"/>
      <c r="M21" s="6"/>
      <c r="N21" s="6"/>
      <c r="O21" s="6"/>
      <c r="P21" s="6"/>
      <c r="Q21" s="6"/>
      <c r="R21" s="6"/>
      <c r="S21" s="6"/>
      <c r="T21" s="6"/>
      <c r="U21" s="6"/>
      <c r="V21" s="6"/>
      <c r="W21" s="6"/>
      <c r="X21" s="6"/>
      <c r="Y21" s="1157"/>
      <c r="Z21" s="6"/>
    </row>
    <row r="22" spans="1:26" ht="4.5" customHeight="1">
      <c r="A22" s="6"/>
      <c r="B22" s="1156"/>
      <c r="C22" s="6"/>
      <c r="D22" s="1170"/>
      <c r="E22" s="1166"/>
      <c r="F22" s="1167"/>
      <c r="G22" s="1167"/>
      <c r="H22" s="1167"/>
      <c r="I22" s="1167"/>
      <c r="J22" s="1167"/>
      <c r="K22" s="1167"/>
      <c r="L22" s="1167"/>
      <c r="M22" s="6"/>
      <c r="N22" s="6"/>
      <c r="O22" s="6"/>
      <c r="P22" s="6"/>
      <c r="Q22" s="6"/>
      <c r="R22" s="6"/>
      <c r="S22" s="6"/>
      <c r="T22" s="6"/>
      <c r="U22" s="6"/>
      <c r="V22" s="6"/>
      <c r="W22" s="6"/>
      <c r="X22" s="6"/>
      <c r="Y22" s="1157"/>
      <c r="Z22" s="6"/>
    </row>
    <row r="23" spans="1:26" ht="20.25" customHeight="1">
      <c r="A23" s="6"/>
      <c r="B23" s="1156"/>
      <c r="C23" s="6"/>
      <c r="D23" s="1168" t="s">
        <v>1590</v>
      </c>
      <c r="E23" s="1169"/>
      <c r="F23" s="1159"/>
      <c r="G23" s="6"/>
      <c r="H23" s="6"/>
      <c r="I23" s="6"/>
      <c r="J23" s="6"/>
      <c r="K23" s="6"/>
      <c r="L23" s="6"/>
      <c r="M23" s="6"/>
      <c r="N23" s="6"/>
      <c r="O23" s="6"/>
      <c r="P23" s="6"/>
      <c r="Q23" s="6"/>
      <c r="R23" s="6"/>
      <c r="S23" s="6"/>
      <c r="T23" s="6"/>
      <c r="U23" s="6"/>
      <c r="V23" s="6"/>
      <c r="W23" s="6"/>
      <c r="X23" s="6"/>
      <c r="Y23" s="1157"/>
      <c r="Z23" s="6"/>
    </row>
    <row r="24" spans="1:26" ht="4.5" customHeight="1">
      <c r="A24" s="6"/>
      <c r="B24" s="1156"/>
      <c r="C24" s="6"/>
      <c r="D24" s="1171"/>
      <c r="E24" s="1172"/>
      <c r="F24" s="1167"/>
      <c r="G24" s="1167"/>
      <c r="H24" s="1167"/>
      <c r="I24" s="1167"/>
      <c r="J24" s="1167"/>
      <c r="K24" s="1167"/>
      <c r="L24" s="1167"/>
      <c r="M24" s="6"/>
      <c r="N24" s="6"/>
      <c r="O24" s="6"/>
      <c r="P24" s="6"/>
      <c r="Q24" s="6"/>
      <c r="R24" s="6"/>
      <c r="S24" s="6"/>
      <c r="T24" s="6"/>
      <c r="U24" s="6"/>
      <c r="V24" s="6"/>
      <c r="W24" s="6"/>
      <c r="X24" s="6"/>
      <c r="Y24" s="1157"/>
      <c r="Z24" s="6"/>
    </row>
    <row r="25" spans="1:26" ht="8.25" customHeight="1">
      <c r="A25" s="6"/>
      <c r="B25" s="1156"/>
      <c r="C25" s="6"/>
      <c r="D25" s="1160"/>
      <c r="E25" s="1160"/>
      <c r="F25" s="1159"/>
      <c r="G25" s="6"/>
      <c r="H25" s="6"/>
      <c r="I25" s="6"/>
      <c r="J25" s="6"/>
      <c r="K25" s="6"/>
      <c r="L25" s="6"/>
      <c r="M25" s="6"/>
      <c r="N25" s="6"/>
      <c r="O25" s="6"/>
      <c r="P25" s="6"/>
      <c r="Q25" s="6"/>
      <c r="R25" s="6"/>
      <c r="S25" s="6"/>
      <c r="T25" s="6"/>
      <c r="U25" s="6"/>
      <c r="V25" s="6"/>
      <c r="W25" s="6"/>
      <c r="X25" s="6"/>
      <c r="Y25" s="1157"/>
      <c r="Z25" s="6"/>
    </row>
    <row r="26" spans="1:26" ht="15" thickBot="1">
      <c r="A26" s="6"/>
      <c r="B26" s="1156"/>
      <c r="C26" s="1159"/>
      <c r="D26" s="1159" t="s">
        <v>1194</v>
      </c>
      <c r="E26" s="6"/>
      <c r="F26" s="6"/>
      <c r="G26" s="6"/>
      <c r="H26" s="6"/>
      <c r="I26" s="6"/>
      <c r="J26" s="6"/>
      <c r="K26" s="6"/>
      <c r="L26" s="6"/>
      <c r="M26" s="6"/>
      <c r="N26" s="6"/>
      <c r="O26" s="6"/>
      <c r="P26" s="6"/>
      <c r="Q26" s="6"/>
      <c r="R26" s="6"/>
      <c r="S26" s="6"/>
      <c r="T26" s="6"/>
      <c r="U26" s="6"/>
      <c r="V26" s="6"/>
      <c r="W26" s="6"/>
      <c r="X26" s="6"/>
      <c r="Y26" s="1157"/>
      <c r="Z26" s="6"/>
    </row>
    <row r="27" spans="1:26" ht="14.25" customHeight="1" thickBot="1">
      <c r="A27" s="6"/>
      <c r="B27" s="1156"/>
      <c r="C27" s="1173" t="s">
        <v>1644</v>
      </c>
      <c r="D27" s="1159"/>
      <c r="E27" s="6"/>
      <c r="F27" s="1174"/>
      <c r="G27" s="6"/>
      <c r="H27" s="6"/>
      <c r="I27" s="6"/>
      <c r="J27" s="6"/>
      <c r="K27" s="6"/>
      <c r="L27" s="6"/>
      <c r="M27" s="6"/>
      <c r="N27" s="6"/>
      <c r="O27" s="6"/>
      <c r="P27" s="6"/>
      <c r="Q27" s="6"/>
      <c r="R27" s="6"/>
      <c r="S27" s="6"/>
      <c r="T27" s="6"/>
      <c r="U27" s="6"/>
      <c r="V27" s="6"/>
      <c r="W27" s="6"/>
      <c r="X27" s="6"/>
      <c r="Y27" s="1157"/>
      <c r="Z27" s="6"/>
    </row>
    <row r="28" spans="1:26">
      <c r="A28" s="6"/>
      <c r="B28" s="1156"/>
      <c r="C28" s="1173" t="s">
        <v>1643</v>
      </c>
      <c r="D28" s="1159"/>
      <c r="E28" s="6"/>
      <c r="F28" s="6"/>
      <c r="G28" s="6"/>
      <c r="H28" s="6"/>
      <c r="I28" s="6"/>
      <c r="J28" s="6"/>
      <c r="K28" s="6"/>
      <c r="L28" s="6"/>
      <c r="M28" s="6"/>
      <c r="N28" s="6"/>
      <c r="O28" s="6"/>
      <c r="P28" s="6"/>
      <c r="Q28" s="6"/>
      <c r="R28" s="6"/>
      <c r="S28" s="6"/>
      <c r="T28" s="6"/>
      <c r="U28" s="6"/>
      <c r="V28" s="6"/>
      <c r="W28" s="6"/>
      <c r="X28" s="6"/>
      <c r="Y28" s="1157"/>
      <c r="Z28" s="6"/>
    </row>
    <row r="29" spans="1:26" ht="4.5" customHeight="1">
      <c r="A29" s="6"/>
      <c r="B29" s="1156"/>
      <c r="C29" s="1173"/>
      <c r="D29" s="1159"/>
      <c r="E29" s="6"/>
      <c r="F29" s="6"/>
      <c r="G29" s="6"/>
      <c r="H29" s="6"/>
      <c r="I29" s="6"/>
      <c r="J29" s="6"/>
      <c r="K29" s="6"/>
      <c r="L29" s="6"/>
      <c r="M29" s="6"/>
      <c r="N29" s="6"/>
      <c r="O29" s="6"/>
      <c r="P29" s="6"/>
      <c r="Q29" s="6"/>
      <c r="R29" s="6"/>
      <c r="S29" s="6"/>
      <c r="T29" s="6"/>
      <c r="U29" s="6"/>
      <c r="V29" s="6"/>
      <c r="W29" s="6"/>
      <c r="X29" s="6"/>
      <c r="Y29" s="1157"/>
      <c r="Z29" s="6"/>
    </row>
    <row r="30" spans="1:26">
      <c r="A30" s="6"/>
      <c r="B30" s="1156"/>
      <c r="C30" s="1601" t="s">
        <v>1530</v>
      </c>
      <c r="D30" s="1601"/>
      <c r="E30" s="1601"/>
      <c r="F30" s="1601"/>
      <c r="G30" s="1601"/>
      <c r="H30" s="1601"/>
      <c r="I30" s="1601"/>
      <c r="J30" s="1601"/>
      <c r="K30" s="1601"/>
      <c r="L30" s="1601"/>
      <c r="M30" s="6"/>
      <c r="N30" s="6"/>
      <c r="O30" s="6"/>
      <c r="P30" s="6"/>
      <c r="Q30" s="6"/>
      <c r="R30" s="6"/>
      <c r="S30" s="6"/>
      <c r="T30" s="6"/>
      <c r="U30" s="6"/>
      <c r="V30" s="6"/>
      <c r="W30" s="6"/>
      <c r="X30" s="6"/>
      <c r="Y30" s="1157"/>
      <c r="Z30" s="6"/>
    </row>
    <row r="31" spans="1:26">
      <c r="A31" s="6"/>
      <c r="B31" s="1161"/>
      <c r="C31" s="1601"/>
      <c r="D31" s="1601"/>
      <c r="E31" s="1601"/>
      <c r="F31" s="1601"/>
      <c r="G31" s="1601"/>
      <c r="H31" s="1601"/>
      <c r="I31" s="1601"/>
      <c r="J31" s="1601"/>
      <c r="K31" s="1601"/>
      <c r="L31" s="1601"/>
      <c r="M31" s="6"/>
      <c r="N31" s="6"/>
      <c r="O31" s="6"/>
      <c r="P31" s="6"/>
      <c r="Q31" s="6"/>
      <c r="R31" s="6"/>
      <c r="S31" s="6"/>
      <c r="T31" s="6"/>
      <c r="U31" s="6"/>
      <c r="V31" s="6"/>
      <c r="W31" s="6"/>
      <c r="X31" s="6"/>
      <c r="Y31" s="1157"/>
      <c r="Z31" s="6"/>
    </row>
    <row r="32" spans="1:26">
      <c r="A32" s="6"/>
      <c r="B32" s="1161"/>
      <c r="C32" s="6"/>
      <c r="D32" s="1159"/>
      <c r="E32" s="6"/>
      <c r="F32" s="6"/>
      <c r="G32" s="6"/>
      <c r="H32" s="6"/>
      <c r="I32" s="6"/>
      <c r="J32" s="6"/>
      <c r="K32" s="6"/>
      <c r="L32" s="6"/>
      <c r="M32" s="6"/>
      <c r="N32" s="6"/>
      <c r="O32" s="6"/>
      <c r="P32" s="6"/>
      <c r="Q32" s="6"/>
      <c r="R32" s="6"/>
      <c r="S32" s="6"/>
      <c r="T32" s="6"/>
      <c r="U32" s="6"/>
      <c r="V32" s="6"/>
      <c r="W32" s="6"/>
      <c r="X32" s="6"/>
      <c r="Y32" s="1157"/>
      <c r="Z32" s="6"/>
    </row>
    <row r="33" spans="1:26">
      <c r="A33" s="6"/>
      <c r="B33" s="1161"/>
      <c r="C33" s="6"/>
      <c r="D33" s="1159"/>
      <c r="E33" s="6"/>
      <c r="F33" s="6"/>
      <c r="G33" s="6"/>
      <c r="H33" s="6"/>
      <c r="I33" s="6"/>
      <c r="J33" s="6"/>
      <c r="K33" s="6"/>
      <c r="L33" s="6"/>
      <c r="M33" s="6"/>
      <c r="N33" s="6"/>
      <c r="O33" s="6"/>
      <c r="P33" s="6"/>
      <c r="Q33" s="6"/>
      <c r="R33" s="6"/>
      <c r="S33" s="6"/>
      <c r="T33" s="6"/>
      <c r="U33" s="6"/>
      <c r="V33" s="6"/>
      <c r="W33" s="6"/>
      <c r="X33" s="6"/>
      <c r="Y33" s="1157"/>
      <c r="Z33" s="6"/>
    </row>
    <row r="34" spans="1:26">
      <c r="A34" s="6"/>
      <c r="B34" s="1161"/>
      <c r="C34" s="6"/>
      <c r="D34" s="1159"/>
      <c r="E34" s="6"/>
      <c r="F34" s="6"/>
      <c r="G34" s="6"/>
      <c r="H34" s="6"/>
      <c r="I34" s="6"/>
      <c r="J34" s="6"/>
      <c r="K34" s="6"/>
      <c r="L34" s="6"/>
      <c r="M34" s="6"/>
      <c r="N34" s="6"/>
      <c r="O34" s="6"/>
      <c r="P34" s="6"/>
      <c r="Q34" s="6"/>
      <c r="R34" s="6"/>
      <c r="S34" s="6"/>
      <c r="T34" s="6"/>
      <c r="U34" s="6"/>
      <c r="V34" s="6"/>
      <c r="W34" s="6"/>
      <c r="X34" s="6"/>
      <c r="Y34" s="1157"/>
      <c r="Z34" s="6"/>
    </row>
    <row r="35" spans="1:26" ht="15" thickBot="1">
      <c r="A35" s="6"/>
      <c r="B35" s="1175"/>
      <c r="C35" s="1176"/>
      <c r="D35" s="1177"/>
      <c r="E35" s="1176"/>
      <c r="F35" s="1176"/>
      <c r="G35" s="1176"/>
      <c r="H35" s="1176"/>
      <c r="I35" s="1176"/>
      <c r="J35" s="1176"/>
      <c r="K35" s="1176"/>
      <c r="L35" s="1176"/>
      <c r="M35" s="1176"/>
      <c r="N35" s="1176"/>
      <c r="O35" s="1176"/>
      <c r="P35" s="1176"/>
      <c r="Q35" s="1176"/>
      <c r="R35" s="1176"/>
      <c r="S35" s="1176"/>
      <c r="T35" s="1176"/>
      <c r="U35" s="1176"/>
      <c r="V35" s="1176"/>
      <c r="W35" s="1176"/>
      <c r="X35" s="1176"/>
      <c r="Y35" s="1178"/>
      <c r="Z35" s="6"/>
    </row>
    <row r="36" spans="1:26" ht="15" thickBo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c r="A37" s="6"/>
      <c r="B37" s="1179"/>
      <c r="C37" s="1153"/>
      <c r="D37" s="1153"/>
      <c r="E37" s="1153"/>
      <c r="F37" s="1153"/>
      <c r="G37" s="1153"/>
      <c r="H37" s="1153"/>
      <c r="I37" s="1153"/>
      <c r="J37" s="1153"/>
      <c r="K37" s="1153"/>
      <c r="L37" s="1153"/>
      <c r="M37" s="1153"/>
      <c r="N37" s="1153"/>
      <c r="O37" s="1153"/>
      <c r="P37" s="1153"/>
      <c r="Q37" s="1153"/>
      <c r="R37" s="1153"/>
      <c r="S37" s="1153"/>
      <c r="T37" s="1153"/>
      <c r="U37" s="1153"/>
      <c r="V37" s="1153"/>
      <c r="W37" s="1153"/>
      <c r="X37" s="1153"/>
      <c r="Y37" s="1155"/>
      <c r="Z37" s="6"/>
    </row>
    <row r="38" spans="1:26" s="1182" customFormat="1">
      <c r="A38" s="1167"/>
      <c r="B38" s="1180"/>
      <c r="C38" s="1602" t="s">
        <v>1645</v>
      </c>
      <c r="D38" s="1602"/>
      <c r="E38" s="1602"/>
      <c r="F38" s="1602"/>
      <c r="G38" s="816"/>
      <c r="H38" s="816"/>
      <c r="I38" s="816"/>
      <c r="J38" s="816"/>
      <c r="K38" s="816"/>
      <c r="L38" s="816"/>
      <c r="M38" s="816"/>
      <c r="N38" s="816"/>
      <c r="O38" s="816"/>
      <c r="P38" s="1167"/>
      <c r="Q38" s="1167"/>
      <c r="R38" s="1167"/>
      <c r="S38" s="1167"/>
      <c r="T38" s="1167"/>
      <c r="U38" s="1167"/>
      <c r="V38" s="1167"/>
      <c r="W38" s="1167"/>
      <c r="X38" s="1167"/>
      <c r="Y38" s="1181"/>
      <c r="Z38" s="1167"/>
    </row>
    <row r="39" spans="1:26">
      <c r="A39" s="6"/>
      <c r="B39" s="1156"/>
      <c r="C39" s="6"/>
      <c r="D39" s="6"/>
      <c r="E39" s="6"/>
      <c r="F39" s="6"/>
      <c r="G39" s="6"/>
      <c r="H39" s="6"/>
      <c r="I39" s="6"/>
      <c r="J39" s="6"/>
      <c r="K39" s="6"/>
      <c r="L39" s="6"/>
      <c r="M39" s="6"/>
      <c r="N39" s="6"/>
      <c r="O39" s="6"/>
      <c r="P39" s="6"/>
      <c r="Q39" s="6"/>
      <c r="R39" s="6"/>
      <c r="S39" s="6"/>
      <c r="T39" s="6"/>
      <c r="U39" s="6"/>
      <c r="V39" s="6"/>
      <c r="W39" s="6"/>
      <c r="X39" s="6"/>
      <c r="Y39" s="1157"/>
      <c r="Z39" s="6"/>
    </row>
    <row r="40" spans="1:26">
      <c r="A40" s="6"/>
      <c r="B40" s="1156"/>
      <c r="C40" s="6"/>
      <c r="D40" s="6"/>
      <c r="E40" s="6"/>
      <c r="F40" s="6"/>
      <c r="G40" s="6"/>
      <c r="H40" s="6"/>
      <c r="I40" s="6"/>
      <c r="J40" s="6"/>
      <c r="K40" s="6"/>
      <c r="L40" s="6"/>
      <c r="M40" s="6"/>
      <c r="N40" s="6"/>
      <c r="O40" s="6"/>
      <c r="P40" s="6"/>
      <c r="Q40" s="6"/>
      <c r="R40" s="6"/>
      <c r="S40" s="6"/>
      <c r="T40" s="6"/>
      <c r="U40" s="6"/>
      <c r="V40" s="6"/>
      <c r="W40" s="6"/>
      <c r="X40" s="6"/>
      <c r="Y40" s="1157"/>
      <c r="Z40" s="6"/>
    </row>
    <row r="41" spans="1:26">
      <c r="A41" s="6"/>
      <c r="B41" s="1156"/>
      <c r="C41" s="6"/>
      <c r="D41" s="6"/>
      <c r="E41" s="6"/>
      <c r="F41" s="6"/>
      <c r="G41" s="6"/>
      <c r="H41" s="6"/>
      <c r="I41" s="6"/>
      <c r="J41" s="6"/>
      <c r="K41" s="6"/>
      <c r="L41" s="6"/>
      <c r="M41" s="6"/>
      <c r="N41" s="6"/>
      <c r="O41" s="6"/>
      <c r="P41" s="6"/>
      <c r="Q41" s="6"/>
      <c r="R41" s="6"/>
      <c r="S41" s="6"/>
      <c r="T41" s="6"/>
      <c r="U41" s="6"/>
      <c r="V41" s="6"/>
      <c r="W41" s="6"/>
      <c r="X41" s="6"/>
      <c r="Y41" s="1157"/>
      <c r="Z41" s="6"/>
    </row>
    <row r="42" spans="1:26">
      <c r="A42" s="6"/>
      <c r="B42" s="1156"/>
      <c r="C42" s="6"/>
      <c r="D42" s="6"/>
      <c r="E42" s="6"/>
      <c r="F42" s="6"/>
      <c r="G42" s="6"/>
      <c r="H42" s="405"/>
      <c r="I42" s="6"/>
      <c r="J42" s="6"/>
      <c r="K42" s="6"/>
      <c r="L42" s="6"/>
      <c r="M42" s="6"/>
      <c r="N42" s="6"/>
      <c r="O42" s="6"/>
      <c r="P42" s="6"/>
      <c r="Q42" s="6"/>
      <c r="R42" s="6"/>
      <c r="S42" s="6"/>
      <c r="T42" s="6"/>
      <c r="U42" s="6"/>
      <c r="V42" s="6"/>
      <c r="W42" s="6"/>
      <c r="X42" s="6"/>
      <c r="Y42" s="1157"/>
      <c r="Z42" s="6"/>
    </row>
    <row r="43" spans="1:26">
      <c r="A43" s="6"/>
      <c r="B43" s="1156"/>
      <c r="C43" s="6"/>
      <c r="D43" s="6"/>
      <c r="E43" s="6"/>
      <c r="F43" s="6"/>
      <c r="G43" s="6"/>
      <c r="H43" s="405"/>
      <c r="I43" s="6"/>
      <c r="J43" s="6"/>
      <c r="K43" s="6"/>
      <c r="L43" s="6"/>
      <c r="M43" s="6"/>
      <c r="N43" s="6"/>
      <c r="O43" s="6"/>
      <c r="P43" s="6"/>
      <c r="Q43" s="6"/>
      <c r="R43" s="6"/>
      <c r="S43" s="6"/>
      <c r="T43" s="6"/>
      <c r="U43" s="6"/>
      <c r="V43" s="6"/>
      <c r="W43" s="6"/>
      <c r="X43" s="6"/>
      <c r="Y43" s="1157"/>
      <c r="Z43" s="6"/>
    </row>
    <row r="44" spans="1:26">
      <c r="A44" s="6"/>
      <c r="B44" s="1156"/>
      <c r="C44" s="6"/>
      <c r="D44" s="6"/>
      <c r="E44" s="6"/>
      <c r="F44" s="6"/>
      <c r="G44" s="6"/>
      <c r="H44" s="6"/>
      <c r="I44" s="6"/>
      <c r="J44" s="6"/>
      <c r="K44" s="6"/>
      <c r="L44" s="6"/>
      <c r="M44" s="6"/>
      <c r="N44" s="6"/>
      <c r="O44" s="6"/>
      <c r="P44" s="6"/>
      <c r="Q44" s="6"/>
      <c r="R44" s="6"/>
      <c r="S44" s="6"/>
      <c r="T44" s="6"/>
      <c r="U44" s="6"/>
      <c r="V44" s="6"/>
      <c r="W44" s="6"/>
      <c r="X44" s="6"/>
      <c r="Y44" s="1157"/>
      <c r="Z44" s="6"/>
    </row>
    <row r="45" spans="1:26">
      <c r="A45" s="6"/>
      <c r="B45" s="1156"/>
      <c r="C45" s="6"/>
      <c r="D45" s="6"/>
      <c r="E45" s="6"/>
      <c r="F45" s="6"/>
      <c r="G45" s="6"/>
      <c r="H45" s="6"/>
      <c r="I45" s="6"/>
      <c r="J45" s="6"/>
      <c r="K45" s="6"/>
      <c r="L45" s="6"/>
      <c r="M45" s="6"/>
      <c r="N45" s="6"/>
      <c r="O45" s="6"/>
      <c r="P45" s="6"/>
      <c r="Q45" s="6"/>
      <c r="R45" s="6"/>
      <c r="S45" s="6"/>
      <c r="T45" s="6"/>
      <c r="U45" s="6"/>
      <c r="V45" s="6"/>
      <c r="W45" s="6"/>
      <c r="X45" s="6"/>
      <c r="Y45" s="1157"/>
      <c r="Z45" s="6"/>
    </row>
    <row r="46" spans="1:26">
      <c r="A46" s="6"/>
      <c r="B46" s="1156"/>
      <c r="C46" s="6"/>
      <c r="D46" s="6"/>
      <c r="E46" s="6"/>
      <c r="F46" s="6"/>
      <c r="G46" s="6"/>
      <c r="H46" s="6"/>
      <c r="I46" s="6"/>
      <c r="J46" s="6"/>
      <c r="K46" s="6"/>
      <c r="L46" s="6"/>
      <c r="M46" s="6"/>
      <c r="N46" s="6"/>
      <c r="O46" s="6"/>
      <c r="P46" s="6"/>
      <c r="Q46" s="6"/>
      <c r="R46" s="6"/>
      <c r="S46" s="6"/>
      <c r="T46" s="6"/>
      <c r="U46" s="6"/>
      <c r="V46" s="6"/>
      <c r="W46" s="6"/>
      <c r="X46" s="6"/>
      <c r="Y46" s="1157"/>
      <c r="Z46" s="6"/>
    </row>
    <row r="47" spans="1:26">
      <c r="A47" s="6"/>
      <c r="B47" s="1156"/>
      <c r="C47" s="6"/>
      <c r="D47" s="6"/>
      <c r="E47" s="6"/>
      <c r="F47" s="6"/>
      <c r="G47" s="6"/>
      <c r="H47" s="6"/>
      <c r="I47" s="6"/>
      <c r="J47" s="6"/>
      <c r="K47" s="6"/>
      <c r="L47" s="6"/>
      <c r="M47" s="6"/>
      <c r="N47" s="6"/>
      <c r="O47" s="6"/>
      <c r="P47" s="6"/>
      <c r="Q47" s="6"/>
      <c r="R47" s="6"/>
      <c r="S47" s="6"/>
      <c r="T47" s="6"/>
      <c r="U47" s="6"/>
      <c r="V47" s="6"/>
      <c r="W47" s="6"/>
      <c r="X47" s="6"/>
      <c r="Y47" s="1157"/>
      <c r="Z47" s="6"/>
    </row>
    <row r="48" spans="1:26">
      <c r="A48" s="6"/>
      <c r="B48" s="1156"/>
      <c r="C48" s="6"/>
      <c r="D48" s="6"/>
      <c r="E48" s="6"/>
      <c r="F48" s="6"/>
      <c r="G48" s="6"/>
      <c r="H48" s="6"/>
      <c r="I48" s="6"/>
      <c r="J48" s="6"/>
      <c r="K48" s="6"/>
      <c r="L48" s="6"/>
      <c r="M48" s="6"/>
      <c r="N48" s="6"/>
      <c r="O48" s="6"/>
      <c r="P48" s="6"/>
      <c r="Q48" s="6"/>
      <c r="R48" s="6"/>
      <c r="S48" s="6"/>
      <c r="T48" s="6"/>
      <c r="U48" s="6"/>
      <c r="V48" s="6"/>
      <c r="W48" s="6"/>
      <c r="X48" s="6"/>
      <c r="Y48" s="1157"/>
      <c r="Z48" s="6"/>
    </row>
    <row r="49" spans="1:26">
      <c r="A49" s="6"/>
      <c r="B49" s="1156"/>
      <c r="C49" s="6"/>
      <c r="D49" s="6"/>
      <c r="E49" s="6"/>
      <c r="F49" s="6"/>
      <c r="G49" s="6"/>
      <c r="H49" s="6"/>
      <c r="I49" s="571"/>
      <c r="J49" s="6"/>
      <c r="K49" s="6"/>
      <c r="L49" s="6"/>
      <c r="M49" s="6"/>
      <c r="N49" s="6"/>
      <c r="O49" s="6"/>
      <c r="P49" s="6"/>
      <c r="Q49" s="6"/>
      <c r="R49" s="6"/>
      <c r="S49" s="6"/>
      <c r="T49" s="6"/>
      <c r="U49" s="6"/>
      <c r="V49" s="6"/>
      <c r="W49" s="6"/>
      <c r="X49" s="6"/>
      <c r="Y49" s="1157"/>
      <c r="Z49" s="6"/>
    </row>
    <row r="50" spans="1:26">
      <c r="A50" s="6"/>
      <c r="B50" s="1156"/>
      <c r="C50" s="6"/>
      <c r="D50" s="6"/>
      <c r="E50" s="6"/>
      <c r="F50" s="6"/>
      <c r="G50" s="6"/>
      <c r="H50" s="6"/>
      <c r="I50" s="6"/>
      <c r="J50" s="6"/>
      <c r="K50" s="6"/>
      <c r="L50" s="6"/>
      <c r="M50" s="6"/>
      <c r="N50" s="6"/>
      <c r="O50" s="6"/>
      <c r="P50" s="6"/>
      <c r="Q50" s="6"/>
      <c r="R50" s="6"/>
      <c r="S50" s="6"/>
      <c r="T50" s="6"/>
      <c r="U50" s="6"/>
      <c r="V50" s="6"/>
      <c r="W50" s="6"/>
      <c r="X50" s="6"/>
      <c r="Y50" s="1157"/>
      <c r="Z50" s="6"/>
    </row>
    <row r="51" spans="1:26">
      <c r="A51" s="6"/>
      <c r="B51" s="1156"/>
      <c r="C51" s="6"/>
      <c r="D51" s="6"/>
      <c r="E51" s="6"/>
      <c r="F51" s="6"/>
      <c r="G51" s="6"/>
      <c r="H51" s="6"/>
      <c r="I51" s="1183" t="s">
        <v>1531</v>
      </c>
      <c r="J51" s="6"/>
      <c r="K51" s="6"/>
      <c r="L51" s="6"/>
      <c r="M51" s="6"/>
      <c r="N51" s="6"/>
      <c r="O51" s="6"/>
      <c r="P51" s="6"/>
      <c r="Q51" s="6"/>
      <c r="R51" s="6"/>
      <c r="S51" s="6"/>
      <c r="T51" s="6"/>
      <c r="U51" s="6"/>
      <c r="V51" s="6"/>
      <c r="W51" s="1603" t="s">
        <v>1531</v>
      </c>
      <c r="X51" s="1603"/>
      <c r="Y51" s="1157"/>
      <c r="Z51" s="6"/>
    </row>
    <row r="52" spans="1:26">
      <c r="A52" s="6"/>
      <c r="B52" s="1156"/>
      <c r="C52" s="6"/>
      <c r="D52" s="6"/>
      <c r="E52" s="6"/>
      <c r="F52" s="6"/>
      <c r="G52" s="6"/>
      <c r="H52" s="6"/>
      <c r="I52" s="6"/>
      <c r="J52" s="6"/>
      <c r="K52" s="6"/>
      <c r="L52" s="6"/>
      <c r="M52" s="6"/>
      <c r="N52" s="6"/>
      <c r="O52" s="6"/>
      <c r="P52" s="6"/>
      <c r="Q52" s="6"/>
      <c r="R52" s="6"/>
      <c r="S52" s="6"/>
      <c r="T52" s="6"/>
      <c r="U52" s="6"/>
      <c r="V52" s="6"/>
      <c r="W52" s="6"/>
      <c r="X52" s="6"/>
      <c r="Y52" s="1157"/>
      <c r="Z52" s="6"/>
    </row>
    <row r="53" spans="1:26">
      <c r="A53" s="6"/>
      <c r="B53" s="1156"/>
      <c r="C53" s="6"/>
      <c r="D53" s="6"/>
      <c r="E53" s="6"/>
      <c r="F53" s="6"/>
      <c r="G53" s="6"/>
      <c r="H53" s="6"/>
      <c r="I53" s="6"/>
      <c r="J53" s="6"/>
      <c r="K53" s="6"/>
      <c r="L53" s="6"/>
      <c r="M53" s="6"/>
      <c r="N53" s="6"/>
      <c r="O53" s="6"/>
      <c r="P53" s="6"/>
      <c r="Q53" s="6"/>
      <c r="R53" s="6"/>
      <c r="S53" s="6"/>
      <c r="T53" s="6"/>
      <c r="U53" s="6"/>
      <c r="V53" s="6"/>
      <c r="W53" s="6"/>
      <c r="X53" s="6"/>
      <c r="Y53" s="1157"/>
      <c r="Z53" s="6"/>
    </row>
    <row r="54" spans="1:26">
      <c r="A54" s="6"/>
      <c r="B54" s="1156"/>
      <c r="C54" s="6"/>
      <c r="D54" s="6"/>
      <c r="E54" s="6"/>
      <c r="F54" s="6"/>
      <c r="G54" s="6"/>
      <c r="H54" s="6"/>
      <c r="I54" s="6"/>
      <c r="J54" s="6"/>
      <c r="K54" s="6"/>
      <c r="L54" s="6"/>
      <c r="M54" s="6"/>
      <c r="N54" s="6"/>
      <c r="O54" s="6"/>
      <c r="P54" s="6"/>
      <c r="Q54" s="6"/>
      <c r="R54" s="6"/>
      <c r="S54" s="6"/>
      <c r="T54" s="6"/>
      <c r="U54" s="6"/>
      <c r="V54" s="6"/>
      <c r="W54" s="6"/>
      <c r="X54" s="6"/>
      <c r="Y54" s="1157"/>
      <c r="Z54" s="6"/>
    </row>
    <row r="55" spans="1:26">
      <c r="A55" s="6"/>
      <c r="B55" s="1156"/>
      <c r="C55" s="6"/>
      <c r="D55" s="6"/>
      <c r="E55" s="6"/>
      <c r="F55" s="6"/>
      <c r="G55" s="6"/>
      <c r="H55" s="6"/>
      <c r="I55" s="6"/>
      <c r="J55" s="6"/>
      <c r="K55" s="6"/>
      <c r="L55" s="6"/>
      <c r="M55" s="6"/>
      <c r="N55" s="6"/>
      <c r="O55" s="6"/>
      <c r="P55" s="6"/>
      <c r="Q55" s="6"/>
      <c r="R55" s="6"/>
      <c r="S55" s="6"/>
      <c r="T55" s="6"/>
      <c r="U55" s="6"/>
      <c r="V55" s="6"/>
      <c r="W55" s="6"/>
      <c r="X55" s="6"/>
      <c r="Y55" s="1157"/>
      <c r="Z55" s="6"/>
    </row>
    <row r="56" spans="1:26">
      <c r="A56" s="6"/>
      <c r="B56" s="1156"/>
      <c r="C56" s="6"/>
      <c r="D56" s="6"/>
      <c r="E56" s="6"/>
      <c r="F56" s="6"/>
      <c r="G56" s="6"/>
      <c r="H56" s="6"/>
      <c r="I56" s="6"/>
      <c r="J56" s="6"/>
      <c r="K56" s="6"/>
      <c r="L56" s="6"/>
      <c r="M56" s="6"/>
      <c r="N56" s="6"/>
      <c r="O56" s="6"/>
      <c r="P56" s="6"/>
      <c r="Q56" s="6"/>
      <c r="R56" s="6"/>
      <c r="S56" s="6"/>
      <c r="T56" s="6"/>
      <c r="U56" s="6"/>
      <c r="V56" s="6"/>
      <c r="W56" s="6"/>
      <c r="X56" s="6"/>
      <c r="Y56" s="1157"/>
      <c r="Z56" s="6"/>
    </row>
    <row r="57" spans="1:26">
      <c r="A57" s="6"/>
      <c r="B57" s="1156"/>
      <c r="C57" s="6"/>
      <c r="D57" s="6"/>
      <c r="E57" s="6"/>
      <c r="F57" s="6"/>
      <c r="G57" s="6"/>
      <c r="H57" s="6"/>
      <c r="I57" s="6"/>
      <c r="J57" s="6"/>
      <c r="K57" s="6"/>
      <c r="L57" s="6"/>
      <c r="M57" s="6"/>
      <c r="N57" s="6"/>
      <c r="O57" s="6"/>
      <c r="P57" s="6"/>
      <c r="Q57" s="6"/>
      <c r="R57" s="6"/>
      <c r="S57" s="6"/>
      <c r="T57" s="6"/>
      <c r="U57" s="6"/>
      <c r="V57" s="6"/>
      <c r="W57" s="6"/>
      <c r="X57" s="6"/>
      <c r="Y57" s="1157"/>
      <c r="Z57" s="6"/>
    </row>
    <row r="58" spans="1:26">
      <c r="A58" s="6"/>
      <c r="B58" s="1156"/>
      <c r="C58" s="6"/>
      <c r="D58" s="6"/>
      <c r="E58" s="6"/>
      <c r="F58" s="6"/>
      <c r="G58" s="6"/>
      <c r="H58" s="6"/>
      <c r="I58" s="6"/>
      <c r="J58" s="6"/>
      <c r="K58" s="6"/>
      <c r="L58" s="6"/>
      <c r="M58" s="6"/>
      <c r="N58" s="6"/>
      <c r="O58" s="6"/>
      <c r="P58" s="6"/>
      <c r="Q58" s="6"/>
      <c r="R58" s="6"/>
      <c r="S58" s="6"/>
      <c r="T58" s="6"/>
      <c r="U58" s="6"/>
      <c r="V58" s="6"/>
      <c r="W58" s="6"/>
      <c r="X58" s="6"/>
      <c r="Y58" s="1157"/>
      <c r="Z58" s="6"/>
    </row>
    <row r="59" spans="1:26">
      <c r="A59" s="6"/>
      <c r="B59" s="1156"/>
      <c r="C59" s="6"/>
      <c r="D59" s="6"/>
      <c r="E59" s="6"/>
      <c r="F59" s="6"/>
      <c r="G59" s="6"/>
      <c r="H59" s="6"/>
      <c r="I59" s="6"/>
      <c r="J59" s="6"/>
      <c r="K59" s="6"/>
      <c r="L59" s="6"/>
      <c r="M59" s="6"/>
      <c r="N59" s="6"/>
      <c r="O59" s="6"/>
      <c r="P59" s="6"/>
      <c r="Q59" s="6"/>
      <c r="R59" s="6"/>
      <c r="S59" s="6"/>
      <c r="T59" s="6"/>
      <c r="U59" s="6"/>
      <c r="V59" s="6"/>
      <c r="W59" s="6"/>
      <c r="X59" s="6"/>
      <c r="Y59" s="1157"/>
      <c r="Z59" s="6"/>
    </row>
    <row r="60" spans="1:26">
      <c r="A60" s="6"/>
      <c r="B60" s="1156"/>
      <c r="C60" s="6"/>
      <c r="D60" s="6"/>
      <c r="E60" s="6"/>
      <c r="F60" s="6"/>
      <c r="G60" s="6"/>
      <c r="H60" s="6"/>
      <c r="I60" s="6"/>
      <c r="J60" s="6"/>
      <c r="K60" s="6"/>
      <c r="L60" s="6"/>
      <c r="M60" s="6"/>
      <c r="N60" s="6"/>
      <c r="O60" s="6"/>
      <c r="P60" s="6"/>
      <c r="Q60" s="6"/>
      <c r="R60" s="6"/>
      <c r="S60" s="6"/>
      <c r="T60" s="6"/>
      <c r="U60" s="6"/>
      <c r="V60" s="6"/>
      <c r="W60" s="6"/>
      <c r="X60" s="6"/>
      <c r="Y60" s="1157"/>
      <c r="Z60" s="6"/>
    </row>
    <row r="61" spans="1:26">
      <c r="A61" s="6"/>
      <c r="B61" s="1156"/>
      <c r="C61" s="6"/>
      <c r="D61" s="6"/>
      <c r="E61" s="6"/>
      <c r="F61" s="6"/>
      <c r="G61" s="6"/>
      <c r="H61" s="6"/>
      <c r="I61" s="6"/>
      <c r="J61" s="6"/>
      <c r="K61" s="6"/>
      <c r="L61" s="6"/>
      <c r="M61" s="6"/>
      <c r="N61" s="6"/>
      <c r="O61" s="6"/>
      <c r="P61" s="6"/>
      <c r="Q61" s="6"/>
      <c r="R61" s="6"/>
      <c r="S61" s="6"/>
      <c r="T61" s="6"/>
      <c r="U61" s="6"/>
      <c r="V61" s="6"/>
      <c r="W61" s="6"/>
      <c r="X61" s="6"/>
      <c r="Y61" s="1157"/>
      <c r="Z61" s="6"/>
    </row>
    <row r="62" spans="1:26">
      <c r="A62" s="6"/>
      <c r="B62" s="1156"/>
      <c r="C62" s="6"/>
      <c r="D62" s="6"/>
      <c r="E62" s="6"/>
      <c r="F62" s="6"/>
      <c r="G62" s="6"/>
      <c r="H62" s="6"/>
      <c r="I62" s="6"/>
      <c r="J62" s="6"/>
      <c r="K62" s="6"/>
      <c r="L62" s="6"/>
      <c r="M62" s="6"/>
      <c r="N62" s="6"/>
      <c r="O62" s="6"/>
      <c r="P62" s="6"/>
      <c r="Q62" s="6"/>
      <c r="R62" s="6"/>
      <c r="S62" s="6"/>
      <c r="T62" s="6"/>
      <c r="U62" s="6"/>
      <c r="V62" s="6"/>
      <c r="W62" s="6"/>
      <c r="X62" s="6"/>
      <c r="Y62" s="1157"/>
      <c r="Z62" s="6"/>
    </row>
    <row r="63" spans="1:26">
      <c r="A63" s="6"/>
      <c r="B63" s="1156"/>
      <c r="C63" s="6"/>
      <c r="D63" s="6"/>
      <c r="E63" s="6"/>
      <c r="F63" s="6"/>
      <c r="G63" s="6"/>
      <c r="H63" s="6"/>
      <c r="I63" s="6"/>
      <c r="J63" s="6"/>
      <c r="K63" s="6"/>
      <c r="L63" s="6"/>
      <c r="M63" s="6"/>
      <c r="N63" s="6"/>
      <c r="O63" s="6"/>
      <c r="P63" s="6"/>
      <c r="Q63" s="6"/>
      <c r="R63" s="6"/>
      <c r="S63" s="6"/>
      <c r="T63" s="6"/>
      <c r="U63" s="6"/>
      <c r="V63" s="6"/>
      <c r="W63" s="6"/>
      <c r="X63" s="6"/>
      <c r="Y63" s="1157"/>
      <c r="Z63" s="6"/>
    </row>
    <row r="64" spans="1:26">
      <c r="A64" s="6"/>
      <c r="B64" s="1156"/>
      <c r="C64" s="6"/>
      <c r="D64" s="6"/>
      <c r="E64" s="6"/>
      <c r="F64" s="6"/>
      <c r="G64" s="6"/>
      <c r="H64" s="1599" t="s">
        <v>1535</v>
      </c>
      <c r="I64" s="1599"/>
      <c r="J64" s="6"/>
      <c r="K64" s="6"/>
      <c r="L64" s="6"/>
      <c r="M64" s="6"/>
      <c r="N64" s="6"/>
      <c r="O64" s="6"/>
      <c r="P64" s="6"/>
      <c r="Q64" s="6"/>
      <c r="R64" s="6"/>
      <c r="S64" s="6"/>
      <c r="T64" s="6"/>
      <c r="U64" s="6"/>
      <c r="V64" s="6"/>
      <c r="W64" s="6"/>
      <c r="X64" s="6"/>
      <c r="Y64" s="1157"/>
      <c r="Z64" s="6"/>
    </row>
    <row r="65" spans="1:26">
      <c r="A65" s="6"/>
      <c r="B65" s="1156"/>
      <c r="C65" s="6"/>
      <c r="D65" s="6"/>
      <c r="E65" s="6"/>
      <c r="F65" s="6"/>
      <c r="G65" s="6"/>
      <c r="H65" s="6"/>
      <c r="I65" s="6"/>
      <c r="J65" s="6"/>
      <c r="K65" s="6"/>
      <c r="L65" s="6"/>
      <c r="M65" s="6"/>
      <c r="N65" s="6"/>
      <c r="O65" s="6"/>
      <c r="P65" s="6"/>
      <c r="Q65" s="6"/>
      <c r="R65" s="6"/>
      <c r="S65" s="6"/>
      <c r="T65" s="1598" t="s">
        <v>1536</v>
      </c>
      <c r="U65" s="1598"/>
      <c r="V65" s="1598"/>
      <c r="W65" s="1598"/>
      <c r="X65" s="6"/>
      <c r="Y65" s="1157"/>
      <c r="Z65" s="6"/>
    </row>
    <row r="66" spans="1:26">
      <c r="A66" s="6"/>
      <c r="B66" s="1156"/>
      <c r="C66" s="6"/>
      <c r="D66" s="6"/>
      <c r="E66" s="6"/>
      <c r="F66" s="6"/>
      <c r="G66" s="6"/>
      <c r="H66" s="6"/>
      <c r="I66" s="6"/>
      <c r="J66" s="6"/>
      <c r="K66" s="6"/>
      <c r="L66" s="6"/>
      <c r="M66" s="6"/>
      <c r="N66" s="6"/>
      <c r="O66" s="6"/>
      <c r="P66" s="6"/>
      <c r="Q66" s="6"/>
      <c r="R66" s="6"/>
      <c r="S66" s="6"/>
      <c r="T66" s="6"/>
      <c r="U66" s="6"/>
      <c r="V66" s="6"/>
      <c r="W66" s="6"/>
      <c r="X66" s="6"/>
      <c r="Y66" s="1157"/>
      <c r="Z66" s="6"/>
    </row>
    <row r="67" spans="1:26">
      <c r="A67" s="6"/>
      <c r="B67" s="1156"/>
      <c r="C67" s="6"/>
      <c r="D67" s="6"/>
      <c r="E67" s="6"/>
      <c r="F67" s="6"/>
      <c r="G67" s="6"/>
      <c r="H67" s="6"/>
      <c r="I67" s="6"/>
      <c r="J67" s="6"/>
      <c r="K67" s="6"/>
      <c r="L67" s="6"/>
      <c r="M67" s="6"/>
      <c r="N67" s="6"/>
      <c r="O67" s="6"/>
      <c r="P67" s="6"/>
      <c r="Q67" s="6"/>
      <c r="R67" s="6"/>
      <c r="S67" s="6"/>
      <c r="T67" s="6"/>
      <c r="U67" s="6"/>
      <c r="V67" s="6"/>
      <c r="W67" s="6"/>
      <c r="X67" s="6"/>
      <c r="Y67" s="1157"/>
      <c r="Z67" s="6"/>
    </row>
    <row r="68" spans="1:26" ht="19.8">
      <c r="A68" s="6"/>
      <c r="B68" s="1156"/>
      <c r="C68" s="6"/>
      <c r="D68" s="6"/>
      <c r="E68" s="6"/>
      <c r="F68" s="6"/>
      <c r="G68" s="1184"/>
      <c r="H68" s="1184"/>
      <c r="I68" s="6"/>
      <c r="J68" s="6"/>
      <c r="K68" s="6"/>
      <c r="L68" s="6"/>
      <c r="M68" s="6"/>
      <c r="N68" s="6"/>
      <c r="O68" s="6"/>
      <c r="P68" s="6"/>
      <c r="Q68" s="6"/>
      <c r="R68" s="6"/>
      <c r="S68" s="6"/>
      <c r="T68" s="6"/>
      <c r="U68" s="6"/>
      <c r="V68" s="6"/>
      <c r="W68" s="6"/>
      <c r="X68" s="6"/>
      <c r="Y68" s="1157"/>
      <c r="Z68" s="6"/>
    </row>
    <row r="69" spans="1:26">
      <c r="A69" s="6"/>
      <c r="B69" s="1156"/>
      <c r="C69" s="6"/>
      <c r="D69" s="6"/>
      <c r="E69" s="6"/>
      <c r="F69" s="6"/>
      <c r="G69" s="6"/>
      <c r="H69" s="6"/>
      <c r="I69" s="6"/>
      <c r="J69" s="6"/>
      <c r="K69" s="6"/>
      <c r="L69" s="6"/>
      <c r="M69" s="6"/>
      <c r="N69" s="6"/>
      <c r="O69" s="6"/>
      <c r="P69" s="6"/>
      <c r="Q69" s="6"/>
      <c r="R69" s="6"/>
      <c r="S69" s="6"/>
      <c r="T69" s="6"/>
      <c r="U69" s="6"/>
      <c r="V69" s="6"/>
      <c r="W69" s="6"/>
      <c r="X69" s="6"/>
      <c r="Y69" s="1157"/>
      <c r="Z69" s="6"/>
    </row>
    <row r="70" spans="1:26">
      <c r="A70" s="6"/>
      <c r="B70" s="1156"/>
      <c r="C70" s="6"/>
      <c r="D70" s="6"/>
      <c r="E70" s="6"/>
      <c r="F70" s="6"/>
      <c r="G70" s="6"/>
      <c r="H70" s="6"/>
      <c r="I70" s="6"/>
      <c r="J70" s="6"/>
      <c r="K70" s="6"/>
      <c r="L70" s="6"/>
      <c r="M70" s="6"/>
      <c r="N70" s="6"/>
      <c r="O70" s="6"/>
      <c r="P70" s="6"/>
      <c r="Q70" s="6"/>
      <c r="R70" s="6"/>
      <c r="S70" s="6"/>
      <c r="T70" s="6"/>
      <c r="U70" s="6"/>
      <c r="V70" s="6"/>
      <c r="W70" s="6"/>
      <c r="X70" s="6"/>
      <c r="Y70" s="1157"/>
      <c r="Z70" s="6"/>
    </row>
    <row r="71" spans="1:26">
      <c r="A71" s="6"/>
      <c r="B71" s="1156"/>
      <c r="C71" s="6"/>
      <c r="D71" s="6"/>
      <c r="E71" s="6"/>
      <c r="F71" s="1599" t="s">
        <v>1536</v>
      </c>
      <c r="G71" s="1599"/>
      <c r="H71" s="6"/>
      <c r="I71" s="6"/>
      <c r="J71" s="6"/>
      <c r="K71" s="6"/>
      <c r="L71" s="6"/>
      <c r="M71" s="6"/>
      <c r="N71" s="6"/>
      <c r="O71" s="6"/>
      <c r="P71" s="6" t="s">
        <v>1536</v>
      </c>
      <c r="Q71" s="6"/>
      <c r="R71" s="6"/>
      <c r="S71" s="6"/>
      <c r="T71" s="6"/>
      <c r="U71" s="6"/>
      <c r="V71" s="6"/>
      <c r="W71" s="6"/>
      <c r="X71" s="6"/>
      <c r="Y71" s="1157"/>
      <c r="Z71" s="6"/>
    </row>
    <row r="72" spans="1:26">
      <c r="A72" s="6"/>
      <c r="B72" s="1156"/>
      <c r="C72" s="6"/>
      <c r="D72" s="6"/>
      <c r="E72" s="6"/>
      <c r="F72" s="6"/>
      <c r="G72" s="6"/>
      <c r="H72" s="6"/>
      <c r="I72" s="6"/>
      <c r="J72" s="6"/>
      <c r="K72" s="6"/>
      <c r="L72" s="6"/>
      <c r="M72" s="6"/>
      <c r="N72" s="6"/>
      <c r="O72" s="6"/>
      <c r="P72" s="6"/>
      <c r="Q72" s="6"/>
      <c r="R72" s="6"/>
      <c r="S72" s="6"/>
      <c r="T72" s="6"/>
      <c r="U72" s="6"/>
      <c r="V72" s="6"/>
      <c r="W72" s="6"/>
      <c r="X72" s="6"/>
      <c r="Y72" s="1157"/>
      <c r="Z72" s="6"/>
    </row>
    <row r="73" spans="1:26">
      <c r="A73" s="6"/>
      <c r="B73" s="1156"/>
      <c r="C73" s="6"/>
      <c r="D73" s="6"/>
      <c r="E73" s="6"/>
      <c r="F73" s="6"/>
      <c r="G73" s="6"/>
      <c r="H73" s="6"/>
      <c r="I73" s="6"/>
      <c r="J73" s="6"/>
      <c r="K73" s="6"/>
      <c r="L73" s="6"/>
      <c r="M73" s="6"/>
      <c r="N73" s="6"/>
      <c r="O73" s="6"/>
      <c r="P73" s="6"/>
      <c r="Q73" s="6"/>
      <c r="R73" s="6"/>
      <c r="S73" s="6"/>
      <c r="T73" s="6"/>
      <c r="U73" s="6"/>
      <c r="V73" s="6"/>
      <c r="W73" s="6"/>
      <c r="X73" s="6"/>
      <c r="Y73" s="1157"/>
      <c r="Z73" s="6"/>
    </row>
    <row r="74" spans="1:26">
      <c r="A74" s="6"/>
      <c r="B74" s="1156"/>
      <c r="C74" s="1185"/>
      <c r="D74" s="6"/>
      <c r="E74" s="6"/>
      <c r="F74" s="6"/>
      <c r="G74" s="6"/>
      <c r="H74" s="6"/>
      <c r="I74" s="6"/>
      <c r="J74" s="6"/>
      <c r="K74" s="6"/>
      <c r="L74" s="6"/>
      <c r="M74" s="6"/>
      <c r="N74" s="6"/>
      <c r="O74" s="6"/>
      <c r="P74" s="6"/>
      <c r="Q74" s="6"/>
      <c r="R74" s="6"/>
      <c r="S74" s="6"/>
      <c r="T74" s="6"/>
      <c r="U74" s="6"/>
      <c r="V74" s="6"/>
      <c r="W74" s="6"/>
      <c r="X74" s="6"/>
      <c r="Y74" s="1157"/>
      <c r="Z74" s="6"/>
    </row>
    <row r="75" spans="1:26">
      <c r="A75" s="6"/>
      <c r="B75" s="1156"/>
      <c r="C75" s="1017"/>
      <c r="D75" s="6"/>
      <c r="E75" s="6"/>
      <c r="F75" s="6"/>
      <c r="G75" s="6"/>
      <c r="H75" s="6"/>
      <c r="I75" s="6"/>
      <c r="J75" s="6"/>
      <c r="K75" s="6"/>
      <c r="L75" s="6"/>
      <c r="M75" s="6"/>
      <c r="N75" s="6"/>
      <c r="O75" s="6"/>
      <c r="P75" s="6"/>
      <c r="Q75" s="6"/>
      <c r="R75" s="6"/>
      <c r="S75" s="6"/>
      <c r="T75" s="6"/>
      <c r="U75" s="6"/>
      <c r="V75" s="6"/>
      <c r="W75" s="6"/>
      <c r="X75" s="6"/>
      <c r="Y75" s="1157"/>
      <c r="Z75" s="6"/>
    </row>
    <row r="76" spans="1:26" ht="15" thickBot="1">
      <c r="A76" s="6"/>
      <c r="B76" s="1186"/>
      <c r="C76" s="1176"/>
      <c r="D76" s="1176"/>
      <c r="E76" s="1176"/>
      <c r="F76" s="1176"/>
      <c r="G76" s="1176"/>
      <c r="H76" s="1176"/>
      <c r="I76" s="1176"/>
      <c r="J76" s="1176"/>
      <c r="K76" s="1176"/>
      <c r="L76" s="1176"/>
      <c r="M76" s="1176"/>
      <c r="N76" s="1176"/>
      <c r="O76" s="1176"/>
      <c r="P76" s="1176"/>
      <c r="Q76" s="1176"/>
      <c r="R76" s="1176"/>
      <c r="S76" s="1176"/>
      <c r="T76" s="1176"/>
      <c r="U76" s="1176"/>
      <c r="V76" s="1176"/>
      <c r="W76" s="1176"/>
      <c r="X76" s="1176"/>
      <c r="Y76" s="1178"/>
      <c r="Z76" s="6"/>
    </row>
    <row r="77" spans="1:26">
      <c r="A77" s="6"/>
      <c r="B77" s="6"/>
      <c r="C77" s="6"/>
      <c r="D77" s="6"/>
      <c r="E77" s="6"/>
      <c r="F77" s="6"/>
      <c r="G77" s="6"/>
      <c r="H77" s="6"/>
      <c r="I77" s="6"/>
      <c r="J77" s="6"/>
      <c r="K77" s="6"/>
      <c r="L77" s="6"/>
      <c r="M77" s="6"/>
      <c r="N77" s="6"/>
      <c r="O77" s="6"/>
      <c r="P77" s="6"/>
      <c r="Q77" s="6"/>
      <c r="R77" s="6"/>
      <c r="S77" s="6"/>
      <c r="T77" s="6"/>
      <c r="U77" s="6"/>
      <c r="V77" s="6"/>
      <c r="W77" s="6"/>
      <c r="X77" s="6"/>
      <c r="Y77" s="6"/>
      <c r="Z77" s="6"/>
    </row>
  </sheetData>
  <sheetProtection algorithmName="SHA-512" hashValue="zbUigVi6RlW2B9Iaj1vedWsStu1WhiZBL5XvGoN+Hun6VKG//2yvP7YpQw1RymdxmUT5QVBXvukWTfC6VKevkA==" saltValue="mf/UvQg2Y9MlHVFf7htwJw==" spinCount="100000" sheet="1" objects="1" scenarios="1"/>
  <mergeCells count="7">
    <mergeCell ref="T65:W65"/>
    <mergeCell ref="F71:G71"/>
    <mergeCell ref="C8:M8"/>
    <mergeCell ref="C30:L31"/>
    <mergeCell ref="C38:F38"/>
    <mergeCell ref="W51:X51"/>
    <mergeCell ref="H64:I64"/>
  </mergeCells>
  <dataValidations count="3">
    <dataValidation allowBlank="1" showInputMessage="1" showErrorMessage="1" prompt="City water" sqref="I51 W51:X51" xr:uid="{F10535A5-397C-40C0-BEF8-3DF6A73A3E7C}"/>
    <dataValidation allowBlank="1" showInputMessage="1" showErrorMessage="1" prompt="Eau de la ville" sqref="N49 K49:L49" xr:uid="{F3A2CE52-AEE1-474E-82DC-DB9CF3AAF246}"/>
    <dataValidation allowBlank="1" showInputMessage="1" showErrorMessage="1" prompt="Eau alimentée à la chaudière. En général, l’eau d’alimentation est la somme du débit d’eau d’appoint et du débit d’eau de condensat." sqref="I72:J72" xr:uid="{E7FEC8C9-7545-4942-9AE2-130FED437B80}"/>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DAD4-E3FA-421F-8996-5B9734C3732F}">
  <sheetPr codeName="Feuil5">
    <tabColor rgb="FF00B0F0"/>
  </sheetPr>
  <dimension ref="A1:V159"/>
  <sheetViews>
    <sheetView workbookViewId="0">
      <selection activeCell="G129" sqref="G129:H129"/>
    </sheetView>
  </sheetViews>
  <sheetFormatPr baseColWidth="10" defaultColWidth="11.44140625" defaultRowHeight="14.4" outlineLevelRow="1"/>
  <cols>
    <col min="1" max="3" width="3.21875" style="1021" customWidth="1"/>
    <col min="4" max="4" width="48.21875" style="1021" customWidth="1"/>
    <col min="5" max="8" width="21.44140625" style="1021" customWidth="1"/>
    <col min="9" max="9" width="26.5546875" style="1021" customWidth="1"/>
    <col min="10" max="11" width="14.77734375" style="1021" customWidth="1"/>
    <col min="12" max="12" width="16.44140625" style="1021" customWidth="1"/>
    <col min="13" max="13" width="6.21875" style="1252" customWidth="1"/>
    <col min="14" max="15" width="3.21875" style="1021" customWidth="1"/>
    <col min="16" max="16" width="14.77734375" style="1021" customWidth="1"/>
    <col min="17" max="17" width="21.5546875" style="1021" customWidth="1"/>
    <col min="18" max="18" width="14" style="1021" customWidth="1"/>
    <col min="19" max="19" width="22" style="1021" customWidth="1"/>
    <col min="20" max="20" width="10.21875" style="1021" customWidth="1"/>
    <col min="21" max="21" width="34" style="1021" customWidth="1"/>
    <col min="22" max="22" width="14.77734375" style="1021" customWidth="1"/>
    <col min="23" max="23" width="27.44140625" style="1021" bestFit="1" customWidth="1"/>
    <col min="24" max="16384" width="11.44140625" style="1021"/>
  </cols>
  <sheetData>
    <row r="1" spans="1:15" ht="13.5" customHeight="1">
      <c r="A1" s="6"/>
      <c r="B1" s="6"/>
      <c r="C1" s="6"/>
      <c r="D1" s="6"/>
      <c r="E1" s="6"/>
      <c r="F1" s="6"/>
      <c r="G1" s="6"/>
      <c r="H1" s="6"/>
      <c r="I1" s="6"/>
      <c r="J1" s="6"/>
      <c r="K1" s="6"/>
      <c r="L1" s="6"/>
      <c r="M1" s="411"/>
      <c r="N1" s="6"/>
      <c r="O1" s="6"/>
    </row>
    <row r="2" spans="1:15" ht="24.75" customHeight="1">
      <c r="A2" s="6"/>
      <c r="B2" s="453" t="s">
        <v>1567</v>
      </c>
      <c r="C2" s="6"/>
      <c r="D2" s="1022"/>
      <c r="E2" s="1022"/>
      <c r="F2" s="1022"/>
      <c r="G2" s="6"/>
      <c r="H2" s="6"/>
      <c r="I2" s="6"/>
      <c r="J2" s="6"/>
      <c r="K2" s="6"/>
      <c r="L2" s="6"/>
      <c r="M2" s="411"/>
      <c r="N2" s="6"/>
      <c r="O2" s="6"/>
    </row>
    <row r="3" spans="1:15" ht="18.75" customHeight="1">
      <c r="A3" s="6"/>
      <c r="B3" s="1026" t="s">
        <v>1650</v>
      </c>
      <c r="C3" s="6"/>
      <c r="D3" s="1150"/>
      <c r="E3" s="1150"/>
      <c r="F3" s="1150"/>
      <c r="G3" s="6"/>
      <c r="H3" s="6"/>
      <c r="I3" s="6"/>
      <c r="J3" s="6"/>
      <c r="K3" s="6"/>
      <c r="L3" s="6"/>
      <c r="M3" s="454"/>
      <c r="N3" s="454"/>
      <c r="O3" s="6"/>
    </row>
    <row r="4" spans="1:15" ht="18.75" customHeight="1">
      <c r="A4" s="6"/>
      <c r="B4" s="1187"/>
      <c r="C4" s="6"/>
      <c r="D4" s="6"/>
      <c r="E4" s="6"/>
      <c r="F4" s="6"/>
      <c r="G4" s="6"/>
      <c r="H4" s="6"/>
      <c r="I4" s="6"/>
      <c r="J4" s="6"/>
      <c r="K4" s="6"/>
      <c r="L4" s="6"/>
      <c r="M4" s="454"/>
      <c r="N4" s="454"/>
      <c r="O4" s="6"/>
    </row>
    <row r="5" spans="1:15" ht="15" customHeight="1">
      <c r="A5" s="6"/>
      <c r="B5" s="817"/>
      <c r="C5" s="1188"/>
      <c r="D5" s="821" t="s">
        <v>1507</v>
      </c>
      <c r="E5" s="885" t="str">
        <f>IF('1. General Information'!F8="","",'1. General Information'!F8)</f>
        <v>PE242-XXX</v>
      </c>
      <c r="F5" s="817"/>
      <c r="G5" s="6"/>
      <c r="H5" s="817"/>
      <c r="I5" s="1189"/>
      <c r="J5" s="1189"/>
      <c r="K5" s="1189"/>
      <c r="L5" s="1189"/>
      <c r="M5" s="807"/>
      <c r="N5" s="817"/>
      <c r="O5" s="6"/>
    </row>
    <row r="6" spans="1:15" ht="15" customHeight="1">
      <c r="A6" s="6"/>
      <c r="B6" s="6"/>
      <c r="C6" s="6"/>
      <c r="D6" s="6"/>
      <c r="E6" s="6"/>
      <c r="F6" s="6"/>
      <c r="G6" s="6"/>
      <c r="H6" s="6"/>
      <c r="I6" s="6"/>
      <c r="J6" s="6"/>
      <c r="K6" s="6"/>
      <c r="L6" s="6"/>
      <c r="M6" s="6"/>
      <c r="N6" s="6"/>
      <c r="O6" s="6"/>
    </row>
    <row r="7" spans="1:15" ht="15" customHeight="1">
      <c r="A7" s="6"/>
      <c r="B7" s="1190"/>
      <c r="C7" s="1190"/>
      <c r="D7" s="1191" t="s">
        <v>1651</v>
      </c>
      <c r="E7" s="1192"/>
      <c r="F7" s="1192"/>
      <c r="G7" s="1192"/>
      <c r="H7" s="1192"/>
      <c r="I7" s="1192"/>
      <c r="J7" s="1192"/>
      <c r="K7" s="1193"/>
      <c r="L7" s="1193"/>
      <c r="M7" s="1194"/>
      <c r="N7" s="1034"/>
      <c r="O7" s="6"/>
    </row>
    <row r="8" spans="1:15" ht="6.75" customHeight="1" thickBot="1">
      <c r="A8" s="6"/>
      <c r="B8" s="1195"/>
      <c r="C8" s="1195"/>
      <c r="D8" s="1196"/>
      <c r="E8" s="1197"/>
      <c r="F8" s="1197"/>
      <c r="G8" s="1197"/>
      <c r="H8" s="1197"/>
      <c r="I8" s="1197"/>
      <c r="J8" s="1197"/>
      <c r="K8" s="1198"/>
      <c r="L8" s="1198"/>
      <c r="M8" s="1199"/>
      <c r="N8" s="1200"/>
      <c r="O8" s="6"/>
    </row>
    <row r="9" spans="1:15" ht="15" customHeight="1" thickBot="1">
      <c r="A9" s="6"/>
      <c r="B9" s="1195"/>
      <c r="C9" s="1195"/>
      <c r="D9" s="1201" t="s">
        <v>1537</v>
      </c>
      <c r="E9" s="1197"/>
      <c r="F9" s="1197"/>
      <c r="G9" s="958" t="s">
        <v>1457</v>
      </c>
      <c r="H9" s="1197"/>
      <c r="I9" s="1197"/>
      <c r="J9" s="1197"/>
      <c r="K9" s="1198"/>
      <c r="L9" s="1198"/>
      <c r="M9" s="1199"/>
      <c r="N9" s="1200"/>
      <c r="O9" s="6"/>
    </row>
    <row r="10" spans="1:15" ht="6.75" customHeight="1" thickBot="1">
      <c r="A10" s="6"/>
      <c r="B10" s="1195"/>
      <c r="C10" s="1195"/>
      <c r="D10" s="1201"/>
      <c r="E10" s="1197"/>
      <c r="F10" s="1197"/>
      <c r="G10" s="1202"/>
      <c r="H10" s="1197"/>
      <c r="I10" s="1197"/>
      <c r="J10" s="1197"/>
      <c r="K10" s="1198"/>
      <c r="L10" s="1198"/>
      <c r="M10" s="1199"/>
      <c r="N10" s="1200"/>
      <c r="O10" s="6"/>
    </row>
    <row r="11" spans="1:15" ht="15" customHeight="1" thickBot="1">
      <c r="A11" s="6"/>
      <c r="B11" s="1195"/>
      <c r="C11" s="1195"/>
      <c r="D11" s="1201" t="s">
        <v>1652</v>
      </c>
      <c r="E11" s="1197"/>
      <c r="F11" s="1197"/>
      <c r="G11" s="958" t="s">
        <v>1457</v>
      </c>
      <c r="H11" s="1197"/>
      <c r="I11" s="1197"/>
      <c r="J11" s="1197"/>
      <c r="K11" s="1198"/>
      <c r="L11" s="1198"/>
      <c r="M11" s="1199"/>
      <c r="N11" s="1200"/>
      <c r="O11" s="6"/>
    </row>
    <row r="12" spans="1:15" ht="6.75" customHeight="1">
      <c r="A12" s="6"/>
      <c r="B12" s="1195"/>
      <c r="C12" s="1195"/>
      <c r="D12" s="1201"/>
      <c r="E12" s="1197"/>
      <c r="F12" s="1197"/>
      <c r="G12" s="1202"/>
      <c r="H12" s="1197"/>
      <c r="I12" s="1197"/>
      <c r="J12" s="1197"/>
      <c r="K12" s="1198"/>
      <c r="L12" s="1198"/>
      <c r="M12" s="1199"/>
      <c r="N12" s="1200"/>
      <c r="O12" s="6"/>
    </row>
    <row r="13" spans="1:15" ht="15" customHeight="1">
      <c r="A13" s="6"/>
      <c r="B13" s="1195"/>
      <c r="C13" s="1195"/>
      <c r="D13" s="1203" t="s">
        <v>1653</v>
      </c>
      <c r="E13" s="1197"/>
      <c r="F13" s="1197"/>
      <c r="G13" s="1202"/>
      <c r="H13" s="1197"/>
      <c r="I13" s="1197"/>
      <c r="J13" s="1197"/>
      <c r="K13" s="1198"/>
      <c r="L13" s="1198"/>
      <c r="M13" s="1199"/>
      <c r="N13" s="1200"/>
      <c r="O13" s="6"/>
    </row>
    <row r="14" spans="1:15" ht="6.75" customHeight="1">
      <c r="A14" s="6"/>
      <c r="B14" s="1195"/>
      <c r="C14" s="1195"/>
      <c r="D14" s="1204"/>
      <c r="E14" s="1197"/>
      <c r="F14" s="1197"/>
      <c r="G14" s="1202"/>
      <c r="H14" s="1197"/>
      <c r="I14" s="1197"/>
      <c r="J14" s="1197"/>
      <c r="K14" s="1198"/>
      <c r="L14" s="1198"/>
      <c r="M14" s="1199"/>
      <c r="N14" s="1200"/>
      <c r="O14" s="6"/>
    </row>
    <row r="15" spans="1:15" ht="42.75" customHeight="1">
      <c r="A15" s="6"/>
      <c r="B15" s="1195"/>
      <c r="C15" s="1195"/>
      <c r="D15" s="1524" t="s">
        <v>1538</v>
      </c>
      <c r="E15" s="1524" t="s">
        <v>1542</v>
      </c>
      <c r="F15" s="1634"/>
      <c r="G15" s="1634"/>
      <c r="H15" s="1634"/>
      <c r="I15" s="1635" t="s">
        <v>1654</v>
      </c>
      <c r="J15" s="1197"/>
      <c r="K15" s="1198"/>
      <c r="L15" s="1198"/>
      <c r="M15" s="1199"/>
      <c r="N15" s="1200"/>
      <c r="O15" s="6"/>
    </row>
    <row r="16" spans="1:15" ht="15" customHeight="1">
      <c r="A16" s="6"/>
      <c r="B16" s="1195"/>
      <c r="C16" s="1195"/>
      <c r="D16" s="1524"/>
      <c r="E16" s="763" t="s">
        <v>1465</v>
      </c>
      <c r="F16" s="763" t="s">
        <v>1466</v>
      </c>
      <c r="G16" s="763" t="s">
        <v>1467</v>
      </c>
      <c r="H16" s="763" t="s">
        <v>1468</v>
      </c>
      <c r="I16" s="1635"/>
      <c r="J16" s="1197"/>
      <c r="K16" s="1198"/>
      <c r="L16" s="1198"/>
      <c r="M16" s="1199"/>
      <c r="N16" s="1200"/>
      <c r="O16" s="6"/>
    </row>
    <row r="17" spans="1:16" ht="15" customHeight="1">
      <c r="A17" s="6"/>
      <c r="B17" s="1195"/>
      <c r="C17" s="1195"/>
      <c r="D17" s="1205" t="s">
        <v>1655</v>
      </c>
      <c r="E17" s="959"/>
      <c r="F17" s="959"/>
      <c r="G17" s="960"/>
      <c r="H17" s="959"/>
      <c r="I17" s="956">
        <f>IF(G11="Yes",1,IFERROR(SUM(E17:H17)/SUM($E$21:$H$21),0))</f>
        <v>0</v>
      </c>
      <c r="J17" s="1197"/>
      <c r="K17" s="1198"/>
      <c r="L17" s="1198"/>
      <c r="M17" s="1199"/>
      <c r="N17" s="1200"/>
      <c r="O17" s="6"/>
    </row>
    <row r="18" spans="1:16" ht="15" customHeight="1">
      <c r="A18" s="6"/>
      <c r="B18" s="1195"/>
      <c r="C18" s="1195"/>
      <c r="D18" s="1205" t="s">
        <v>1539</v>
      </c>
      <c r="E18" s="959"/>
      <c r="F18" s="959"/>
      <c r="G18" s="960"/>
      <c r="H18" s="959"/>
      <c r="I18" s="956">
        <f>IFERROR(SUM(E18:H18)/SUM($E$21:$H$21),0)</f>
        <v>0</v>
      </c>
      <c r="J18" s="1197"/>
      <c r="K18" s="1198"/>
      <c r="L18" s="1198"/>
      <c r="M18" s="1199"/>
      <c r="N18" s="1200"/>
      <c r="O18" s="6"/>
    </row>
    <row r="19" spans="1:16" ht="15" customHeight="1">
      <c r="A19" s="6"/>
      <c r="B19" s="1195"/>
      <c r="C19" s="1195"/>
      <c r="D19" s="1205" t="s">
        <v>1540</v>
      </c>
      <c r="E19" s="959"/>
      <c r="F19" s="959"/>
      <c r="G19" s="960"/>
      <c r="H19" s="959"/>
      <c r="I19" s="956">
        <f>IFERROR(SUM(E19:H19)/SUM($E$21:$H$21),0)</f>
        <v>0</v>
      </c>
      <c r="J19" s="1197"/>
      <c r="K19" s="1198"/>
      <c r="L19" s="1198"/>
      <c r="M19" s="1199"/>
      <c r="N19" s="1200"/>
      <c r="O19" s="6"/>
    </row>
    <row r="20" spans="1:16" ht="15" customHeight="1">
      <c r="A20" s="6"/>
      <c r="B20" s="1195"/>
      <c r="C20" s="1195"/>
      <c r="D20" s="1205" t="s">
        <v>1541</v>
      </c>
      <c r="E20" s="959"/>
      <c r="F20" s="959"/>
      <c r="G20" s="960"/>
      <c r="H20" s="959"/>
      <c r="I20" s="956">
        <f>IFERROR(SUM(E20:H20)/SUM($E$21:$H$21),0)</f>
        <v>0</v>
      </c>
      <c r="J20" s="1197"/>
      <c r="K20" s="1198"/>
      <c r="L20" s="1198"/>
      <c r="M20" s="1199"/>
      <c r="N20" s="1200"/>
      <c r="O20" s="6"/>
    </row>
    <row r="21" spans="1:16" ht="15" customHeight="1">
      <c r="A21" s="6"/>
      <c r="B21" s="1195"/>
      <c r="C21" s="1195"/>
      <c r="D21" s="1206" t="s">
        <v>18</v>
      </c>
      <c r="E21" s="1207">
        <f>SUM(E17:E20)</f>
        <v>0</v>
      </c>
      <c r="F21" s="1207">
        <f>SUM(F17:F20)</f>
        <v>0</v>
      </c>
      <c r="G21" s="1207">
        <f>SUM(G17:G20)</f>
        <v>0</v>
      </c>
      <c r="H21" s="1207">
        <f>SUM(H17:H20)</f>
        <v>0</v>
      </c>
      <c r="I21" s="957">
        <f>SUM(I17:I20)</f>
        <v>0</v>
      </c>
      <c r="J21" s="1197"/>
      <c r="K21" s="1198"/>
      <c r="L21" s="1198"/>
      <c r="M21" s="1199"/>
      <c r="N21" s="1200"/>
      <c r="O21" s="6"/>
    </row>
    <row r="22" spans="1:16" ht="6.75" customHeight="1" thickBot="1">
      <c r="A22" s="6"/>
      <c r="B22" s="1195"/>
      <c r="C22" s="1195"/>
      <c r="D22" s="1201"/>
      <c r="E22" s="1197"/>
      <c r="F22" s="1197"/>
      <c r="G22" s="1202"/>
      <c r="H22" s="1197"/>
      <c r="I22" s="1197"/>
      <c r="J22" s="1197"/>
      <c r="K22" s="1198"/>
      <c r="L22" s="1198"/>
      <c r="M22" s="1199"/>
      <c r="N22" s="1200"/>
      <c r="O22" s="6"/>
    </row>
    <row r="23" spans="1:16" ht="15" customHeight="1" thickBot="1">
      <c r="A23" s="6"/>
      <c r="B23" s="1195"/>
      <c r="C23" s="1195"/>
      <c r="D23" s="1208" t="s">
        <v>1543</v>
      </c>
      <c r="E23" s="1638"/>
      <c r="F23" s="1639"/>
      <c r="G23" s="1197"/>
      <c r="H23" s="1197"/>
      <c r="I23" s="1197"/>
      <c r="J23" s="1197"/>
      <c r="K23" s="1198"/>
      <c r="L23" s="1198"/>
      <c r="M23" s="1199"/>
      <c r="N23" s="1200"/>
      <c r="O23" s="6"/>
    </row>
    <row r="24" spans="1:16" ht="6.75" customHeight="1">
      <c r="A24" s="6"/>
      <c r="B24" s="1195"/>
      <c r="C24" s="1195"/>
      <c r="D24" s="1208"/>
      <c r="E24" s="5"/>
      <c r="F24" s="5"/>
      <c r="G24" s="5"/>
      <c r="H24" s="1197"/>
      <c r="I24" s="1197"/>
      <c r="J24" s="1197"/>
      <c r="K24" s="1198"/>
      <c r="L24" s="1198"/>
      <c r="M24" s="1199"/>
      <c r="N24" s="1200"/>
      <c r="O24" s="6"/>
    </row>
    <row r="25" spans="1:16" ht="8.25" customHeight="1">
      <c r="A25" s="6"/>
      <c r="B25" s="1195"/>
      <c r="C25" s="1195"/>
      <c r="D25" s="1208"/>
      <c r="E25" s="5"/>
      <c r="F25" s="1201"/>
      <c r="G25" s="1201"/>
      <c r="H25" s="1197"/>
      <c r="I25" s="1197"/>
      <c r="J25" s="1197"/>
      <c r="K25" s="1198"/>
      <c r="L25" s="1198"/>
      <c r="M25" s="1199"/>
      <c r="N25" s="1200"/>
      <c r="O25" s="6"/>
    </row>
    <row r="26" spans="1:16" ht="28.5" customHeight="1">
      <c r="A26" s="6"/>
      <c r="B26" s="1253"/>
      <c r="C26" s="1254" t="b">
        <v>0</v>
      </c>
      <c r="D26" s="1665" t="s">
        <v>1544</v>
      </c>
      <c r="E26" s="1665"/>
      <c r="F26" s="1665"/>
      <c r="G26" s="1665"/>
      <c r="H26" s="1665"/>
      <c r="I26" s="1665"/>
      <c r="J26" s="1665"/>
      <c r="K26" s="1210"/>
      <c r="L26" s="1210"/>
      <c r="M26" s="1210"/>
      <c r="N26" s="1210"/>
      <c r="O26" s="813"/>
      <c r="P26" s="1211"/>
    </row>
    <row r="27" spans="1:16" ht="8.25" customHeight="1">
      <c r="A27" s="6"/>
      <c r="B27" s="1195"/>
      <c r="C27" s="1195"/>
      <c r="D27" s="1208"/>
      <c r="E27" s="5"/>
      <c r="F27" s="1201"/>
      <c r="G27" s="1201"/>
      <c r="H27" s="1197"/>
      <c r="I27" s="1197"/>
      <c r="J27" s="1197"/>
      <c r="K27" s="1198"/>
      <c r="L27" s="1198"/>
      <c r="M27" s="1199"/>
      <c r="N27" s="1200"/>
      <c r="O27" s="6"/>
    </row>
    <row r="28" spans="1:16" ht="15" customHeight="1">
      <c r="A28" s="6"/>
      <c r="B28" s="1195"/>
      <c r="C28" s="1195"/>
      <c r="D28" s="1054" t="s">
        <v>1545</v>
      </c>
      <c r="E28" s="1197"/>
      <c r="F28" s="1197"/>
      <c r="G28" s="1202"/>
      <c r="H28" s="1197"/>
      <c r="I28" s="1197"/>
      <c r="J28" s="1197"/>
      <c r="K28" s="1198"/>
      <c r="L28" s="1198"/>
      <c r="M28" s="1199"/>
      <c r="N28" s="1200"/>
      <c r="O28" s="6"/>
    </row>
    <row r="29" spans="1:16" ht="6.75" customHeight="1">
      <c r="A29" s="6"/>
      <c r="B29" s="1195"/>
      <c r="C29" s="1195"/>
      <c r="D29" s="1054"/>
      <c r="E29" s="1197"/>
      <c r="F29" s="1197"/>
      <c r="G29" s="1202"/>
      <c r="H29" s="1197"/>
      <c r="I29" s="1197"/>
      <c r="J29" s="1197"/>
      <c r="K29" s="1198"/>
      <c r="L29" s="1198"/>
      <c r="M29" s="1199"/>
      <c r="N29" s="1200"/>
      <c r="O29" s="6"/>
    </row>
    <row r="30" spans="1:16" ht="15" customHeight="1">
      <c r="A30" s="6"/>
      <c r="B30" s="6"/>
      <c r="C30" s="6"/>
      <c r="D30" s="6"/>
      <c r="E30" s="6"/>
      <c r="F30" s="6"/>
      <c r="G30" s="6"/>
      <c r="H30" s="6"/>
      <c r="I30" s="6"/>
      <c r="J30" s="6"/>
      <c r="K30" s="6"/>
      <c r="L30" s="6"/>
      <c r="M30" s="411"/>
      <c r="N30" s="6"/>
      <c r="O30" s="6"/>
    </row>
    <row r="31" spans="1:16">
      <c r="A31" s="6"/>
      <c r="B31" s="1190"/>
      <c r="C31" s="1190"/>
      <c r="D31" s="1191" t="s">
        <v>1656</v>
      </c>
      <c r="E31" s="1192"/>
      <c r="F31" s="1192"/>
      <c r="G31" s="1192"/>
      <c r="H31" s="1192"/>
      <c r="I31" s="1192"/>
      <c r="J31" s="1192"/>
      <c r="K31" s="1193"/>
      <c r="L31" s="1193"/>
      <c r="M31" s="1194"/>
      <c r="N31" s="1034"/>
      <c r="O31" s="6"/>
    </row>
    <row r="32" spans="1:16" ht="6.75" customHeight="1">
      <c r="A32" s="6"/>
      <c r="B32" s="5"/>
      <c r="C32" s="5"/>
      <c r="D32" s="5"/>
      <c r="E32" s="5"/>
      <c r="F32" s="5"/>
      <c r="G32" s="5"/>
      <c r="H32" s="5"/>
      <c r="I32" s="5"/>
      <c r="J32" s="5"/>
      <c r="K32" s="5"/>
      <c r="L32" s="5"/>
      <c r="M32" s="5"/>
      <c r="N32" s="5"/>
      <c r="O32" s="6"/>
    </row>
    <row r="33" spans="1:15">
      <c r="A33" s="6"/>
      <c r="B33" s="5"/>
      <c r="C33" s="5"/>
      <c r="D33" s="1212" t="s">
        <v>1546</v>
      </c>
      <c r="E33" s="1213"/>
      <c r="F33" s="1035"/>
      <c r="G33" s="1035"/>
      <c r="H33" s="1035"/>
      <c r="I33" s="1035"/>
      <c r="J33" s="1035"/>
      <c r="K33" s="1035"/>
      <c r="L33" s="1035"/>
      <c r="M33" s="1044"/>
      <c r="N33" s="1214"/>
      <c r="O33" s="6"/>
    </row>
    <row r="34" spans="1:15" ht="6.75" customHeight="1">
      <c r="A34" s="6"/>
      <c r="B34" s="5"/>
      <c r="C34" s="5"/>
      <c r="D34" s="1212"/>
      <c r="E34" s="1213"/>
      <c r="F34" s="1035"/>
      <c r="G34" s="1035"/>
      <c r="H34" s="1035"/>
      <c r="I34" s="1035"/>
      <c r="J34" s="1035"/>
      <c r="K34" s="5"/>
      <c r="L34" s="1035"/>
      <c r="M34" s="1044"/>
      <c r="N34" s="1214"/>
      <c r="O34" s="6"/>
    </row>
    <row r="35" spans="1:15" ht="85.5" customHeight="1" thickBot="1">
      <c r="A35" s="6"/>
      <c r="B35" s="5"/>
      <c r="C35" s="5"/>
      <c r="D35" s="1215" t="s">
        <v>1657</v>
      </c>
      <c r="E35" s="1216" t="s">
        <v>1662</v>
      </c>
      <c r="F35" s="1216" t="s">
        <v>1549</v>
      </c>
      <c r="G35" s="1216" t="s">
        <v>1547</v>
      </c>
      <c r="H35" s="1216" t="s">
        <v>1548</v>
      </c>
      <c r="I35" s="1216" t="s">
        <v>1663</v>
      </c>
      <c r="J35" s="1663"/>
      <c r="K35" s="1664"/>
      <c r="L35" s="1664"/>
      <c r="M35" s="1044"/>
      <c r="N35" s="1214"/>
      <c r="O35" s="6"/>
    </row>
    <row r="36" spans="1:15">
      <c r="A36" s="1217">
        <v>1</v>
      </c>
      <c r="B36" s="5"/>
      <c r="C36" s="5"/>
      <c r="D36" s="961" t="s">
        <v>1457</v>
      </c>
      <c r="E36" s="962"/>
      <c r="F36" s="963"/>
      <c r="G36" s="963" t="s">
        <v>1457</v>
      </c>
      <c r="H36" s="963"/>
      <c r="I36" s="964"/>
      <c r="J36" s="5"/>
      <c r="K36" s="5"/>
      <c r="L36" s="5"/>
      <c r="M36" s="1044"/>
      <c r="N36" s="1214"/>
      <c r="O36" s="6"/>
    </row>
    <row r="37" spans="1:15">
      <c r="A37" s="1217">
        <f t="shared" ref="A37:A55" si="0">A36+1</f>
        <v>2</v>
      </c>
      <c r="B37" s="5"/>
      <c r="C37" s="5"/>
      <c r="D37" s="965" t="s">
        <v>1457</v>
      </c>
      <c r="E37" s="966"/>
      <c r="F37" s="967"/>
      <c r="G37" s="968" t="s">
        <v>1457</v>
      </c>
      <c r="H37" s="967"/>
      <c r="I37" s="969"/>
      <c r="J37" s="5"/>
      <c r="K37" s="5"/>
      <c r="L37" s="5"/>
      <c r="M37" s="1044"/>
      <c r="N37" s="1214"/>
      <c r="O37" s="6"/>
    </row>
    <row r="38" spans="1:15">
      <c r="A38" s="1217">
        <f t="shared" si="0"/>
        <v>3</v>
      </c>
      <c r="B38" s="5"/>
      <c r="C38" s="5"/>
      <c r="D38" s="965" t="s">
        <v>1457</v>
      </c>
      <c r="E38" s="966"/>
      <c r="F38" s="967"/>
      <c r="G38" s="968" t="s">
        <v>1457</v>
      </c>
      <c r="H38" s="967"/>
      <c r="I38" s="969"/>
      <c r="J38" s="5"/>
      <c r="K38" s="5"/>
      <c r="L38" s="5"/>
      <c r="M38" s="1044"/>
      <c r="N38" s="1214"/>
      <c r="O38" s="6"/>
    </row>
    <row r="39" spans="1:15">
      <c r="A39" s="1217">
        <f t="shared" si="0"/>
        <v>4</v>
      </c>
      <c r="B39" s="5"/>
      <c r="C39" s="5"/>
      <c r="D39" s="965" t="s">
        <v>1457</v>
      </c>
      <c r="E39" s="966"/>
      <c r="F39" s="967"/>
      <c r="G39" s="968" t="s">
        <v>1457</v>
      </c>
      <c r="H39" s="967"/>
      <c r="I39" s="969"/>
      <c r="J39" s="5"/>
      <c r="K39" s="5"/>
      <c r="L39" s="5"/>
      <c r="M39" s="1044"/>
      <c r="N39" s="1214"/>
      <c r="O39" s="6"/>
    </row>
    <row r="40" spans="1:15">
      <c r="A40" s="1217">
        <f t="shared" si="0"/>
        <v>5</v>
      </c>
      <c r="B40" s="5"/>
      <c r="C40" s="5"/>
      <c r="D40" s="965" t="s">
        <v>1457</v>
      </c>
      <c r="E40" s="966"/>
      <c r="F40" s="967"/>
      <c r="G40" s="968" t="s">
        <v>1457</v>
      </c>
      <c r="H40" s="967"/>
      <c r="I40" s="969"/>
      <c r="J40" s="5"/>
      <c r="K40" s="5"/>
      <c r="L40" s="5"/>
      <c r="M40" s="1044"/>
      <c r="N40" s="1214"/>
      <c r="O40" s="6"/>
    </row>
    <row r="41" spans="1:15">
      <c r="A41" s="1217">
        <f t="shared" si="0"/>
        <v>6</v>
      </c>
      <c r="B41" s="5"/>
      <c r="C41" s="5"/>
      <c r="D41" s="965" t="s">
        <v>1457</v>
      </c>
      <c r="E41" s="966"/>
      <c r="F41" s="967"/>
      <c r="G41" s="968" t="s">
        <v>1457</v>
      </c>
      <c r="H41" s="967"/>
      <c r="I41" s="969"/>
      <c r="J41" s="5"/>
      <c r="K41" s="5"/>
      <c r="L41" s="5"/>
      <c r="M41" s="1044"/>
      <c r="N41" s="1214"/>
      <c r="O41" s="6"/>
    </row>
    <row r="42" spans="1:15">
      <c r="A42" s="1217">
        <f t="shared" si="0"/>
        <v>7</v>
      </c>
      <c r="B42" s="5"/>
      <c r="C42" s="5"/>
      <c r="D42" s="965" t="s">
        <v>1457</v>
      </c>
      <c r="E42" s="966"/>
      <c r="F42" s="967"/>
      <c r="G42" s="968" t="s">
        <v>1457</v>
      </c>
      <c r="H42" s="967"/>
      <c r="I42" s="969"/>
      <c r="J42" s="5"/>
      <c r="K42" s="5"/>
      <c r="L42" s="5"/>
      <c r="M42" s="1044"/>
      <c r="N42" s="1214"/>
      <c r="O42" s="6"/>
    </row>
    <row r="43" spans="1:15">
      <c r="A43" s="1217">
        <f t="shared" si="0"/>
        <v>8</v>
      </c>
      <c r="B43" s="5"/>
      <c r="C43" s="5"/>
      <c r="D43" s="965" t="s">
        <v>1457</v>
      </c>
      <c r="E43" s="966"/>
      <c r="F43" s="967"/>
      <c r="G43" s="968" t="s">
        <v>1457</v>
      </c>
      <c r="H43" s="967"/>
      <c r="I43" s="969"/>
      <c r="J43" s="5"/>
      <c r="K43" s="5"/>
      <c r="L43" s="5"/>
      <c r="M43" s="1044"/>
      <c r="N43" s="1214"/>
      <c r="O43" s="6"/>
    </row>
    <row r="44" spans="1:15">
      <c r="A44" s="1217">
        <f t="shared" si="0"/>
        <v>9</v>
      </c>
      <c r="B44" s="5"/>
      <c r="C44" s="5"/>
      <c r="D44" s="965" t="s">
        <v>1457</v>
      </c>
      <c r="E44" s="966"/>
      <c r="F44" s="967"/>
      <c r="G44" s="968" t="s">
        <v>1457</v>
      </c>
      <c r="H44" s="967"/>
      <c r="I44" s="969"/>
      <c r="J44" s="5"/>
      <c r="K44" s="5"/>
      <c r="L44" s="5"/>
      <c r="M44" s="1044"/>
      <c r="N44" s="1214"/>
      <c r="O44" s="6"/>
    </row>
    <row r="45" spans="1:15">
      <c r="A45" s="1217">
        <f t="shared" si="0"/>
        <v>10</v>
      </c>
      <c r="B45" s="5"/>
      <c r="C45" s="5"/>
      <c r="D45" s="965" t="s">
        <v>1457</v>
      </c>
      <c r="E45" s="966"/>
      <c r="F45" s="967"/>
      <c r="G45" s="968" t="s">
        <v>1457</v>
      </c>
      <c r="H45" s="967"/>
      <c r="I45" s="969"/>
      <c r="J45" s="5"/>
      <c r="K45" s="5"/>
      <c r="L45" s="5"/>
      <c r="M45" s="1044"/>
      <c r="N45" s="1214"/>
      <c r="O45" s="6"/>
    </row>
    <row r="46" spans="1:15">
      <c r="A46" s="1217">
        <f t="shared" si="0"/>
        <v>11</v>
      </c>
      <c r="B46" s="5"/>
      <c r="C46" s="5"/>
      <c r="D46" s="965" t="s">
        <v>1457</v>
      </c>
      <c r="E46" s="966"/>
      <c r="F46" s="967"/>
      <c r="G46" s="968" t="s">
        <v>1457</v>
      </c>
      <c r="H46" s="967"/>
      <c r="I46" s="969"/>
      <c r="J46" s="5"/>
      <c r="K46" s="5"/>
      <c r="L46" s="5"/>
      <c r="M46" s="1044"/>
      <c r="N46" s="1214"/>
      <c r="O46" s="6"/>
    </row>
    <row r="47" spans="1:15">
      <c r="A47" s="1217">
        <f t="shared" si="0"/>
        <v>12</v>
      </c>
      <c r="B47" s="5"/>
      <c r="C47" s="5"/>
      <c r="D47" s="965" t="s">
        <v>1457</v>
      </c>
      <c r="E47" s="966"/>
      <c r="F47" s="967"/>
      <c r="G47" s="968" t="s">
        <v>1457</v>
      </c>
      <c r="H47" s="967"/>
      <c r="I47" s="969"/>
      <c r="J47" s="5"/>
      <c r="K47" s="5"/>
      <c r="L47" s="5"/>
      <c r="M47" s="1044"/>
      <c r="N47" s="1214"/>
      <c r="O47" s="6"/>
    </row>
    <row r="48" spans="1:15">
      <c r="A48" s="1217">
        <f t="shared" si="0"/>
        <v>13</v>
      </c>
      <c r="B48" s="5"/>
      <c r="C48" s="5"/>
      <c r="D48" s="965" t="s">
        <v>1457</v>
      </c>
      <c r="E48" s="966"/>
      <c r="F48" s="967"/>
      <c r="G48" s="968" t="s">
        <v>1457</v>
      </c>
      <c r="H48" s="967"/>
      <c r="I48" s="969"/>
      <c r="J48" s="5"/>
      <c r="K48" s="5"/>
      <c r="L48" s="5"/>
      <c r="M48" s="1044"/>
      <c r="N48" s="1214"/>
      <c r="O48" s="6"/>
    </row>
    <row r="49" spans="1:15">
      <c r="A49" s="1217">
        <f t="shared" si="0"/>
        <v>14</v>
      </c>
      <c r="B49" s="5"/>
      <c r="C49" s="5"/>
      <c r="D49" s="965" t="s">
        <v>1457</v>
      </c>
      <c r="E49" s="966"/>
      <c r="F49" s="967"/>
      <c r="G49" s="968" t="s">
        <v>1457</v>
      </c>
      <c r="H49" s="967"/>
      <c r="I49" s="969"/>
      <c r="J49" s="5"/>
      <c r="K49" s="5"/>
      <c r="L49" s="5"/>
      <c r="M49" s="1044"/>
      <c r="N49" s="1214"/>
      <c r="O49" s="6"/>
    </row>
    <row r="50" spans="1:15">
      <c r="A50" s="1217">
        <f t="shared" si="0"/>
        <v>15</v>
      </c>
      <c r="B50" s="5"/>
      <c r="C50" s="5"/>
      <c r="D50" s="965" t="s">
        <v>1457</v>
      </c>
      <c r="E50" s="966"/>
      <c r="F50" s="967"/>
      <c r="G50" s="968" t="s">
        <v>1457</v>
      </c>
      <c r="H50" s="967"/>
      <c r="I50" s="969"/>
      <c r="J50" s="5"/>
      <c r="K50" s="5"/>
      <c r="L50" s="5"/>
      <c r="M50" s="1044"/>
      <c r="N50" s="1214"/>
      <c r="O50" s="6"/>
    </row>
    <row r="51" spans="1:15">
      <c r="A51" s="1217">
        <f t="shared" si="0"/>
        <v>16</v>
      </c>
      <c r="B51" s="5"/>
      <c r="C51" s="5"/>
      <c r="D51" s="965" t="s">
        <v>1457</v>
      </c>
      <c r="E51" s="966"/>
      <c r="F51" s="967"/>
      <c r="G51" s="968" t="s">
        <v>1457</v>
      </c>
      <c r="H51" s="967"/>
      <c r="I51" s="969"/>
      <c r="J51" s="5"/>
      <c r="K51" s="5"/>
      <c r="L51" s="5"/>
      <c r="M51" s="1044"/>
      <c r="N51" s="1214"/>
      <c r="O51" s="6"/>
    </row>
    <row r="52" spans="1:15">
      <c r="A52" s="1217">
        <f t="shared" si="0"/>
        <v>17</v>
      </c>
      <c r="B52" s="5"/>
      <c r="C52" s="5"/>
      <c r="D52" s="965" t="s">
        <v>1457</v>
      </c>
      <c r="E52" s="966"/>
      <c r="F52" s="967"/>
      <c r="G52" s="968" t="s">
        <v>1457</v>
      </c>
      <c r="H52" s="967"/>
      <c r="I52" s="969"/>
      <c r="J52" s="5"/>
      <c r="K52" s="5"/>
      <c r="L52" s="5"/>
      <c r="M52" s="1044"/>
      <c r="N52" s="1214"/>
      <c r="O52" s="6"/>
    </row>
    <row r="53" spans="1:15">
      <c r="A53" s="1217">
        <f t="shared" si="0"/>
        <v>18</v>
      </c>
      <c r="B53" s="5"/>
      <c r="C53" s="5"/>
      <c r="D53" s="965" t="s">
        <v>1457</v>
      </c>
      <c r="E53" s="966"/>
      <c r="F53" s="967"/>
      <c r="G53" s="968" t="s">
        <v>1457</v>
      </c>
      <c r="H53" s="967"/>
      <c r="I53" s="969"/>
      <c r="J53" s="5"/>
      <c r="K53" s="5"/>
      <c r="L53" s="5"/>
      <c r="M53" s="1044"/>
      <c r="N53" s="1214"/>
      <c r="O53" s="6"/>
    </row>
    <row r="54" spans="1:15">
      <c r="A54" s="1217">
        <f t="shared" si="0"/>
        <v>19</v>
      </c>
      <c r="B54" s="5"/>
      <c r="C54" s="5"/>
      <c r="D54" s="965" t="s">
        <v>1457</v>
      </c>
      <c r="E54" s="966"/>
      <c r="F54" s="967"/>
      <c r="G54" s="968" t="s">
        <v>1457</v>
      </c>
      <c r="H54" s="967"/>
      <c r="I54" s="969"/>
      <c r="J54" s="5"/>
      <c r="K54" s="5"/>
      <c r="L54" s="5"/>
      <c r="M54" s="1044"/>
      <c r="N54" s="1214"/>
      <c r="O54" s="6"/>
    </row>
    <row r="55" spans="1:15" ht="15" thickBot="1">
      <c r="A55" s="1217">
        <f t="shared" si="0"/>
        <v>20</v>
      </c>
      <c r="B55" s="5"/>
      <c r="C55" s="5"/>
      <c r="D55" s="970" t="s">
        <v>1457</v>
      </c>
      <c r="E55" s="971"/>
      <c r="F55" s="972"/>
      <c r="G55" s="973" t="s">
        <v>1457</v>
      </c>
      <c r="H55" s="972"/>
      <c r="I55" s="974"/>
      <c r="J55" s="5"/>
      <c r="K55" s="5"/>
      <c r="L55" s="5"/>
      <c r="M55" s="1044"/>
      <c r="N55" s="1214"/>
      <c r="O55" s="6"/>
    </row>
    <row r="56" spans="1:15" ht="6.75" customHeight="1">
      <c r="A56" s="6"/>
      <c r="B56" s="5"/>
      <c r="C56" s="5"/>
      <c r="D56" s="1035"/>
      <c r="E56" s="1218"/>
      <c r="F56" s="1035"/>
      <c r="G56" s="1035"/>
      <c r="H56" s="1035"/>
      <c r="I56" s="1035"/>
      <c r="J56" s="1035"/>
      <c r="K56" s="1035"/>
      <c r="L56" s="1035"/>
      <c r="M56" s="1044"/>
      <c r="N56" s="1214"/>
      <c r="O56" s="6"/>
    </row>
    <row r="57" spans="1:15">
      <c r="A57" s="6"/>
      <c r="B57" s="5"/>
      <c r="C57" s="5"/>
      <c r="D57" s="1212" t="s">
        <v>1550</v>
      </c>
      <c r="E57" s="1213"/>
      <c r="F57" s="1035"/>
      <c r="G57" s="1035"/>
      <c r="H57" s="1035"/>
      <c r="I57" s="1035"/>
      <c r="J57" s="1035"/>
      <c r="K57" s="1035"/>
      <c r="L57" s="1035"/>
      <c r="M57" s="1044"/>
      <c r="N57" s="1214"/>
      <c r="O57" s="6"/>
    </row>
    <row r="58" spans="1:15" ht="6.75" customHeight="1">
      <c r="A58" s="6"/>
      <c r="B58" s="5"/>
      <c r="C58" s="5"/>
      <c r="D58" s="1212"/>
      <c r="E58" s="1213"/>
      <c r="F58" s="1035"/>
      <c r="G58" s="1035"/>
      <c r="H58" s="1035"/>
      <c r="I58" s="1035"/>
      <c r="J58" s="1035"/>
      <c r="K58" s="1035"/>
      <c r="L58" s="1035"/>
      <c r="M58" s="1044"/>
      <c r="N58" s="1214"/>
      <c r="O58" s="6"/>
    </row>
    <row r="59" spans="1:15" ht="83.25" customHeight="1" thickBot="1">
      <c r="A59" s="6"/>
      <c r="B59" s="5"/>
      <c r="C59" s="5"/>
      <c r="D59" s="1215" t="s">
        <v>1551</v>
      </c>
      <c r="E59" s="1216" t="s">
        <v>1552</v>
      </c>
      <c r="F59" s="1216" t="s">
        <v>1549</v>
      </c>
      <c r="G59" s="1216" t="s">
        <v>1547</v>
      </c>
      <c r="H59" s="1216" t="s">
        <v>1548</v>
      </c>
      <c r="I59" s="1216" t="s">
        <v>1664</v>
      </c>
      <c r="J59" s="5"/>
      <c r="K59" s="5"/>
      <c r="L59" s="5"/>
      <c r="M59" s="1044"/>
      <c r="N59" s="1214"/>
      <c r="O59" s="6"/>
    </row>
    <row r="60" spans="1:15">
      <c r="A60" s="1217">
        <v>1</v>
      </c>
      <c r="B60" s="5"/>
      <c r="C60" s="5"/>
      <c r="D60" s="961"/>
      <c r="E60" s="962"/>
      <c r="F60" s="975"/>
      <c r="G60" s="975" t="s">
        <v>1457</v>
      </c>
      <c r="H60" s="963"/>
      <c r="I60" s="976"/>
      <c r="J60" s="5"/>
      <c r="K60" s="5"/>
      <c r="L60" s="5"/>
      <c r="M60" s="1044"/>
      <c r="N60" s="1214"/>
      <c r="O60" s="6"/>
    </row>
    <row r="61" spans="1:15">
      <c r="A61" s="1217">
        <f t="shared" ref="A61:A69" si="1">A60+1</f>
        <v>2</v>
      </c>
      <c r="B61" s="5"/>
      <c r="C61" s="5"/>
      <c r="D61" s="965"/>
      <c r="E61" s="966"/>
      <c r="F61" s="968"/>
      <c r="G61" s="968" t="s">
        <v>1457</v>
      </c>
      <c r="H61" s="967"/>
      <c r="I61" s="969"/>
      <c r="J61" s="5"/>
      <c r="K61" s="5"/>
      <c r="L61" s="5"/>
      <c r="M61" s="1044"/>
      <c r="N61" s="1214"/>
      <c r="O61" s="6"/>
    </row>
    <row r="62" spans="1:15">
      <c r="A62" s="1217">
        <f t="shared" si="1"/>
        <v>3</v>
      </c>
      <c r="B62" s="5"/>
      <c r="C62" s="5"/>
      <c r="D62" s="965"/>
      <c r="E62" s="966"/>
      <c r="F62" s="968"/>
      <c r="G62" s="968" t="s">
        <v>1457</v>
      </c>
      <c r="H62" s="967"/>
      <c r="I62" s="969"/>
      <c r="J62" s="5"/>
      <c r="K62" s="5"/>
      <c r="L62" s="5"/>
      <c r="M62" s="1044"/>
      <c r="N62" s="1214"/>
      <c r="O62" s="6"/>
    </row>
    <row r="63" spans="1:15">
      <c r="A63" s="1217">
        <f t="shared" si="1"/>
        <v>4</v>
      </c>
      <c r="B63" s="5"/>
      <c r="C63" s="5"/>
      <c r="D63" s="965"/>
      <c r="E63" s="966"/>
      <c r="F63" s="968"/>
      <c r="G63" s="968" t="s">
        <v>1457</v>
      </c>
      <c r="H63" s="967"/>
      <c r="I63" s="969"/>
      <c r="J63" s="5"/>
      <c r="K63" s="5"/>
      <c r="L63" s="5"/>
      <c r="M63" s="1044"/>
      <c r="N63" s="1214"/>
      <c r="O63" s="6"/>
    </row>
    <row r="64" spans="1:15">
      <c r="A64" s="1217">
        <f t="shared" si="1"/>
        <v>5</v>
      </c>
      <c r="B64" s="5"/>
      <c r="C64" s="5"/>
      <c r="D64" s="965"/>
      <c r="E64" s="966"/>
      <c r="F64" s="968"/>
      <c r="G64" s="968" t="s">
        <v>1457</v>
      </c>
      <c r="H64" s="967"/>
      <c r="I64" s="969"/>
      <c r="J64" s="5"/>
      <c r="K64" s="5"/>
      <c r="L64" s="5"/>
      <c r="M64" s="1044"/>
      <c r="N64" s="1214"/>
      <c r="O64" s="6"/>
    </row>
    <row r="65" spans="1:15">
      <c r="A65" s="1217">
        <f t="shared" si="1"/>
        <v>6</v>
      </c>
      <c r="B65" s="5"/>
      <c r="C65" s="5"/>
      <c r="D65" s="965"/>
      <c r="E65" s="966"/>
      <c r="F65" s="968"/>
      <c r="G65" s="968" t="s">
        <v>1457</v>
      </c>
      <c r="H65" s="967"/>
      <c r="I65" s="969"/>
      <c r="J65" s="5"/>
      <c r="K65" s="5"/>
      <c r="L65" s="5"/>
      <c r="M65" s="1044"/>
      <c r="N65" s="1214"/>
      <c r="O65" s="6"/>
    </row>
    <row r="66" spans="1:15">
      <c r="A66" s="1217">
        <f t="shared" si="1"/>
        <v>7</v>
      </c>
      <c r="B66" s="5"/>
      <c r="C66" s="5"/>
      <c r="D66" s="965"/>
      <c r="E66" s="966"/>
      <c r="F66" s="968"/>
      <c r="G66" s="968" t="s">
        <v>1457</v>
      </c>
      <c r="H66" s="967"/>
      <c r="I66" s="969"/>
      <c r="J66" s="5"/>
      <c r="K66" s="5"/>
      <c r="L66" s="5"/>
      <c r="M66" s="1044"/>
      <c r="N66" s="1214"/>
      <c r="O66" s="6"/>
    </row>
    <row r="67" spans="1:15">
      <c r="A67" s="1217">
        <f t="shared" si="1"/>
        <v>8</v>
      </c>
      <c r="B67" s="5"/>
      <c r="C67" s="5"/>
      <c r="D67" s="965"/>
      <c r="E67" s="966"/>
      <c r="F67" s="968"/>
      <c r="G67" s="968" t="s">
        <v>1457</v>
      </c>
      <c r="H67" s="967"/>
      <c r="I67" s="969"/>
      <c r="J67" s="5"/>
      <c r="K67" s="5"/>
      <c r="L67" s="5"/>
      <c r="M67" s="1044"/>
      <c r="N67" s="1214"/>
      <c r="O67" s="6"/>
    </row>
    <row r="68" spans="1:15">
      <c r="A68" s="1217">
        <f t="shared" si="1"/>
        <v>9</v>
      </c>
      <c r="B68" s="5"/>
      <c r="C68" s="5"/>
      <c r="D68" s="965"/>
      <c r="E68" s="966"/>
      <c r="F68" s="968"/>
      <c r="G68" s="968" t="s">
        <v>1457</v>
      </c>
      <c r="H68" s="967"/>
      <c r="I68" s="969"/>
      <c r="J68" s="5"/>
      <c r="K68" s="5"/>
      <c r="L68" s="5"/>
      <c r="M68" s="1044"/>
      <c r="N68" s="1214"/>
      <c r="O68" s="6"/>
    </row>
    <row r="69" spans="1:15" ht="15" thickBot="1">
      <c r="A69" s="1217">
        <f t="shared" si="1"/>
        <v>10</v>
      </c>
      <c r="B69" s="5"/>
      <c r="C69" s="5"/>
      <c r="D69" s="970"/>
      <c r="E69" s="971"/>
      <c r="F69" s="973"/>
      <c r="G69" s="973" t="s">
        <v>1457</v>
      </c>
      <c r="H69" s="972"/>
      <c r="I69" s="974"/>
      <c r="J69" s="5"/>
      <c r="K69" s="5"/>
      <c r="L69" s="5"/>
      <c r="M69" s="1044"/>
      <c r="N69" s="1214"/>
      <c r="O69" s="6"/>
    </row>
    <row r="70" spans="1:15" ht="6.75" customHeight="1">
      <c r="A70" s="6"/>
      <c r="B70" s="5"/>
      <c r="C70" s="5"/>
      <c r="D70" s="1212"/>
      <c r="E70" s="1213"/>
      <c r="F70" s="1213"/>
      <c r="G70" s="1213"/>
      <c r="H70" s="1213"/>
      <c r="I70" s="1213"/>
      <c r="J70" s="1213"/>
      <c r="K70" s="1213"/>
      <c r="L70" s="1213"/>
      <c r="M70" s="1044"/>
      <c r="N70" s="1214"/>
      <c r="O70" s="6"/>
    </row>
    <row r="71" spans="1:15">
      <c r="A71" s="6"/>
      <c r="B71" s="5"/>
      <c r="C71" s="5"/>
      <c r="D71" s="1212" t="s">
        <v>1553</v>
      </c>
      <c r="E71" s="1213"/>
      <c r="F71" s="1035"/>
      <c r="G71" s="1035"/>
      <c r="H71" s="1035"/>
      <c r="I71" s="1035"/>
      <c r="J71" s="1035"/>
      <c r="K71" s="1035"/>
      <c r="L71" s="1035"/>
      <c r="M71" s="1044"/>
      <c r="N71" s="1214"/>
      <c r="O71" s="6"/>
    </row>
    <row r="72" spans="1:15" ht="6.75" customHeight="1">
      <c r="A72" s="6"/>
      <c r="B72" s="5"/>
      <c r="C72" s="5"/>
      <c r="D72" s="1212"/>
      <c r="E72" s="1213"/>
      <c r="F72" s="1035"/>
      <c r="G72" s="1035"/>
      <c r="H72" s="1035"/>
      <c r="I72" s="1035"/>
      <c r="J72" s="1035"/>
      <c r="K72" s="1035"/>
      <c r="L72" s="1035"/>
      <c r="M72" s="1044"/>
      <c r="N72" s="1214"/>
      <c r="O72" s="6"/>
    </row>
    <row r="73" spans="1:15" ht="82.5" customHeight="1" thickBot="1">
      <c r="A73" s="6"/>
      <c r="B73" s="5"/>
      <c r="C73" s="5"/>
      <c r="D73" s="1215" t="s">
        <v>1554</v>
      </c>
      <c r="E73" s="1216" t="s">
        <v>1555</v>
      </c>
      <c r="F73" s="1216" t="s">
        <v>1549</v>
      </c>
      <c r="G73" s="1216" t="s">
        <v>1547</v>
      </c>
      <c r="H73" s="1216" t="s">
        <v>1548</v>
      </c>
      <c r="I73" s="1216" t="s">
        <v>1665</v>
      </c>
      <c r="J73" s="5"/>
      <c r="K73" s="5"/>
      <c r="L73" s="5"/>
      <c r="M73" s="1044"/>
      <c r="N73" s="1214"/>
      <c r="O73" s="6"/>
    </row>
    <row r="74" spans="1:15">
      <c r="A74" s="1217">
        <v>1</v>
      </c>
      <c r="B74" s="5"/>
      <c r="C74" s="5"/>
      <c r="D74" s="961"/>
      <c r="E74" s="962"/>
      <c r="F74" s="975"/>
      <c r="G74" s="975" t="s">
        <v>1457</v>
      </c>
      <c r="H74" s="963"/>
      <c r="I74" s="976"/>
      <c r="J74" s="5"/>
      <c r="K74" s="5"/>
      <c r="L74" s="5"/>
      <c r="M74" s="1044"/>
      <c r="N74" s="1214"/>
      <c r="O74" s="6"/>
    </row>
    <row r="75" spans="1:15">
      <c r="A75" s="1217">
        <f t="shared" ref="A75:A83" si="2">A74+1</f>
        <v>2</v>
      </c>
      <c r="B75" s="5"/>
      <c r="C75" s="5"/>
      <c r="D75" s="965"/>
      <c r="E75" s="966"/>
      <c r="F75" s="968"/>
      <c r="G75" s="968" t="s">
        <v>1457</v>
      </c>
      <c r="H75" s="967"/>
      <c r="I75" s="969"/>
      <c r="J75" s="5"/>
      <c r="K75" s="5"/>
      <c r="L75" s="5"/>
      <c r="M75" s="1044"/>
      <c r="N75" s="1214"/>
      <c r="O75" s="6"/>
    </row>
    <row r="76" spans="1:15">
      <c r="A76" s="1217">
        <f t="shared" si="2"/>
        <v>3</v>
      </c>
      <c r="B76" s="5"/>
      <c r="C76" s="5"/>
      <c r="D76" s="965"/>
      <c r="E76" s="966"/>
      <c r="F76" s="968"/>
      <c r="G76" s="968" t="s">
        <v>1457</v>
      </c>
      <c r="H76" s="967"/>
      <c r="I76" s="969"/>
      <c r="J76" s="5"/>
      <c r="K76" s="5"/>
      <c r="L76" s="5"/>
      <c r="M76" s="1044"/>
      <c r="N76" s="1214"/>
      <c r="O76" s="6"/>
    </row>
    <row r="77" spans="1:15">
      <c r="A77" s="1217">
        <f t="shared" si="2"/>
        <v>4</v>
      </c>
      <c r="B77" s="5"/>
      <c r="C77" s="5"/>
      <c r="D77" s="965"/>
      <c r="E77" s="966"/>
      <c r="F77" s="968"/>
      <c r="G77" s="968" t="s">
        <v>1457</v>
      </c>
      <c r="H77" s="967"/>
      <c r="I77" s="969"/>
      <c r="J77" s="5"/>
      <c r="K77" s="5"/>
      <c r="L77" s="5"/>
      <c r="M77" s="1044"/>
      <c r="N77" s="1214"/>
      <c r="O77" s="6"/>
    </row>
    <row r="78" spans="1:15">
      <c r="A78" s="1217">
        <f t="shared" si="2"/>
        <v>5</v>
      </c>
      <c r="B78" s="5"/>
      <c r="C78" s="5"/>
      <c r="D78" s="965"/>
      <c r="E78" s="966"/>
      <c r="F78" s="968"/>
      <c r="G78" s="968" t="s">
        <v>1457</v>
      </c>
      <c r="H78" s="967"/>
      <c r="I78" s="969"/>
      <c r="J78" s="5"/>
      <c r="K78" s="5"/>
      <c r="L78" s="5"/>
      <c r="M78" s="1044"/>
      <c r="N78" s="1214"/>
      <c r="O78" s="6"/>
    </row>
    <row r="79" spans="1:15">
      <c r="A79" s="1217">
        <f t="shared" si="2"/>
        <v>6</v>
      </c>
      <c r="B79" s="5"/>
      <c r="C79" s="5"/>
      <c r="D79" s="965"/>
      <c r="E79" s="966"/>
      <c r="F79" s="968"/>
      <c r="G79" s="968" t="s">
        <v>1457</v>
      </c>
      <c r="H79" s="967"/>
      <c r="I79" s="969"/>
      <c r="J79" s="5"/>
      <c r="K79" s="5"/>
      <c r="L79" s="5"/>
      <c r="M79" s="1044"/>
      <c r="N79" s="1214"/>
      <c r="O79" s="6"/>
    </row>
    <row r="80" spans="1:15">
      <c r="A80" s="1217">
        <f t="shared" si="2"/>
        <v>7</v>
      </c>
      <c r="B80" s="5"/>
      <c r="C80" s="5"/>
      <c r="D80" s="965"/>
      <c r="E80" s="966"/>
      <c r="F80" s="968"/>
      <c r="G80" s="968" t="s">
        <v>1457</v>
      </c>
      <c r="H80" s="967"/>
      <c r="I80" s="969"/>
      <c r="J80" s="5"/>
      <c r="K80" s="5"/>
      <c r="L80" s="5"/>
      <c r="M80" s="1044"/>
      <c r="N80" s="1214"/>
      <c r="O80" s="6"/>
    </row>
    <row r="81" spans="1:15">
      <c r="A81" s="1217">
        <f t="shared" si="2"/>
        <v>8</v>
      </c>
      <c r="B81" s="5"/>
      <c r="C81" s="5"/>
      <c r="D81" s="965"/>
      <c r="E81" s="966"/>
      <c r="F81" s="968"/>
      <c r="G81" s="968" t="s">
        <v>1457</v>
      </c>
      <c r="H81" s="967"/>
      <c r="I81" s="969"/>
      <c r="J81" s="5"/>
      <c r="K81" s="5"/>
      <c r="L81" s="5"/>
      <c r="M81" s="1044"/>
      <c r="N81" s="1214"/>
      <c r="O81" s="6"/>
    </row>
    <row r="82" spans="1:15">
      <c r="A82" s="1217">
        <f t="shared" si="2"/>
        <v>9</v>
      </c>
      <c r="B82" s="5"/>
      <c r="C82" s="5"/>
      <c r="D82" s="965"/>
      <c r="E82" s="966"/>
      <c r="F82" s="968"/>
      <c r="G82" s="968" t="s">
        <v>1457</v>
      </c>
      <c r="H82" s="967"/>
      <c r="I82" s="969"/>
      <c r="J82" s="5"/>
      <c r="K82" s="5"/>
      <c r="L82" s="5"/>
      <c r="M82" s="1044"/>
      <c r="N82" s="1214"/>
      <c r="O82" s="6"/>
    </row>
    <row r="83" spans="1:15" ht="15" thickBot="1">
      <c r="A83" s="1217">
        <f t="shared" si="2"/>
        <v>10</v>
      </c>
      <c r="B83" s="5"/>
      <c r="C83" s="5"/>
      <c r="D83" s="970"/>
      <c r="E83" s="971"/>
      <c r="F83" s="973"/>
      <c r="G83" s="973" t="s">
        <v>1457</v>
      </c>
      <c r="H83" s="972"/>
      <c r="I83" s="974"/>
      <c r="J83" s="5"/>
      <c r="K83" s="5"/>
      <c r="L83" s="5"/>
      <c r="M83" s="1044"/>
      <c r="N83" s="1214"/>
      <c r="O83" s="6"/>
    </row>
    <row r="84" spans="1:15" ht="6.75" customHeight="1">
      <c r="A84" s="6"/>
      <c r="B84" s="5"/>
      <c r="C84" s="5"/>
      <c r="D84" s="1212"/>
      <c r="E84" s="1213"/>
      <c r="F84" s="1213"/>
      <c r="G84" s="1213"/>
      <c r="H84" s="1213"/>
      <c r="I84" s="1213"/>
      <c r="J84" s="1213"/>
      <c r="K84" s="1213"/>
      <c r="L84" s="1213"/>
      <c r="M84" s="1044"/>
      <c r="N84" s="1214"/>
      <c r="O84" s="6"/>
    </row>
    <row r="85" spans="1:15">
      <c r="A85" s="6"/>
      <c r="B85" s="5"/>
      <c r="C85" s="5"/>
      <c r="D85" s="1212" t="s">
        <v>1556</v>
      </c>
      <c r="E85" s="1213"/>
      <c r="F85" s="1035"/>
      <c r="G85" s="1035"/>
      <c r="H85" s="1035"/>
      <c r="I85" s="1035"/>
      <c r="J85" s="1035"/>
      <c r="K85" s="1035"/>
      <c r="L85" s="1035"/>
      <c r="M85" s="1044"/>
      <c r="N85" s="1214"/>
      <c r="O85" s="6"/>
    </row>
    <row r="86" spans="1:15" ht="6.75" customHeight="1">
      <c r="A86" s="6"/>
      <c r="B86" s="5"/>
      <c r="C86" s="5"/>
      <c r="D86" s="1212"/>
      <c r="E86" s="1213"/>
      <c r="F86" s="1035"/>
      <c r="G86" s="1035"/>
      <c r="H86" s="1035"/>
      <c r="I86" s="1035"/>
      <c r="J86" s="1035"/>
      <c r="K86" s="1035"/>
      <c r="L86" s="1035"/>
      <c r="M86" s="1044"/>
      <c r="N86" s="1214"/>
      <c r="O86" s="6"/>
    </row>
    <row r="87" spans="1:15" ht="82.5" customHeight="1" thickBot="1">
      <c r="A87" s="6"/>
      <c r="B87" s="5"/>
      <c r="C87" s="5"/>
      <c r="D87" s="1215" t="s">
        <v>1557</v>
      </c>
      <c r="E87" s="1216" t="s">
        <v>1558</v>
      </c>
      <c r="F87" s="1216" t="s">
        <v>1549</v>
      </c>
      <c r="G87" s="1216" t="s">
        <v>1547</v>
      </c>
      <c r="H87" s="1216" t="s">
        <v>1548</v>
      </c>
      <c r="I87" s="1216" t="s">
        <v>1666</v>
      </c>
      <c r="J87" s="5"/>
      <c r="K87" s="5"/>
      <c r="L87" s="5"/>
      <c r="M87" s="1044"/>
      <c r="N87" s="1214"/>
      <c r="O87" s="6"/>
    </row>
    <row r="88" spans="1:15">
      <c r="A88" s="1217">
        <v>1</v>
      </c>
      <c r="B88" s="5"/>
      <c r="C88" s="5"/>
      <c r="D88" s="961"/>
      <c r="E88" s="962"/>
      <c r="F88" s="975"/>
      <c r="G88" s="975" t="s">
        <v>1457</v>
      </c>
      <c r="H88" s="963"/>
      <c r="I88" s="976"/>
      <c r="J88" s="5"/>
      <c r="K88" s="5"/>
      <c r="L88" s="5"/>
      <c r="M88" s="1044"/>
      <c r="N88" s="1214"/>
      <c r="O88" s="6"/>
    </row>
    <row r="89" spans="1:15">
      <c r="A89" s="1217">
        <f t="shared" ref="A89:A97" si="3">A88+1</f>
        <v>2</v>
      </c>
      <c r="B89" s="5"/>
      <c r="C89" s="5"/>
      <c r="D89" s="965"/>
      <c r="E89" s="966"/>
      <c r="F89" s="968"/>
      <c r="G89" s="968" t="s">
        <v>1457</v>
      </c>
      <c r="H89" s="967"/>
      <c r="I89" s="969"/>
      <c r="J89" s="5"/>
      <c r="K89" s="5"/>
      <c r="L89" s="5"/>
      <c r="M89" s="1044"/>
      <c r="N89" s="1214"/>
      <c r="O89" s="6"/>
    </row>
    <row r="90" spans="1:15">
      <c r="A90" s="1217">
        <f t="shared" si="3"/>
        <v>3</v>
      </c>
      <c r="B90" s="5"/>
      <c r="C90" s="5"/>
      <c r="D90" s="965"/>
      <c r="E90" s="966"/>
      <c r="F90" s="968"/>
      <c r="G90" s="968" t="s">
        <v>1457</v>
      </c>
      <c r="H90" s="967"/>
      <c r="I90" s="969"/>
      <c r="J90" s="5"/>
      <c r="K90" s="5"/>
      <c r="L90" s="5"/>
      <c r="M90" s="1044"/>
      <c r="N90" s="1214"/>
      <c r="O90" s="6"/>
    </row>
    <row r="91" spans="1:15">
      <c r="A91" s="1217">
        <f t="shared" si="3"/>
        <v>4</v>
      </c>
      <c r="B91" s="5"/>
      <c r="C91" s="5"/>
      <c r="D91" s="965"/>
      <c r="E91" s="966"/>
      <c r="F91" s="968"/>
      <c r="G91" s="968" t="s">
        <v>1457</v>
      </c>
      <c r="H91" s="967"/>
      <c r="I91" s="969"/>
      <c r="J91" s="5"/>
      <c r="K91" s="5"/>
      <c r="L91" s="5"/>
      <c r="M91" s="1044"/>
      <c r="N91" s="1214"/>
      <c r="O91" s="6"/>
    </row>
    <row r="92" spans="1:15">
      <c r="A92" s="1217">
        <f t="shared" si="3"/>
        <v>5</v>
      </c>
      <c r="B92" s="5"/>
      <c r="C92" s="5"/>
      <c r="D92" s="965"/>
      <c r="E92" s="966"/>
      <c r="F92" s="968"/>
      <c r="G92" s="968" t="s">
        <v>1457</v>
      </c>
      <c r="H92" s="967"/>
      <c r="I92" s="969"/>
      <c r="J92" s="5"/>
      <c r="K92" s="5"/>
      <c r="L92" s="5"/>
      <c r="M92" s="1044"/>
      <c r="N92" s="1214"/>
      <c r="O92" s="6"/>
    </row>
    <row r="93" spans="1:15">
      <c r="A93" s="1217">
        <f t="shared" si="3"/>
        <v>6</v>
      </c>
      <c r="B93" s="5"/>
      <c r="C93" s="5"/>
      <c r="D93" s="965"/>
      <c r="E93" s="966"/>
      <c r="F93" s="968"/>
      <c r="G93" s="968" t="s">
        <v>1457</v>
      </c>
      <c r="H93" s="967"/>
      <c r="I93" s="969"/>
      <c r="J93" s="5"/>
      <c r="K93" s="5"/>
      <c r="L93" s="5"/>
      <c r="M93" s="1044"/>
      <c r="N93" s="1214"/>
      <c r="O93" s="6"/>
    </row>
    <row r="94" spans="1:15">
      <c r="A94" s="1217">
        <f t="shared" si="3"/>
        <v>7</v>
      </c>
      <c r="B94" s="5"/>
      <c r="C94" s="5"/>
      <c r="D94" s="965"/>
      <c r="E94" s="966"/>
      <c r="F94" s="968"/>
      <c r="G94" s="968" t="s">
        <v>1457</v>
      </c>
      <c r="H94" s="967"/>
      <c r="I94" s="969"/>
      <c r="J94" s="5"/>
      <c r="K94" s="5"/>
      <c r="L94" s="5"/>
      <c r="M94" s="1044"/>
      <c r="N94" s="1214"/>
      <c r="O94" s="6"/>
    </row>
    <row r="95" spans="1:15">
      <c r="A95" s="1217">
        <f t="shared" si="3"/>
        <v>8</v>
      </c>
      <c r="B95" s="5"/>
      <c r="C95" s="5"/>
      <c r="D95" s="965"/>
      <c r="E95" s="966"/>
      <c r="F95" s="968"/>
      <c r="G95" s="968" t="s">
        <v>1457</v>
      </c>
      <c r="H95" s="967"/>
      <c r="I95" s="969"/>
      <c r="J95" s="5"/>
      <c r="K95" s="5"/>
      <c r="L95" s="5"/>
      <c r="M95" s="1044"/>
      <c r="N95" s="1214"/>
      <c r="O95" s="6"/>
    </row>
    <row r="96" spans="1:15">
      <c r="A96" s="1217">
        <f t="shared" si="3"/>
        <v>9</v>
      </c>
      <c r="B96" s="5"/>
      <c r="C96" s="5"/>
      <c r="D96" s="965"/>
      <c r="E96" s="966"/>
      <c r="F96" s="968"/>
      <c r="G96" s="968" t="s">
        <v>1457</v>
      </c>
      <c r="H96" s="967"/>
      <c r="I96" s="969"/>
      <c r="J96" s="5"/>
      <c r="K96" s="5"/>
      <c r="L96" s="5"/>
      <c r="M96" s="1044"/>
      <c r="N96" s="1214"/>
      <c r="O96" s="6"/>
    </row>
    <row r="97" spans="1:22" ht="15" thickBot="1">
      <c r="A97" s="1217">
        <f t="shared" si="3"/>
        <v>10</v>
      </c>
      <c r="B97" s="5"/>
      <c r="C97" s="5"/>
      <c r="D97" s="970"/>
      <c r="E97" s="971"/>
      <c r="F97" s="973"/>
      <c r="G97" s="973" t="s">
        <v>1457</v>
      </c>
      <c r="H97" s="972"/>
      <c r="I97" s="974"/>
      <c r="J97" s="5"/>
      <c r="K97" s="5"/>
      <c r="L97" s="5"/>
      <c r="M97" s="1044"/>
      <c r="N97" s="1214"/>
      <c r="O97" s="6"/>
    </row>
    <row r="98" spans="1:22" ht="6.75" customHeight="1">
      <c r="A98" s="6"/>
      <c r="B98" s="5"/>
      <c r="C98" s="5"/>
      <c r="D98" s="1212"/>
      <c r="E98" s="1213"/>
      <c r="F98" s="1213"/>
      <c r="G98" s="1213"/>
      <c r="H98" s="1213"/>
      <c r="I98" s="5"/>
      <c r="J98" s="5"/>
      <c r="K98" s="1213"/>
      <c r="L98" s="1213"/>
      <c r="M98" s="1044"/>
      <c r="N98" s="1214"/>
      <c r="O98" s="6"/>
      <c r="P98" s="1622"/>
      <c r="Q98" s="1622"/>
      <c r="R98" s="1622"/>
      <c r="S98" s="1622"/>
      <c r="T98" s="1622"/>
      <c r="U98" s="1622"/>
      <c r="V98" s="1622"/>
    </row>
    <row r="99" spans="1:22" ht="15" customHeight="1">
      <c r="A99" s="6"/>
      <c r="B99" s="5"/>
      <c r="C99" s="5"/>
      <c r="D99" s="1212" t="s">
        <v>1667</v>
      </c>
      <c r="E99" s="1213"/>
      <c r="F99" s="1035"/>
      <c r="G99" s="1035"/>
      <c r="H99" s="1035"/>
      <c r="I99" s="5"/>
      <c r="J99" s="5"/>
      <c r="K99" s="5"/>
      <c r="L99" s="1213"/>
      <c r="M99" s="1044"/>
      <c r="N99" s="1214"/>
      <c r="O99" s="6"/>
    </row>
    <row r="100" spans="1:22" ht="6.75" customHeight="1">
      <c r="A100" s="6"/>
      <c r="B100" s="5"/>
      <c r="C100" s="5"/>
      <c r="D100" s="1212"/>
      <c r="E100" s="1213"/>
      <c r="F100" s="1035"/>
      <c r="G100" s="1035"/>
      <c r="H100" s="1035"/>
      <c r="I100" s="5"/>
      <c r="J100" s="5"/>
      <c r="K100" s="5"/>
      <c r="L100" s="1213"/>
      <c r="M100" s="1044"/>
      <c r="N100" s="1214"/>
      <c r="O100" s="6"/>
    </row>
    <row r="101" spans="1:22" ht="15" customHeight="1">
      <c r="A101" s="6"/>
      <c r="B101" s="5"/>
      <c r="C101" s="5"/>
      <c r="D101" s="1219" t="s">
        <v>1559</v>
      </c>
      <c r="E101" s="1213"/>
      <c r="F101" s="1035"/>
      <c r="G101" s="1035"/>
      <c r="H101" s="1035"/>
      <c r="I101" s="5"/>
      <c r="J101" s="5"/>
      <c r="K101" s="5"/>
      <c r="L101" s="1213"/>
      <c r="M101" s="1044"/>
      <c r="N101" s="1214"/>
      <c r="O101" s="6"/>
    </row>
    <row r="102" spans="1:22" ht="6.75" customHeight="1">
      <c r="A102" s="6"/>
      <c r="B102" s="5"/>
      <c r="C102" s="5"/>
      <c r="D102" s="1212"/>
      <c r="E102" s="1213"/>
      <c r="F102" s="1035"/>
      <c r="G102" s="1035"/>
      <c r="H102" s="1035"/>
      <c r="I102" s="5"/>
      <c r="J102" s="5"/>
      <c r="K102" s="5"/>
      <c r="L102" s="1213"/>
      <c r="M102" s="1044"/>
      <c r="N102" s="1214"/>
      <c r="O102" s="6"/>
    </row>
    <row r="103" spans="1:22" ht="82.5" customHeight="1" thickBot="1">
      <c r="A103" s="6"/>
      <c r="B103" s="5"/>
      <c r="C103" s="5"/>
      <c r="D103" s="1216" t="s">
        <v>1668</v>
      </c>
      <c r="E103" s="1216" t="s">
        <v>1669</v>
      </c>
      <c r="F103" s="1216" t="s">
        <v>1549</v>
      </c>
      <c r="G103" s="1216" t="s">
        <v>1547</v>
      </c>
      <c r="H103" s="1216" t="s">
        <v>1548</v>
      </c>
      <c r="I103" s="1216" t="s">
        <v>1670</v>
      </c>
      <c r="J103" s="5"/>
      <c r="K103" s="5"/>
      <c r="L103" s="1220"/>
      <c r="M103" s="1044"/>
      <c r="N103" s="1214"/>
      <c r="O103" s="6"/>
    </row>
    <row r="104" spans="1:22">
      <c r="A104" s="6"/>
      <c r="B104" s="5"/>
      <c r="C104" s="5"/>
      <c r="D104" s="961"/>
      <c r="E104" s="962"/>
      <c r="F104" s="975"/>
      <c r="G104" s="975" t="s">
        <v>1457</v>
      </c>
      <c r="H104" s="963"/>
      <c r="I104" s="976"/>
      <c r="J104" s="5"/>
      <c r="K104" s="5"/>
      <c r="L104" s="160"/>
      <c r="M104" s="1044"/>
      <c r="N104" s="1214"/>
      <c r="O104" s="6"/>
    </row>
    <row r="105" spans="1:22">
      <c r="A105" s="6"/>
      <c r="B105" s="5"/>
      <c r="C105" s="5"/>
      <c r="D105" s="965"/>
      <c r="E105" s="966"/>
      <c r="F105" s="968"/>
      <c r="G105" s="968" t="s">
        <v>1457</v>
      </c>
      <c r="H105" s="967"/>
      <c r="I105" s="969"/>
      <c r="J105" s="5"/>
      <c r="K105" s="5"/>
      <c r="L105" s="160"/>
      <c r="M105" s="1044"/>
      <c r="N105" s="1214"/>
      <c r="O105" s="6"/>
    </row>
    <row r="106" spans="1:22">
      <c r="A106" s="6"/>
      <c r="B106" s="5"/>
      <c r="C106" s="5"/>
      <c r="D106" s="965"/>
      <c r="E106" s="966"/>
      <c r="F106" s="968"/>
      <c r="G106" s="968" t="s">
        <v>1457</v>
      </c>
      <c r="H106" s="967"/>
      <c r="I106" s="969"/>
      <c r="J106" s="5"/>
      <c r="K106" s="5"/>
      <c r="L106" s="160"/>
      <c r="M106" s="1044"/>
      <c r="N106" s="1214"/>
      <c r="O106" s="6"/>
    </row>
    <row r="107" spans="1:22">
      <c r="A107" s="6"/>
      <c r="B107" s="5"/>
      <c r="C107" s="5"/>
      <c r="D107" s="965"/>
      <c r="E107" s="966"/>
      <c r="F107" s="968"/>
      <c r="G107" s="968" t="s">
        <v>1457</v>
      </c>
      <c r="H107" s="967"/>
      <c r="I107" s="969"/>
      <c r="J107" s="5"/>
      <c r="K107" s="5"/>
      <c r="L107" s="160"/>
      <c r="M107" s="1044"/>
      <c r="N107" s="1214"/>
      <c r="O107" s="6"/>
    </row>
    <row r="108" spans="1:22">
      <c r="A108" s="6"/>
      <c r="B108" s="5"/>
      <c r="C108" s="5"/>
      <c r="D108" s="965"/>
      <c r="E108" s="966"/>
      <c r="F108" s="968"/>
      <c r="G108" s="968" t="s">
        <v>1457</v>
      </c>
      <c r="H108" s="967"/>
      <c r="I108" s="969"/>
      <c r="J108" s="5"/>
      <c r="K108" s="5"/>
      <c r="L108" s="160"/>
      <c r="M108" s="1044"/>
      <c r="N108" s="1214"/>
      <c r="O108" s="6"/>
    </row>
    <row r="109" spans="1:22">
      <c r="A109" s="6"/>
      <c r="B109" s="5"/>
      <c r="C109" s="5"/>
      <c r="D109" s="965"/>
      <c r="E109" s="966"/>
      <c r="F109" s="968"/>
      <c r="G109" s="968" t="s">
        <v>1457</v>
      </c>
      <c r="H109" s="967"/>
      <c r="I109" s="969"/>
      <c r="J109" s="5"/>
      <c r="K109" s="5"/>
      <c r="L109" s="160"/>
      <c r="M109" s="1044"/>
      <c r="N109" s="1214"/>
      <c r="O109" s="6"/>
    </row>
    <row r="110" spans="1:22">
      <c r="A110" s="6"/>
      <c r="B110" s="5"/>
      <c r="C110" s="5"/>
      <c r="D110" s="965"/>
      <c r="E110" s="966"/>
      <c r="F110" s="968"/>
      <c r="G110" s="968" t="s">
        <v>1457</v>
      </c>
      <c r="H110" s="967"/>
      <c r="I110" s="969"/>
      <c r="J110" s="5"/>
      <c r="K110" s="5"/>
      <c r="L110" s="160"/>
      <c r="M110" s="1044"/>
      <c r="N110" s="1214"/>
      <c r="O110" s="6"/>
    </row>
    <row r="111" spans="1:22">
      <c r="A111" s="6"/>
      <c r="B111" s="5"/>
      <c r="C111" s="5"/>
      <c r="D111" s="965"/>
      <c r="E111" s="966"/>
      <c r="F111" s="968"/>
      <c r="G111" s="968" t="s">
        <v>1457</v>
      </c>
      <c r="H111" s="967"/>
      <c r="I111" s="969"/>
      <c r="J111" s="5"/>
      <c r="K111" s="5"/>
      <c r="L111" s="160"/>
      <c r="M111" s="1044"/>
      <c r="N111" s="1214"/>
      <c r="O111" s="6"/>
    </row>
    <row r="112" spans="1:22">
      <c r="A112" s="6"/>
      <c r="B112" s="5"/>
      <c r="C112" s="5"/>
      <c r="D112" s="965"/>
      <c r="E112" s="966"/>
      <c r="F112" s="968"/>
      <c r="G112" s="968" t="s">
        <v>1457</v>
      </c>
      <c r="H112" s="967"/>
      <c r="I112" s="969"/>
      <c r="J112" s="5"/>
      <c r="K112" s="5"/>
      <c r="L112" s="160"/>
      <c r="M112" s="1044"/>
      <c r="N112" s="1214"/>
      <c r="O112" s="6"/>
    </row>
    <row r="113" spans="1:19" ht="15" thickBot="1">
      <c r="A113" s="6"/>
      <c r="B113" s="5"/>
      <c r="C113" s="5"/>
      <c r="D113" s="970"/>
      <c r="E113" s="971"/>
      <c r="F113" s="973"/>
      <c r="G113" s="973" t="s">
        <v>1457</v>
      </c>
      <c r="H113" s="972"/>
      <c r="I113" s="974"/>
      <c r="J113" s="5"/>
      <c r="K113" s="5"/>
      <c r="L113" s="160"/>
      <c r="M113" s="1044"/>
      <c r="N113" s="1214"/>
      <c r="O113" s="6"/>
    </row>
    <row r="114" spans="1:19" ht="6.75" customHeight="1">
      <c r="A114" s="6"/>
      <c r="B114" s="5"/>
      <c r="C114" s="5"/>
      <c r="D114" s="1054"/>
      <c r="E114" s="1213"/>
      <c r="F114" s="1213"/>
      <c r="G114" s="1035"/>
      <c r="H114" s="1035"/>
      <c r="I114" s="1035"/>
      <c r="J114" s="1035"/>
      <c r="K114" s="1035"/>
      <c r="L114" s="1035"/>
      <c r="M114" s="1044"/>
      <c r="N114" s="1214"/>
      <c r="O114" s="6"/>
    </row>
    <row r="115" spans="1:19">
      <c r="A115" s="6"/>
      <c r="B115" s="6"/>
      <c r="C115" s="6"/>
      <c r="D115" s="6"/>
      <c r="E115" s="6"/>
      <c r="F115" s="6"/>
      <c r="G115" s="6"/>
      <c r="H115" s="6"/>
      <c r="I115" s="6"/>
      <c r="J115" s="6"/>
      <c r="K115" s="6"/>
      <c r="L115" s="6"/>
      <c r="M115" s="6"/>
      <c r="N115" s="6"/>
      <c r="O115" s="6"/>
    </row>
    <row r="116" spans="1:19" hidden="1" outlineLevel="1">
      <c r="A116" s="6"/>
      <c r="B116" s="425" t="s">
        <v>1341</v>
      </c>
      <c r="C116" s="6"/>
      <c r="D116" s="6"/>
      <c r="E116" s="6"/>
      <c r="F116" s="6"/>
      <c r="G116" s="6"/>
      <c r="H116" s="6"/>
      <c r="I116" s="6"/>
      <c r="J116" s="6"/>
      <c r="K116" s="6"/>
      <c r="L116" s="6"/>
      <c r="M116" s="6"/>
      <c r="N116" s="6"/>
      <c r="O116" s="6"/>
    </row>
    <row r="117" spans="1:19" hidden="1" outlineLevel="1">
      <c r="A117" s="6"/>
      <c r="B117" s="1221"/>
      <c r="C117" s="1190"/>
      <c r="D117" s="1191" t="s">
        <v>1259</v>
      </c>
      <c r="E117" s="1192"/>
      <c r="F117" s="1192"/>
      <c r="G117" s="1192"/>
      <c r="H117" s="1192"/>
      <c r="I117" s="1192"/>
      <c r="J117" s="1192"/>
      <c r="K117" s="1193"/>
      <c r="L117" s="1193"/>
      <c r="M117" s="1194"/>
      <c r="N117" s="1034"/>
    </row>
    <row r="118" spans="1:19" ht="6.75" hidden="1" customHeight="1" outlineLevel="1">
      <c r="A118" s="6"/>
      <c r="B118" s="5"/>
      <c r="C118" s="5"/>
      <c r="D118" s="5"/>
      <c r="E118" s="5"/>
      <c r="F118" s="5"/>
      <c r="G118" s="5"/>
      <c r="H118" s="5"/>
      <c r="I118" s="5"/>
      <c r="J118" s="5"/>
      <c r="K118" s="5"/>
      <c r="L118" s="5"/>
      <c r="M118" s="5"/>
      <c r="N118" s="5"/>
      <c r="O118" s="6"/>
    </row>
    <row r="119" spans="1:19" s="1224" customFormat="1" ht="15" hidden="1" customHeight="1" outlineLevel="1">
      <c r="A119" s="404"/>
      <c r="B119" s="1222"/>
      <c r="C119" s="1223"/>
      <c r="D119" s="1630" t="s">
        <v>1347</v>
      </c>
      <c r="E119" s="1630"/>
      <c r="F119" s="1630"/>
      <c r="G119" s="1630"/>
      <c r="H119" s="1630"/>
      <c r="I119" s="1630"/>
      <c r="J119" s="1630"/>
      <c r="K119" s="1630"/>
      <c r="L119" s="1630"/>
      <c r="M119" s="1631"/>
      <c r="N119" s="1222"/>
      <c r="O119" s="404"/>
    </row>
    <row r="120" spans="1:19" s="1224" customFormat="1" ht="15" hidden="1" customHeight="1" outlineLevel="1">
      <c r="A120" s="404"/>
      <c r="B120" s="1222"/>
      <c r="C120" s="1225"/>
      <c r="D120" s="1632"/>
      <c r="E120" s="1632"/>
      <c r="F120" s="1632"/>
      <c r="G120" s="1632"/>
      <c r="H120" s="1632"/>
      <c r="I120" s="1632"/>
      <c r="J120" s="1632"/>
      <c r="K120" s="1632"/>
      <c r="L120" s="1632"/>
      <c r="M120" s="1633"/>
      <c r="N120" s="1222"/>
      <c r="O120" s="404"/>
    </row>
    <row r="121" spans="1:19" hidden="1" outlineLevel="1">
      <c r="A121" s="6"/>
      <c r="B121" s="5"/>
      <c r="C121" s="1226"/>
      <c r="D121" s="1226"/>
      <c r="E121" s="1226"/>
      <c r="F121" s="1226"/>
      <c r="G121" s="1226"/>
      <c r="H121" s="1226"/>
      <c r="I121" s="1227"/>
      <c r="J121" s="1227"/>
      <c r="K121" s="1227"/>
      <c r="L121" s="1227"/>
      <c r="M121" s="1227"/>
      <c r="N121" s="5"/>
      <c r="O121" s="6"/>
    </row>
    <row r="122" spans="1:19" ht="15" hidden="1" customHeight="1" outlineLevel="1">
      <c r="A122" s="6"/>
      <c r="B122" s="5"/>
      <c r="C122" s="1651" t="s">
        <v>19</v>
      </c>
      <c r="D122" s="1651"/>
      <c r="E122" s="1651"/>
      <c r="F122" s="1651"/>
      <c r="G122" s="1641" t="s">
        <v>1259</v>
      </c>
      <c r="H122" s="1642"/>
      <c r="I122" s="1643"/>
      <c r="J122" s="1653" t="s">
        <v>1168</v>
      </c>
      <c r="K122" s="5"/>
      <c r="L122" s="5"/>
      <c r="M122" s="5"/>
      <c r="N122" s="1228"/>
      <c r="O122" s="6"/>
    </row>
    <row r="123" spans="1:19" hidden="1" outlineLevel="1">
      <c r="A123" s="6"/>
      <c r="B123" s="5"/>
      <c r="C123" s="1652"/>
      <c r="D123" s="1652"/>
      <c r="E123" s="1652"/>
      <c r="F123" s="1652"/>
      <c r="G123" s="1644"/>
      <c r="H123" s="1645"/>
      <c r="I123" s="1646"/>
      <c r="J123" s="1654"/>
      <c r="K123" s="5"/>
      <c r="L123" s="5"/>
      <c r="M123" s="5"/>
      <c r="N123" s="1228"/>
      <c r="O123" s="425"/>
      <c r="P123" s="1229"/>
      <c r="Q123" s="1229"/>
      <c r="R123" s="1229"/>
      <c r="S123" s="1229"/>
    </row>
    <row r="124" spans="1:19" hidden="1" outlineLevel="1">
      <c r="A124" s="6"/>
      <c r="B124" s="5"/>
      <c r="C124" s="1230" t="s">
        <v>1006</v>
      </c>
      <c r="D124" s="1231"/>
      <c r="E124" s="1231"/>
      <c r="F124" s="1231"/>
      <c r="G124" s="1647"/>
      <c r="H124" s="1648"/>
      <c r="I124" s="1649"/>
      <c r="J124" s="1655"/>
      <c r="K124" s="5"/>
      <c r="L124" s="5"/>
      <c r="M124" s="5"/>
      <c r="N124" s="5"/>
      <c r="O124" s="6"/>
      <c r="P124" s="1232" t="s">
        <v>1283</v>
      </c>
    </row>
    <row r="125" spans="1:19" hidden="1" outlineLevel="1">
      <c r="A125" s="6"/>
      <c r="B125" s="5"/>
      <c r="C125" s="1619" t="s">
        <v>1372</v>
      </c>
      <c r="D125" s="1620"/>
      <c r="E125" s="1620"/>
      <c r="F125" s="1621"/>
      <c r="G125" s="1617">
        <f>SUMIF(Isolation!D7:D26,"&gt;="&amp;49,Isolation!W7:W26)</f>
        <v>0</v>
      </c>
      <c r="H125" s="1618"/>
      <c r="I125" s="1233" t="s">
        <v>20</v>
      </c>
      <c r="J125" s="1234" t="str">
        <f>IFERROR(IF(IF(MIN(F36:F55)=0,SMALL(F36:F55,2),SMALL(F36:F55,1))&lt;49,"Note 4",""),"N/A")</f>
        <v>N/A</v>
      </c>
      <c r="K125" s="5"/>
      <c r="L125" s="5"/>
      <c r="M125" s="5"/>
      <c r="N125" s="5"/>
      <c r="O125" s="6"/>
      <c r="P125" s="1235" t="str">
        <f>IF(OR(J125="",J125="N/A"),"",1)</f>
        <v/>
      </c>
    </row>
    <row r="126" spans="1:19" hidden="1" outlineLevel="1">
      <c r="A126" s="6"/>
      <c r="B126" s="5"/>
      <c r="C126" s="1619" t="s">
        <v>24</v>
      </c>
      <c r="D126" s="1620"/>
      <c r="E126" s="1620"/>
      <c r="F126" s="1621"/>
      <c r="G126" s="1617">
        <f>SUMIF(F60:F69,"&gt;="&amp;49,I60:I69)*Subvention!E28</f>
        <v>0</v>
      </c>
      <c r="H126" s="1618"/>
      <c r="I126" s="1233" t="s">
        <v>20</v>
      </c>
      <c r="J126" s="1234" t="str">
        <f>IFERROR(IF(IF(MIN(F60:F69)=0,SMALL(F60:F69,2),SMALL(F60:F69,1))&lt;49,"Note 4",""),"N/A")</f>
        <v>N/A</v>
      </c>
      <c r="K126" s="5"/>
      <c r="L126" s="5"/>
      <c r="M126" s="5"/>
      <c r="N126" s="5"/>
      <c r="O126" s="6"/>
      <c r="P126" s="1235" t="str">
        <f t="shared" ref="P126:P129" si="4">IF(OR(J126="",J126="N/A"),"",1)</f>
        <v/>
      </c>
    </row>
    <row r="127" spans="1:19" hidden="1" outlineLevel="1">
      <c r="A127" s="6"/>
      <c r="B127" s="5"/>
      <c r="C127" s="1619" t="s">
        <v>25</v>
      </c>
      <c r="D127" s="1620"/>
      <c r="E127" s="1620"/>
      <c r="F127" s="1621"/>
      <c r="G127" s="1617">
        <f>SUMIF(F74:F83,"&gt;="&amp;49,I74:I83)*Subvention!E29</f>
        <v>0</v>
      </c>
      <c r="H127" s="1618"/>
      <c r="I127" s="1233" t="s">
        <v>20</v>
      </c>
      <c r="J127" s="1234" t="str">
        <f>IFERROR(IF(IF(MIN(F74:F83)=0,SMALL(F74:F83,2),SMALL(F74:F83,1))&lt;49,"Note 4",""),"N/A")</f>
        <v>N/A</v>
      </c>
      <c r="K127" s="5"/>
      <c r="L127" s="5"/>
      <c r="M127" s="5"/>
      <c r="N127" s="5"/>
      <c r="O127" s="6"/>
      <c r="P127" s="1235" t="str">
        <f t="shared" si="4"/>
        <v/>
      </c>
    </row>
    <row r="128" spans="1:19" hidden="1" outlineLevel="1">
      <c r="A128" s="6"/>
      <c r="B128" s="5"/>
      <c r="C128" s="1619" t="s">
        <v>26</v>
      </c>
      <c r="D128" s="1620"/>
      <c r="E128" s="1620"/>
      <c r="F128" s="1621"/>
      <c r="G128" s="1623">
        <f>MIN(SUMIF(Isolation!D47:D56,"&gt;="&amp;49,Isolation!U47:U56)*Subvention!E31,Subvention!$L$20)</f>
        <v>0</v>
      </c>
      <c r="H128" s="1624"/>
      <c r="I128" s="1233" t="s">
        <v>20</v>
      </c>
      <c r="J128" s="1234" t="str">
        <f>IFERROR(IF(IF(MIN(F88:F97)=0,SMALL(F88:F97,2),SMALL(F88:F97,1))&lt;49,"Note 4",""),"N/A")</f>
        <v>N/A</v>
      </c>
      <c r="K128" s="5"/>
      <c r="L128" s="5"/>
      <c r="M128" s="5"/>
      <c r="N128" s="5"/>
      <c r="O128" s="6"/>
      <c r="P128" s="1235" t="str">
        <f t="shared" si="4"/>
        <v/>
      </c>
    </row>
    <row r="129" spans="1:19" hidden="1" outlineLevel="1">
      <c r="A129" s="6"/>
      <c r="B129" s="5"/>
      <c r="C129" s="1619" t="s">
        <v>27</v>
      </c>
      <c r="D129" s="1620"/>
      <c r="E129" s="1620"/>
      <c r="F129" s="1621"/>
      <c r="G129" s="1617">
        <f>MIN(SUMIF(Isolation!D77:D86,"&gt;="&amp;49,Isolation!S77:S86)*Subvention!E32,Subvention!$L$20)</f>
        <v>0</v>
      </c>
      <c r="H129" s="1618"/>
      <c r="I129" s="1233" t="s">
        <v>20</v>
      </c>
      <c r="J129" s="1234" t="str">
        <f>IFERROR(IF(IF(MIN(F104:F113)=0,SMALL(F104:F113,2),SMALL(F104:F113,1))&lt;49,"Note 4",""),"N/A")</f>
        <v>N/A</v>
      </c>
      <c r="K129" s="5"/>
      <c r="L129" s="5"/>
      <c r="M129" s="5"/>
      <c r="N129" s="5"/>
      <c r="O129" s="6"/>
      <c r="P129" s="1235" t="str">
        <f t="shared" si="4"/>
        <v/>
      </c>
    </row>
    <row r="130" spans="1:19" hidden="1" outlineLevel="1">
      <c r="A130" s="6"/>
      <c r="B130" s="5"/>
      <c r="C130" s="1640" t="s">
        <v>1260</v>
      </c>
      <c r="D130" s="1640"/>
      <c r="E130" s="1640"/>
      <c r="F130" s="1640"/>
      <c r="G130" s="1650">
        <f>SUM(G125:H129)</f>
        <v>0</v>
      </c>
      <c r="H130" s="1650"/>
      <c r="I130" s="1236" t="s">
        <v>20</v>
      </c>
      <c r="J130" s="1237"/>
      <c r="K130" s="5"/>
      <c r="L130" s="5"/>
      <c r="M130" s="5"/>
      <c r="N130" s="5"/>
      <c r="O130" s="6"/>
      <c r="P130" s="1232">
        <f>SUM(P125:P129)</f>
        <v>0</v>
      </c>
    </row>
    <row r="131" spans="1:19" hidden="1" outlineLevel="1">
      <c r="A131" s="6"/>
      <c r="B131" s="5"/>
      <c r="C131" s="1238"/>
      <c r="D131" s="1238"/>
      <c r="E131" s="1238"/>
      <c r="F131" s="1238"/>
      <c r="G131" s="1239"/>
      <c r="H131" s="1239"/>
      <c r="I131" s="1240"/>
      <c r="J131" s="1241"/>
      <c r="K131" s="1241"/>
      <c r="L131" s="1241"/>
      <c r="M131" s="1241"/>
      <c r="N131" s="5"/>
      <c r="O131" s="6"/>
    </row>
    <row r="132" spans="1:19" ht="6.75" hidden="1" customHeight="1" outlineLevel="1">
      <c r="A132" s="6"/>
      <c r="B132" s="5"/>
      <c r="C132" s="1238"/>
      <c r="D132" s="1242" t="s">
        <v>1263</v>
      </c>
      <c r="E132" s="1238"/>
      <c r="F132" s="1238"/>
      <c r="G132" s="1243"/>
      <c r="H132" s="1243"/>
      <c r="I132" s="1239"/>
      <c r="J132" s="1239"/>
      <c r="K132" s="1239"/>
      <c r="L132" s="1239"/>
      <c r="M132" s="1239"/>
      <c r="N132" s="1239"/>
      <c r="O132" s="643"/>
    </row>
    <row r="133" spans="1:19" hidden="1" outlineLevel="1">
      <c r="A133" s="6"/>
      <c r="B133" s="5"/>
      <c r="C133" s="5"/>
      <c r="D133" s="1242" t="s">
        <v>1325</v>
      </c>
      <c r="E133" s="5"/>
      <c r="F133" s="1214"/>
      <c r="G133" s="1243"/>
      <c r="H133" s="1243"/>
      <c r="I133" s="1239"/>
      <c r="J133" s="1239"/>
      <c r="K133" s="1239"/>
      <c r="L133" s="1239"/>
      <c r="M133" s="1239"/>
      <c r="N133" s="1239"/>
      <c r="O133" s="643"/>
    </row>
    <row r="134" spans="1:19" ht="9" hidden="1" customHeight="1" outlineLevel="1">
      <c r="A134" s="6"/>
      <c r="B134" s="5"/>
      <c r="C134" s="5"/>
      <c r="D134" s="5"/>
      <c r="E134" s="5"/>
      <c r="F134" s="5"/>
      <c r="G134" s="5"/>
      <c r="H134" s="5"/>
      <c r="I134" s="5"/>
      <c r="J134" s="5"/>
      <c r="K134" s="5"/>
      <c r="L134" s="5"/>
      <c r="M134" s="5"/>
      <c r="N134" s="5"/>
      <c r="O134" s="6"/>
    </row>
    <row r="135" spans="1:19" collapsed="1">
      <c r="A135" s="6"/>
      <c r="B135" s="1221"/>
      <c r="C135" s="1190"/>
      <c r="D135" s="1191" t="s">
        <v>1671</v>
      </c>
      <c r="E135" s="1192"/>
      <c r="F135" s="1192"/>
      <c r="G135" s="1192"/>
      <c r="H135" s="1192"/>
      <c r="I135" s="1192"/>
      <c r="J135" s="1192"/>
      <c r="K135" s="1193"/>
      <c r="L135" s="1193"/>
      <c r="M135" s="1194"/>
      <c r="N135" s="1034"/>
      <c r="O135" s="6"/>
    </row>
    <row r="136" spans="1:19">
      <c r="A136" s="6"/>
      <c r="B136" s="1195"/>
      <c r="C136" s="1195"/>
      <c r="D136" s="1196"/>
      <c r="E136" s="1197"/>
      <c r="F136" s="1197"/>
      <c r="G136" s="1197"/>
      <c r="H136" s="1197"/>
      <c r="I136" s="1197"/>
      <c r="J136" s="1197"/>
      <c r="K136" s="1198"/>
      <c r="L136" s="1198"/>
      <c r="M136" s="1199"/>
      <c r="N136" s="1200"/>
      <c r="O136" s="6"/>
    </row>
    <row r="137" spans="1:19" s="1224" customFormat="1" ht="15" customHeight="1">
      <c r="A137" s="404"/>
      <c r="B137" s="1222"/>
      <c r="C137" s="1244"/>
      <c r="D137" s="1630" t="s">
        <v>1560</v>
      </c>
      <c r="E137" s="1630"/>
      <c r="F137" s="1630"/>
      <c r="G137" s="1630"/>
      <c r="H137" s="1630"/>
      <c r="I137" s="1630"/>
      <c r="J137" s="1630"/>
      <c r="K137" s="1630"/>
      <c r="L137" s="1630"/>
      <c r="M137" s="1631"/>
      <c r="N137" s="1222"/>
      <c r="O137" s="404"/>
    </row>
    <row r="138" spans="1:19" s="1224" customFormat="1" ht="15" customHeight="1">
      <c r="A138" s="404"/>
      <c r="B138" s="1222"/>
      <c r="C138" s="1225"/>
      <c r="D138" s="1632"/>
      <c r="E138" s="1632"/>
      <c r="F138" s="1632"/>
      <c r="G138" s="1632"/>
      <c r="H138" s="1632"/>
      <c r="I138" s="1632"/>
      <c r="J138" s="1632"/>
      <c r="K138" s="1632"/>
      <c r="L138" s="1632"/>
      <c r="M138" s="1633"/>
      <c r="N138" s="1222"/>
      <c r="O138" s="404"/>
    </row>
    <row r="139" spans="1:19">
      <c r="A139" s="6"/>
      <c r="B139" s="1195"/>
      <c r="C139" s="1195"/>
      <c r="D139" s="1196"/>
      <c r="E139" s="1197"/>
      <c r="F139" s="1197"/>
      <c r="G139" s="1197"/>
      <c r="H139" s="1197"/>
      <c r="I139" s="1197"/>
      <c r="J139" s="1197"/>
      <c r="K139" s="1198"/>
      <c r="L139" s="1198"/>
      <c r="M139" s="1199"/>
      <c r="N139" s="1200"/>
      <c r="O139" s="6"/>
    </row>
    <row r="140" spans="1:19" ht="15" customHeight="1">
      <c r="A140" s="6"/>
      <c r="B140" s="5"/>
      <c r="C140" s="1656" t="s">
        <v>1529</v>
      </c>
      <c r="D140" s="1657"/>
      <c r="E140" s="1657"/>
      <c r="F140" s="1658"/>
      <c r="G140" s="1607" t="s">
        <v>1565</v>
      </c>
      <c r="H140" s="1608"/>
      <c r="I140" s="1607" t="s">
        <v>1566</v>
      </c>
      <c r="J140" s="1608"/>
      <c r="K140" s="1245"/>
      <c r="L140" s="1246"/>
      <c r="M140" s="5"/>
      <c r="N140" s="1228"/>
      <c r="O140" s="6"/>
    </row>
    <row r="141" spans="1:19">
      <c r="A141" s="6"/>
      <c r="B141" s="5"/>
      <c r="C141" s="1659"/>
      <c r="D141" s="1651"/>
      <c r="E141" s="1651"/>
      <c r="F141" s="1660"/>
      <c r="G141" s="1609"/>
      <c r="H141" s="1610"/>
      <c r="I141" s="1609"/>
      <c r="J141" s="1610"/>
      <c r="K141" s="1245"/>
      <c r="L141" s="1246"/>
      <c r="M141" s="5"/>
      <c r="N141" s="1228"/>
      <c r="O141" s="425"/>
      <c r="P141" s="1229"/>
      <c r="Q141" s="1229"/>
      <c r="R141" s="1229"/>
      <c r="S141" s="1229"/>
    </row>
    <row r="142" spans="1:19" ht="15" thickBot="1">
      <c r="A142" s="6"/>
      <c r="B142" s="5"/>
      <c r="C142" s="1661"/>
      <c r="D142" s="1652"/>
      <c r="E142" s="1652"/>
      <c r="F142" s="1662"/>
      <c r="G142" s="1609"/>
      <c r="H142" s="1610"/>
      <c r="I142" s="1609"/>
      <c r="J142" s="1610"/>
      <c r="K142" s="1245"/>
      <c r="L142" s="1246"/>
      <c r="M142" s="5"/>
      <c r="N142" s="1228"/>
      <c r="O142" s="425"/>
      <c r="P142" s="1229"/>
      <c r="Q142" s="1229"/>
      <c r="R142" s="1229"/>
      <c r="S142" s="1229"/>
    </row>
    <row r="143" spans="1:19">
      <c r="A143" s="6"/>
      <c r="B143" s="5"/>
      <c r="C143" s="1625" t="s">
        <v>1561</v>
      </c>
      <c r="D143" s="1626"/>
      <c r="E143" s="1626"/>
      <c r="F143" s="1626"/>
      <c r="G143" s="1636">
        <f>SUM(Isolation!R7:R26)*I17</f>
        <v>0</v>
      </c>
      <c r="H143" s="1637"/>
      <c r="I143" s="1613" t="str">
        <f>IF(OR(I18=0,""),"-",SUM(Isolation!P7:P26)*'3b. Calculator - EEM 1'!I18/'Facteurs conversion'!$C$5/1000/1000)</f>
        <v>-</v>
      </c>
      <c r="J143" s="1614"/>
      <c r="K143" s="1247"/>
      <c r="L143" s="1248"/>
      <c r="M143" s="5"/>
      <c r="N143" s="5"/>
      <c r="O143" s="6"/>
    </row>
    <row r="144" spans="1:19">
      <c r="A144" s="6"/>
      <c r="B144" s="5"/>
      <c r="C144" s="1625" t="s">
        <v>1562</v>
      </c>
      <c r="D144" s="1626"/>
      <c r="E144" s="1626"/>
      <c r="F144" s="1626"/>
      <c r="G144" s="1611">
        <f>SUM(Isolation!R62:R71)*I17</f>
        <v>0</v>
      </c>
      <c r="H144" s="1612"/>
      <c r="I144" s="1615" t="str">
        <f>IF(OR(I18=0,""),"-",SUM(Isolation!P62:P71)*'3b. Calculator - EEM 1'!I18/'Facteurs conversion'!$C$5/1000/1000)</f>
        <v>-</v>
      </c>
      <c r="J144" s="1616"/>
      <c r="K144" s="1247"/>
      <c r="L144" s="1248"/>
      <c r="M144" s="5"/>
      <c r="N144" s="5"/>
      <c r="O144" s="6"/>
    </row>
    <row r="145" spans="1:16">
      <c r="A145" s="6"/>
      <c r="B145" s="5"/>
      <c r="C145" s="1625" t="s">
        <v>1563</v>
      </c>
      <c r="D145" s="1626"/>
      <c r="E145" s="1626"/>
      <c r="F145" s="1626"/>
      <c r="G145" s="1611">
        <f>SUM(Isolation!R32:R41)*I17</f>
        <v>0</v>
      </c>
      <c r="H145" s="1612"/>
      <c r="I145" s="1615" t="str">
        <f>IF(OR(I18=0,""),"-",SUM(Isolation!P32:P41)*'3b. Calculator - EEM 1'!I18/'Facteurs conversion'!$C$5/1000/1000)</f>
        <v>-</v>
      </c>
      <c r="J145" s="1616"/>
      <c r="K145" s="1247"/>
      <c r="L145" s="1248"/>
      <c r="M145" s="5"/>
      <c r="N145" s="5"/>
      <c r="O145" s="6"/>
    </row>
    <row r="146" spans="1:16">
      <c r="A146" s="6"/>
      <c r="B146" s="5"/>
      <c r="C146" s="1625" t="s">
        <v>1564</v>
      </c>
      <c r="D146" s="1626"/>
      <c r="E146" s="1626"/>
      <c r="F146" s="1626"/>
      <c r="G146" s="1611">
        <f>SUM(Isolation!R47:R56)*I17</f>
        <v>0</v>
      </c>
      <c r="H146" s="1612"/>
      <c r="I146" s="1615" t="str">
        <f>IF(OR(I18=0,""),"-",SUM(Isolation!P47:P56)*'3b. Calculator - EEM 1'!I18/'Facteurs conversion'!$C$5/1000/1000)</f>
        <v>-</v>
      </c>
      <c r="J146" s="1616"/>
      <c r="K146" s="1247"/>
      <c r="L146" s="1248"/>
      <c r="M146" s="5"/>
      <c r="N146" s="5"/>
      <c r="O146" s="6"/>
    </row>
    <row r="147" spans="1:16" ht="15" thickBot="1">
      <c r="A147" s="6"/>
      <c r="B147" s="5"/>
      <c r="C147" s="1625" t="s">
        <v>1672</v>
      </c>
      <c r="D147" s="1626"/>
      <c r="E147" s="1626"/>
      <c r="F147" s="1626"/>
      <c r="G147" s="1628">
        <f>SUM(Isolation!R77:R86)*I17</f>
        <v>0</v>
      </c>
      <c r="H147" s="1629"/>
      <c r="I147" s="1604" t="str">
        <f>IF(OR(I18=0,""),"-",SUM(Isolation!P77:P86)*'3b. Calculator - EEM 1'!I18/'Facteurs conversion'!$C$5/1000/1000)</f>
        <v>-</v>
      </c>
      <c r="J147" s="1605"/>
      <c r="K147" s="1247"/>
      <c r="L147" s="1248"/>
      <c r="M147" s="5"/>
      <c r="N147" s="5"/>
      <c r="O147" s="6"/>
    </row>
    <row r="148" spans="1:16">
      <c r="A148" s="6"/>
      <c r="B148" s="5"/>
      <c r="C148" s="1627" t="s">
        <v>1201</v>
      </c>
      <c r="D148" s="1627"/>
      <c r="E148" s="1627"/>
      <c r="F148" s="1627"/>
      <c r="G148" s="1606">
        <f>SUM(G143:H147)</f>
        <v>0</v>
      </c>
      <c r="H148" s="1606"/>
      <c r="I148" s="1606">
        <f>SUM(I143:J147)</f>
        <v>0</v>
      </c>
      <c r="J148" s="1606"/>
      <c r="K148" s="1247"/>
      <c r="L148" s="1248"/>
      <c r="M148" s="5"/>
      <c r="N148" s="5"/>
      <c r="O148" s="6"/>
    </row>
    <row r="149" spans="1:16" ht="6.75" customHeight="1">
      <c r="A149" s="6"/>
      <c r="B149" s="5"/>
      <c r="C149" s="1627"/>
      <c r="D149" s="1627" t="s">
        <v>18</v>
      </c>
      <c r="E149" s="1627"/>
      <c r="F149" s="1627"/>
      <c r="G149" s="1239"/>
      <c r="H149" s="1239"/>
      <c r="I149" s="1239"/>
      <c r="J149" s="1239"/>
      <c r="K149" s="1239"/>
      <c r="L149" s="1239"/>
      <c r="M149" s="1249"/>
      <c r="N149" s="5"/>
      <c r="O149" s="6"/>
    </row>
    <row r="150" spans="1:16">
      <c r="A150" s="6"/>
      <c r="B150" s="5"/>
      <c r="C150" s="5"/>
      <c r="D150" s="5"/>
      <c r="E150" s="5"/>
      <c r="F150" s="5"/>
      <c r="G150" s="1250"/>
      <c r="H150" s="5"/>
      <c r="I150" s="5"/>
      <c r="J150" s="5"/>
      <c r="K150" s="5"/>
      <c r="L150" s="5"/>
      <c r="M150" s="1241"/>
      <c r="N150" s="5"/>
      <c r="O150" s="6"/>
      <c r="P150" s="1229"/>
    </row>
    <row r="151" spans="1:16" ht="6.75" customHeight="1">
      <c r="A151" s="6"/>
      <c r="B151" s="5"/>
      <c r="C151" s="5"/>
      <c r="D151" s="5"/>
      <c r="E151" s="5"/>
      <c r="F151" s="5"/>
      <c r="G151" s="5"/>
      <c r="H151" s="5"/>
      <c r="I151" s="5"/>
      <c r="J151" s="5"/>
      <c r="K151" s="5"/>
      <c r="L151" s="5"/>
      <c r="M151" s="5"/>
      <c r="N151" s="5"/>
      <c r="O151" s="6"/>
    </row>
    <row r="152" spans="1:16">
      <c r="A152" s="6"/>
      <c r="B152" s="6"/>
      <c r="C152" s="6"/>
      <c r="D152" s="6"/>
      <c r="E152" s="6"/>
      <c r="F152" s="6"/>
      <c r="G152" s="6"/>
      <c r="H152" s="6"/>
      <c r="I152" s="6"/>
      <c r="J152" s="6"/>
      <c r="K152" s="6"/>
      <c r="L152" s="6"/>
      <c r="M152" s="411"/>
      <c r="N152" s="454"/>
      <c r="O152" s="6"/>
    </row>
    <row r="153" spans="1:16">
      <c r="J153" s="1251"/>
    </row>
    <row r="154" spans="1:16">
      <c r="J154" s="1251"/>
    </row>
    <row r="155" spans="1:16">
      <c r="E155" s="1251"/>
      <c r="F155" s="1251"/>
      <c r="G155" s="1251"/>
      <c r="H155" s="1251"/>
      <c r="I155" s="1251"/>
      <c r="J155" s="1251"/>
    </row>
    <row r="156" spans="1:16">
      <c r="E156" s="1251"/>
      <c r="F156" s="1251"/>
      <c r="G156" s="1251"/>
      <c r="H156" s="1251"/>
      <c r="I156" s="1251"/>
      <c r="J156" s="1251"/>
    </row>
    <row r="157" spans="1:16">
      <c r="E157" s="1251"/>
      <c r="F157" s="1251"/>
      <c r="G157" s="1251"/>
      <c r="H157" s="1251"/>
      <c r="I157" s="1251"/>
      <c r="J157" s="1251"/>
    </row>
    <row r="158" spans="1:16">
      <c r="J158" s="1251"/>
    </row>
    <row r="159" spans="1:16">
      <c r="J159" s="1251"/>
    </row>
  </sheetData>
  <sheetProtection algorithmName="SHA-512" hashValue="3CKMrQBO0zO6NpPEg6HACGy2QdYVcau97OyZ0CCt3YIKbXVyegz320QDOF3HX2ZeZJXn0PmmAK7ODLUy3cQ0Hw==" saltValue="u6d8Pm/q7662b0IEGgQVug==" spinCount="100000" sheet="1" objects="1" scenarios="1"/>
  <mergeCells count="45">
    <mergeCell ref="D15:D16"/>
    <mergeCell ref="E15:H15"/>
    <mergeCell ref="I15:I16"/>
    <mergeCell ref="G143:H143"/>
    <mergeCell ref="G144:H144"/>
    <mergeCell ref="E23:F23"/>
    <mergeCell ref="C130:F130"/>
    <mergeCell ref="G122:I124"/>
    <mergeCell ref="D137:M138"/>
    <mergeCell ref="G130:H130"/>
    <mergeCell ref="C122:F123"/>
    <mergeCell ref="G127:H127"/>
    <mergeCell ref="J122:J124"/>
    <mergeCell ref="C140:F142"/>
    <mergeCell ref="J35:L35"/>
    <mergeCell ref="D26:J26"/>
    <mergeCell ref="P98:V98"/>
    <mergeCell ref="G148:H148"/>
    <mergeCell ref="C127:F127"/>
    <mergeCell ref="C128:F128"/>
    <mergeCell ref="G128:H128"/>
    <mergeCell ref="C129:F129"/>
    <mergeCell ref="G129:H129"/>
    <mergeCell ref="C143:F143"/>
    <mergeCell ref="C144:F144"/>
    <mergeCell ref="C145:F145"/>
    <mergeCell ref="C148:F149"/>
    <mergeCell ref="C146:F146"/>
    <mergeCell ref="C147:F147"/>
    <mergeCell ref="G147:H147"/>
    <mergeCell ref="D119:M120"/>
    <mergeCell ref="C125:F125"/>
    <mergeCell ref="G125:H125"/>
    <mergeCell ref="C126:F126"/>
    <mergeCell ref="G126:H126"/>
    <mergeCell ref="I145:J145"/>
    <mergeCell ref="I146:J146"/>
    <mergeCell ref="I147:J147"/>
    <mergeCell ref="I148:J148"/>
    <mergeCell ref="G140:H142"/>
    <mergeCell ref="I140:J142"/>
    <mergeCell ref="G145:H145"/>
    <mergeCell ref="G146:H146"/>
    <mergeCell ref="I143:J143"/>
    <mergeCell ref="I144:J144"/>
  </mergeCells>
  <conditionalFormatting sqref="F36:F55 F60:F69">
    <cfRule type="expression" dxfId="39" priority="13">
      <formula>AND($F36&gt;0,$F36&lt;49)</formula>
    </cfRule>
  </conditionalFormatting>
  <conditionalFormatting sqref="F74:F83">
    <cfRule type="expression" dxfId="38" priority="22">
      <formula>AND($F74&gt;0,$F74&lt;49)</formula>
    </cfRule>
  </conditionalFormatting>
  <conditionalFormatting sqref="F88:F97">
    <cfRule type="expression" dxfId="37" priority="21">
      <formula>AND($F88&gt;0,$F88&lt;49)</formula>
    </cfRule>
  </conditionalFormatting>
  <conditionalFormatting sqref="F104:F113">
    <cfRule type="expression" dxfId="36" priority="12">
      <formula>AND($F104&gt;0,$F104&lt;49)</formula>
    </cfRule>
  </conditionalFormatting>
  <conditionalFormatting sqref="G130:I131">
    <cfRule type="expression" dxfId="35" priority="85">
      <formula>ISBLANK(#REF!)</formula>
    </cfRule>
  </conditionalFormatting>
  <conditionalFormatting sqref="I17">
    <cfRule type="cellIs" dxfId="34" priority="25" operator="greaterThan">
      <formula>0.499</formula>
    </cfRule>
    <cfRule type="cellIs" dxfId="33" priority="27" operator="lessThan">
      <formula>0.5</formula>
    </cfRule>
  </conditionalFormatting>
  <conditionalFormatting sqref="J125:J129">
    <cfRule type="containsText" dxfId="32" priority="20" operator="containsText" text="Note">
      <formula>NOT(ISERROR(SEARCH("Note",J125)))</formula>
    </cfRule>
  </conditionalFormatting>
  <conditionalFormatting sqref="J130:J131">
    <cfRule type="containsText" dxfId="31" priority="16" operator="containsText" text="Veuillez">
      <formula>NOT(ISERROR(SEARCH("Veuillez",J130)))</formula>
    </cfRule>
  </conditionalFormatting>
  <conditionalFormatting sqref="L125:M125 J125:J129 P125:P129 L127:M129">
    <cfRule type="cellIs" dxfId="30" priority="19" operator="equal">
      <formula>"OK"</formula>
    </cfRule>
  </conditionalFormatting>
  <dataValidations xWindow="819" yWindow="627" count="4">
    <dataValidation allowBlank="1" showErrorMessage="1" promptTitle="Âge de la chaudière" sqref="C26:D26" xr:uid="{3C018402-95E4-4FBD-9CF8-1A6780518AC7}"/>
    <dataValidation allowBlank="1" showInputMessage="1" showErrorMessage="1" promptTitle="Minimum Temperature" prompt="The equipment and accessories must be installed on a hot water system with a temperature above 49°C. If this criterion is not respected, the grant cannot be applied." sqref="F103 F59 F73 F87" xr:uid="{7F139CE3-B8B2-4C1A-8308-E0C20AE535A0}"/>
    <dataValidation allowBlank="1" showInputMessage="1" showErrorMessage="1" prompt="See the diagram on the right for details on the nominal diameter." sqref="E35" xr:uid="{D989BB5C-F075-4939-AD09-FDB74A0665AF}"/>
    <dataValidation allowBlank="1" showInputMessage="1" showErrorMessage="1" promptTitle="Minimum Temperature" prompt="The equipment and accessories must be installed on a hot water system  with a temperature above 49°C. If this criterion is not respected, the grant cannot be applied." sqref="F35" xr:uid="{3F388E0F-8199-4246-96DC-79EAAAC55565}"/>
  </dataValidation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3795" r:id="rId4" name="Check Box 19">
              <controlPr defaultSize="0" autoFill="0" autoLine="0" autoPict="0">
                <anchor moveWithCells="1">
                  <from>
                    <xdr:col>3</xdr:col>
                    <xdr:colOff>106680</xdr:colOff>
                    <xdr:row>23</xdr:row>
                    <xdr:rowOff>76200</xdr:rowOff>
                  </from>
                  <to>
                    <xdr:col>3</xdr:col>
                    <xdr:colOff>365760</xdr:colOff>
                    <xdr:row>27</xdr:row>
                    <xdr:rowOff>15240</xdr:rowOff>
                  </to>
                </anchor>
              </controlPr>
            </control>
          </mc:Choice>
        </mc:AlternateContent>
        <mc:AlternateContent xmlns:mc="http://schemas.openxmlformats.org/markup-compatibility/2006">
          <mc:Choice Requires="x14">
            <control shapeId="203807" r:id="rId5" name="Check Box 31">
              <controlPr defaultSize="0" autoFill="0" autoLine="0" autoPict="0">
                <anchor moveWithCells="1">
                  <from>
                    <xdr:col>3</xdr:col>
                    <xdr:colOff>76200</xdr:colOff>
                    <xdr:row>100</xdr:row>
                    <xdr:rowOff>0</xdr:rowOff>
                  </from>
                  <to>
                    <xdr:col>3</xdr:col>
                    <xdr:colOff>335280</xdr:colOff>
                    <xdr:row>101</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19" yWindow="627" count="5">
        <x14:dataValidation type="list" allowBlank="1" showInputMessage="1" showErrorMessage="1" xr:uid="{DE03D7AE-F22B-4FB6-A821-6755420B5090}">
          <x14:formula1>
            <xm:f>'Menus déroulants'!#REF!</xm:f>
          </x14:formula1>
          <xm:sqref>K74:K83 K88:K97</xm:sqref>
        </x14:dataValidation>
        <x14:dataValidation type="list" allowBlank="1" showInputMessage="1" showErrorMessage="1" xr:uid="{2F40AEC7-F834-49F1-A85D-245738B8C894}">
          <x14:formula1>
            <xm:f>'Menus déroulants'!$C$59:$C$61</xm:f>
          </x14:formula1>
          <xm:sqref>G88:G97 G74:G83 G60:G69 G36:G55 G104:G113</xm:sqref>
        </x14:dataValidation>
        <x14:dataValidation type="list" allowBlank="1" showInputMessage="1" showErrorMessage="1" xr:uid="{F67D61C6-9258-4174-9B0E-6E0B889022D4}">
          <x14:formula1>
            <xm:f>'Menus déroulants'!$C$64:$C$70</xm:f>
          </x14:formula1>
          <xm:sqref>D36:D55</xm:sqref>
        </x14:dataValidation>
        <x14:dataValidation type="list" allowBlank="1" showInputMessage="1" showErrorMessage="1" xr:uid="{77FE9164-FBD0-44B9-9023-DB5864EDE3A7}">
          <x14:formula1>
            <xm:f>'Menus déroulants'!$C$73:$C$75</xm:f>
          </x14:formula1>
          <xm:sqref>G11</xm:sqref>
        </x14:dataValidation>
        <x14:dataValidation type="list" allowBlank="1" showInputMessage="1" showErrorMessage="1" xr:uid="{45B42825-3B70-41F9-B426-04D046F099E6}">
          <x14:formula1>
            <xm:f>'Menus déroulants'!$E$41:$E$44</xm:f>
          </x14:formula1>
          <xm:sqref>G9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E28E5-9091-43CA-BF77-00DC9B6F58D4}">
  <sheetPr codeName="Feuil11">
    <tabColor rgb="FF00B0F0"/>
  </sheetPr>
  <dimension ref="A1:Z132"/>
  <sheetViews>
    <sheetView zoomScale="73" workbookViewId="0">
      <selection activeCell="AF51" sqref="AF51"/>
    </sheetView>
  </sheetViews>
  <sheetFormatPr baseColWidth="10" defaultColWidth="11.44140625" defaultRowHeight="14.4" outlineLevelRow="1" outlineLevelCol="1"/>
  <cols>
    <col min="1" max="2" width="3.21875" style="1021" customWidth="1"/>
    <col min="3" max="3" width="6.5546875" style="1021" customWidth="1"/>
    <col min="4" max="4" width="53.77734375" style="1021" customWidth="1"/>
    <col min="5" max="5" width="15" style="1021" customWidth="1"/>
    <col min="6" max="6" width="3.5546875" style="1021" customWidth="1"/>
    <col min="7" max="7" width="19.21875" style="1021" customWidth="1"/>
    <col min="8" max="8" width="5.77734375" style="1021" customWidth="1"/>
    <col min="9" max="9" width="19.21875" style="1021" customWidth="1"/>
    <col min="10" max="10" width="5.77734375" style="1021" customWidth="1"/>
    <col min="11" max="11" width="19.21875" style="1021" customWidth="1"/>
    <col min="12" max="12" width="5.77734375" style="1021" customWidth="1"/>
    <col min="13" max="13" width="19.21875" style="1021" customWidth="1"/>
    <col min="14" max="14" width="3.21875" style="1021" customWidth="1"/>
    <col min="15" max="15" width="13.44140625" style="1252" customWidth="1"/>
    <col min="16" max="16" width="3.21875" style="1021" customWidth="1"/>
    <col min="17" max="17" width="3.21875" style="1021" hidden="1" customWidth="1" outlineLevel="1"/>
    <col min="18" max="18" width="14.77734375" style="1021" hidden="1" customWidth="1" outlineLevel="1"/>
    <col min="19" max="19" width="21.5546875" style="1021" hidden="1" customWidth="1" outlineLevel="1"/>
    <col min="20" max="20" width="23.21875" style="1021" hidden="1" customWidth="1" outlineLevel="1"/>
    <col min="21" max="21" width="7.21875" style="1021" hidden="1" customWidth="1" outlineLevel="1"/>
    <col min="22" max="22" width="15.21875" style="1021" hidden="1" customWidth="1" outlineLevel="1"/>
    <col min="23" max="23" width="3.77734375" style="1021" hidden="1" customWidth="1" outlineLevel="1"/>
    <col min="24" max="24" width="30.5546875" style="1021" hidden="1" customWidth="1" outlineLevel="1"/>
    <col min="25" max="25" width="4.44140625" style="1021" customWidth="1" collapsed="1"/>
    <col min="26" max="16384" width="11.44140625" style="1021"/>
  </cols>
  <sheetData>
    <row r="1" spans="1:25" ht="13.5" customHeight="1">
      <c r="A1" s="6"/>
      <c r="B1" s="6"/>
      <c r="C1" s="6"/>
      <c r="D1" s="6"/>
      <c r="E1" s="6"/>
      <c r="F1" s="6"/>
      <c r="G1" s="6"/>
      <c r="H1" s="6"/>
      <c r="I1" s="6"/>
      <c r="J1" s="6"/>
      <c r="K1" s="6"/>
      <c r="L1" s="6"/>
      <c r="M1" s="6"/>
      <c r="N1" s="6"/>
      <c r="O1" s="411"/>
      <c r="P1" s="6"/>
      <c r="Q1" s="6"/>
      <c r="R1" s="6"/>
      <c r="S1" s="6"/>
      <c r="T1" s="6"/>
      <c r="U1" s="6"/>
      <c r="V1" s="6"/>
      <c r="W1" s="6"/>
      <c r="X1" s="6"/>
      <c r="Y1" s="6"/>
    </row>
    <row r="2" spans="1:25" ht="24.75" customHeight="1">
      <c r="A2" s="6"/>
      <c r="B2" s="453" t="s">
        <v>1568</v>
      </c>
      <c r="C2" s="6"/>
      <c r="D2" s="1022"/>
      <c r="E2" s="1022"/>
      <c r="F2" s="1022"/>
      <c r="G2" s="6"/>
      <c r="H2" s="6"/>
      <c r="I2" s="6"/>
      <c r="J2" s="6"/>
      <c r="K2" s="6"/>
      <c r="L2" s="6"/>
      <c r="M2" s="6"/>
      <c r="N2" s="6"/>
      <c r="O2" s="411"/>
      <c r="P2" s="6"/>
      <c r="Q2" s="6"/>
      <c r="R2" s="6"/>
      <c r="S2" s="6"/>
      <c r="T2" s="6"/>
      <c r="U2" s="6"/>
      <c r="V2" s="6"/>
      <c r="W2" s="6"/>
      <c r="X2" s="6"/>
      <c r="Y2" s="6"/>
    </row>
    <row r="3" spans="1:25" ht="18.75" customHeight="1">
      <c r="A3" s="6"/>
      <c r="B3" s="1026" t="s">
        <v>1650</v>
      </c>
      <c r="C3" s="6"/>
      <c r="D3" s="1150"/>
      <c r="E3" s="1150"/>
      <c r="F3" s="1150"/>
      <c r="G3" s="6"/>
      <c r="H3" s="6"/>
      <c r="I3" s="6"/>
      <c r="J3" s="6"/>
      <c r="K3" s="6"/>
      <c r="L3" s="6"/>
      <c r="M3" s="6"/>
      <c r="N3" s="6"/>
      <c r="O3" s="454"/>
      <c r="P3" s="454"/>
      <c r="Q3" s="6"/>
      <c r="R3" s="6"/>
      <c r="S3" s="6"/>
      <c r="T3" s="6"/>
      <c r="U3" s="6"/>
      <c r="V3" s="6"/>
      <c r="W3" s="6"/>
      <c r="X3" s="6"/>
      <c r="Y3" s="6"/>
    </row>
    <row r="4" spans="1:25" ht="18.75" customHeight="1">
      <c r="A4" s="6"/>
      <c r="B4" s="1187"/>
      <c r="C4" s="6"/>
      <c r="D4" s="6"/>
      <c r="E4" s="6"/>
      <c r="F4" s="6"/>
      <c r="G4" s="6"/>
      <c r="H4" s="6"/>
      <c r="I4" s="6"/>
      <c r="J4" s="6"/>
      <c r="K4" s="6"/>
      <c r="L4" s="6"/>
      <c r="M4" s="6"/>
      <c r="N4" s="6"/>
      <c r="O4" s="454"/>
      <c r="P4" s="454"/>
      <c r="Q4" s="6"/>
      <c r="R4" s="6"/>
      <c r="S4" s="6"/>
      <c r="T4" s="6"/>
      <c r="U4" s="6"/>
      <c r="V4" s="6"/>
      <c r="W4" s="6"/>
      <c r="X4" s="6"/>
      <c r="Y4" s="6"/>
    </row>
    <row r="5" spans="1:25" ht="15" customHeight="1">
      <c r="A5" s="6"/>
      <c r="B5" s="1255"/>
      <c r="C5" s="1256"/>
      <c r="D5" s="821" t="s">
        <v>1507</v>
      </c>
      <c r="E5" s="885" t="str">
        <f>IF('1. General Information'!F8="","",'1. General Information'!F8)</f>
        <v>PE242-XXX</v>
      </c>
      <c r="F5" s="1257"/>
      <c r="G5" s="1257"/>
      <c r="H5" s="1257"/>
      <c r="I5" s="1257"/>
      <c r="J5" s="1257"/>
      <c r="K5" s="1258"/>
      <c r="L5" s="1258"/>
      <c r="M5" s="1258"/>
      <c r="N5" s="1258"/>
      <c r="O5" s="1259"/>
      <c r="P5" s="1260"/>
      <c r="Q5" s="6"/>
      <c r="R5" s="6"/>
      <c r="S5" s="6"/>
      <c r="T5" s="6"/>
      <c r="U5" s="6"/>
      <c r="V5" s="6"/>
      <c r="W5" s="6"/>
      <c r="X5" s="6"/>
      <c r="Y5" s="6"/>
    </row>
    <row r="6" spans="1:25" ht="15" customHeight="1">
      <c r="A6" s="6"/>
      <c r="B6" s="1255"/>
      <c r="C6" s="1256"/>
      <c r="D6" s="821"/>
      <c r="E6" s="821"/>
      <c r="F6" s="1257"/>
      <c r="G6" s="1257"/>
      <c r="H6" s="1257"/>
      <c r="I6" s="1257"/>
      <c r="J6" s="1257"/>
      <c r="K6" s="1258"/>
      <c r="L6" s="1258"/>
      <c r="M6" s="1258"/>
      <c r="N6" s="1258"/>
      <c r="O6" s="1259"/>
      <c r="P6" s="1260"/>
      <c r="Q6" s="6"/>
      <c r="R6" s="6"/>
      <c r="S6" s="6"/>
      <c r="T6" s="6"/>
      <c r="U6" s="6"/>
      <c r="V6" s="6"/>
      <c r="W6" s="6"/>
      <c r="X6" s="6"/>
      <c r="Y6" s="6"/>
    </row>
    <row r="7" spans="1:25" ht="15" customHeight="1">
      <c r="A7" s="6"/>
      <c r="B7" s="1190"/>
      <c r="C7" s="1261"/>
      <c r="D7" s="1191" t="s">
        <v>1673</v>
      </c>
      <c r="E7" s="1192"/>
      <c r="F7" s="1192"/>
      <c r="G7" s="1192"/>
      <c r="H7" s="1192"/>
      <c r="I7" s="1192"/>
      <c r="J7" s="1192"/>
      <c r="K7" s="1193"/>
      <c r="L7" s="1193"/>
      <c r="M7" s="1193"/>
      <c r="N7" s="1193"/>
      <c r="O7" s="1194"/>
      <c r="P7" s="1034"/>
      <c r="Q7" s="6"/>
      <c r="R7" s="6"/>
      <c r="S7" s="6"/>
      <c r="T7" s="6"/>
      <c r="U7" s="6"/>
      <c r="V7" s="6"/>
      <c r="W7" s="6"/>
      <c r="X7" s="6"/>
      <c r="Y7" s="6"/>
    </row>
    <row r="8" spans="1:25" ht="6.75" customHeight="1">
      <c r="A8" s="6"/>
      <c r="B8" s="1062"/>
      <c r="C8" s="1262"/>
      <c r="D8" s="1062"/>
      <c r="E8" s="1062"/>
      <c r="F8" s="1062"/>
      <c r="G8" s="1062"/>
      <c r="H8" s="1062"/>
      <c r="I8" s="1062"/>
      <c r="J8" s="1062"/>
      <c r="K8" s="1062"/>
      <c r="L8" s="1062"/>
      <c r="M8" s="1062"/>
      <c r="N8" s="1062"/>
      <c r="O8" s="1263"/>
      <c r="P8" s="1062"/>
      <c r="Q8" s="6"/>
      <c r="R8" s="6"/>
      <c r="S8" s="6"/>
      <c r="T8" s="6"/>
      <c r="U8" s="6"/>
      <c r="V8" s="6"/>
      <c r="W8" s="6"/>
      <c r="X8" s="6"/>
      <c r="Y8" s="6"/>
    </row>
    <row r="9" spans="1:25" ht="15" customHeight="1">
      <c r="A9" s="6"/>
      <c r="B9" s="1062"/>
      <c r="C9" s="1262"/>
      <c r="D9" s="1264" t="s">
        <v>1569</v>
      </c>
      <c r="E9" s="1062"/>
      <c r="F9" s="1062"/>
      <c r="G9" s="1062"/>
      <c r="H9" s="1062"/>
      <c r="I9" s="1062"/>
      <c r="J9" s="1062"/>
      <c r="K9" s="1062"/>
      <c r="L9" s="1062"/>
      <c r="M9" s="1062"/>
      <c r="N9" s="1062"/>
      <c r="O9" s="1263"/>
      <c r="P9" s="1062"/>
      <c r="Q9" s="6"/>
      <c r="R9" s="6"/>
      <c r="S9" s="6"/>
      <c r="T9" s="6"/>
      <c r="U9" s="6"/>
      <c r="V9" s="6"/>
      <c r="W9" s="6"/>
      <c r="X9" s="6"/>
      <c r="Y9" s="6"/>
    </row>
    <row r="10" spans="1:25" ht="6.75" customHeight="1">
      <c r="A10" s="6"/>
      <c r="B10" s="1062"/>
      <c r="C10" s="1262"/>
      <c r="D10" s="1062"/>
      <c r="E10" s="1062"/>
      <c r="F10" s="1062"/>
      <c r="G10" s="1062"/>
      <c r="H10" s="1062"/>
      <c r="I10" s="1062"/>
      <c r="J10" s="1062"/>
      <c r="K10" s="1062"/>
      <c r="L10" s="1062"/>
      <c r="M10" s="1062"/>
      <c r="N10" s="1062"/>
      <c r="O10" s="1263"/>
      <c r="P10" s="1062"/>
      <c r="Q10" s="6"/>
      <c r="R10" s="6"/>
      <c r="S10" s="6"/>
      <c r="T10" s="6"/>
      <c r="U10" s="6"/>
      <c r="V10" s="6"/>
      <c r="W10" s="6"/>
      <c r="X10" s="6"/>
      <c r="Y10" s="6"/>
    </row>
    <row r="11" spans="1:25">
      <c r="A11" s="6"/>
      <c r="B11" s="5"/>
      <c r="C11" s="5"/>
      <c r="D11" s="1052"/>
      <c r="E11" s="5"/>
      <c r="F11" s="5"/>
      <c r="G11" s="1265" t="s">
        <v>1465</v>
      </c>
      <c r="H11" s="1265"/>
      <c r="I11" s="1265" t="s">
        <v>1466</v>
      </c>
      <c r="J11" s="1265"/>
      <c r="K11" s="1265" t="s">
        <v>1467</v>
      </c>
      <c r="L11" s="1265"/>
      <c r="M11" s="1265" t="s">
        <v>1468</v>
      </c>
      <c r="N11" s="1265"/>
      <c r="O11" s="1214"/>
      <c r="P11" s="1214"/>
      <c r="Q11" s="6"/>
      <c r="R11" s="6"/>
      <c r="S11" s="6" t="s">
        <v>511</v>
      </c>
      <c r="T11" s="6"/>
      <c r="U11" s="6"/>
      <c r="V11" s="6"/>
      <c r="W11" s="6"/>
      <c r="X11" s="6"/>
      <c r="Y11" s="6"/>
    </row>
    <row r="12" spans="1:25" ht="6.75" customHeight="1" thickBot="1">
      <c r="A12" s="6"/>
      <c r="B12" s="5"/>
      <c r="C12" s="5"/>
      <c r="D12" s="1266"/>
      <c r="E12" s="1266"/>
      <c r="F12" s="1267"/>
      <c r="G12" s="1268"/>
      <c r="H12" s="1268"/>
      <c r="I12" s="1268"/>
      <c r="J12" s="1268"/>
      <c r="K12" s="1268"/>
      <c r="L12" s="1268"/>
      <c r="M12" s="1268"/>
      <c r="N12" s="1267"/>
      <c r="O12" s="1214"/>
      <c r="P12" s="1214"/>
      <c r="Q12" s="6"/>
      <c r="R12" s="6"/>
      <c r="S12" s="6"/>
      <c r="T12" s="6"/>
      <c r="U12" s="6"/>
      <c r="V12" s="6"/>
      <c r="W12" s="6"/>
      <c r="X12" s="6"/>
      <c r="Y12" s="6"/>
    </row>
    <row r="13" spans="1:25" ht="12.75" hidden="1" customHeight="1" thickBot="1">
      <c r="A13" s="6"/>
      <c r="B13" s="5"/>
      <c r="C13" s="5"/>
      <c r="D13" s="1201" t="s">
        <v>1570</v>
      </c>
      <c r="E13" s="1267"/>
      <c r="F13" s="1267"/>
      <c r="G13" s="1724" t="s">
        <v>1471</v>
      </c>
      <c r="H13" s="1725"/>
      <c r="I13" s="1725"/>
      <c r="J13" s="1725"/>
      <c r="K13" s="1725"/>
      <c r="L13" s="1725"/>
      <c r="M13" s="1726"/>
      <c r="N13" s="1267"/>
      <c r="O13" s="1050"/>
      <c r="P13" s="1269"/>
      <c r="Q13" s="6"/>
      <c r="R13" s="425" t="s">
        <v>7</v>
      </c>
      <c r="S13" s="6"/>
      <c r="T13" s="425"/>
      <c r="U13" s="6"/>
      <c r="V13" s="6"/>
      <c r="W13" s="6"/>
      <c r="X13" s="6"/>
      <c r="Y13" s="6"/>
    </row>
    <row r="14" spans="1:25" ht="9" hidden="1" customHeight="1" thickBot="1">
      <c r="A14" s="6"/>
      <c r="B14" s="5"/>
      <c r="C14" s="5"/>
      <c r="D14" s="1201"/>
      <c r="E14" s="1267"/>
      <c r="F14" s="1267"/>
      <c r="G14" s="1268"/>
      <c r="H14" s="1270"/>
      <c r="I14" s="977"/>
      <c r="J14" s="1270"/>
      <c r="K14" s="977"/>
      <c r="L14" s="1270"/>
      <c r="M14" s="977"/>
      <c r="N14" s="1267"/>
      <c r="O14" s="1050"/>
      <c r="P14" s="1269"/>
      <c r="Q14" s="6"/>
      <c r="R14" s="425" t="s">
        <v>7</v>
      </c>
      <c r="S14" s="6"/>
      <c r="T14" s="425"/>
      <c r="U14" s="6"/>
      <c r="V14" s="6"/>
      <c r="W14" s="6"/>
      <c r="X14" s="6"/>
      <c r="Y14" s="6"/>
    </row>
    <row r="15" spans="1:25" ht="14.25" customHeight="1" thickBot="1">
      <c r="A15" s="6"/>
      <c r="B15" s="1209"/>
      <c r="C15" s="1209"/>
      <c r="D15" s="1201" t="s">
        <v>1571</v>
      </c>
      <c r="E15" s="1267"/>
      <c r="F15" s="1267"/>
      <c r="G15" s="1727" t="s">
        <v>1457</v>
      </c>
      <c r="H15" s="1728"/>
      <c r="I15" s="1728"/>
      <c r="J15" s="1728"/>
      <c r="K15" s="1728"/>
      <c r="L15" s="1728"/>
      <c r="M15" s="1729"/>
      <c r="N15" s="1267"/>
      <c r="O15" s="1050"/>
      <c r="P15" s="1269"/>
      <c r="Q15" s="6"/>
      <c r="R15" s="425"/>
      <c r="S15" s="6"/>
      <c r="T15" s="425"/>
      <c r="U15" s="6"/>
      <c r="V15" s="6"/>
      <c r="W15" s="6"/>
      <c r="X15" s="6"/>
      <c r="Y15" s="6"/>
    </row>
    <row r="16" spans="1:25" ht="6.75" customHeight="1" thickBot="1">
      <c r="A16" s="6"/>
      <c r="B16" s="1209"/>
      <c r="C16" s="1209"/>
      <c r="D16" s="1266"/>
      <c r="E16" s="1266"/>
      <c r="F16" s="1267"/>
      <c r="G16" s="1268"/>
      <c r="H16" s="1268"/>
      <c r="I16" s="1268"/>
      <c r="J16" s="1268"/>
      <c r="K16" s="1268"/>
      <c r="L16" s="1268"/>
      <c r="M16" s="1268"/>
      <c r="N16" s="1267"/>
      <c r="O16" s="1214"/>
      <c r="P16" s="1214"/>
      <c r="Q16" s="6"/>
      <c r="R16" s="6"/>
      <c r="S16" s="6"/>
      <c r="T16" s="6"/>
      <c r="U16" s="6"/>
      <c r="V16" s="6"/>
      <c r="W16" s="6"/>
      <c r="X16" s="6"/>
      <c r="Y16" s="6"/>
    </row>
    <row r="17" spans="1:26" ht="15" customHeight="1" thickBot="1">
      <c r="A17" s="6"/>
      <c r="B17" s="1209"/>
      <c r="C17" s="1271" t="s">
        <v>1237</v>
      </c>
      <c r="D17" s="1201" t="s">
        <v>1674</v>
      </c>
      <c r="E17" s="1267"/>
      <c r="F17" s="1267"/>
      <c r="G17" s="958"/>
      <c r="H17" s="1265"/>
      <c r="I17" s="958"/>
      <c r="J17" s="977"/>
      <c r="K17" s="958"/>
      <c r="L17" s="977"/>
      <c r="M17" s="958"/>
      <c r="N17" s="1267"/>
      <c r="O17" s="1201" t="s">
        <v>6</v>
      </c>
      <c r="P17" s="1214"/>
      <c r="Q17" s="978" t="s">
        <v>5</v>
      </c>
      <c r="R17" s="6"/>
      <c r="S17" s="6"/>
      <c r="T17" s="6"/>
      <c r="U17" s="6"/>
      <c r="V17" s="6"/>
      <c r="W17" s="6"/>
      <c r="X17" s="6"/>
      <c r="Y17" s="6"/>
    </row>
    <row r="18" spans="1:26" ht="15" customHeight="1">
      <c r="A18" s="6"/>
      <c r="B18" s="1209"/>
      <c r="C18" s="1209"/>
      <c r="D18" s="1201"/>
      <c r="E18" s="1267"/>
      <c r="F18" s="1267"/>
      <c r="G18" s="1272">
        <f>G17/'Facteurs conversion'!$C$13</f>
        <v>0</v>
      </c>
      <c r="H18" s="1273"/>
      <c r="I18" s="1272">
        <f>I17/'Facteurs conversion'!$C$13</f>
        <v>0</v>
      </c>
      <c r="J18" s="979"/>
      <c r="K18" s="1272">
        <f>K17/'Facteurs conversion'!$C$13</f>
        <v>0</v>
      </c>
      <c r="L18" s="979"/>
      <c r="M18" s="1272">
        <f>M17/'Facteurs conversion'!$C$13</f>
        <v>0</v>
      </c>
      <c r="N18" s="1274"/>
      <c r="O18" s="1275" t="s">
        <v>4</v>
      </c>
      <c r="P18" s="1214"/>
      <c r="Q18" s="978"/>
      <c r="R18" s="425" t="s">
        <v>7</v>
      </c>
      <c r="S18" s="6"/>
      <c r="T18" s="6"/>
      <c r="U18" s="6"/>
      <c r="V18" s="6"/>
      <c r="W18" s="6"/>
      <c r="X18" s="6"/>
      <c r="Y18" s="6"/>
    </row>
    <row r="19" spans="1:26" ht="6.75" customHeight="1" thickBot="1">
      <c r="A19" s="6"/>
      <c r="B19" s="1209"/>
      <c r="C19" s="1209"/>
      <c r="D19" s="1201"/>
      <c r="E19" s="1267"/>
      <c r="F19" s="1267"/>
      <c r="G19" s="160"/>
      <c r="H19" s="1276"/>
      <c r="I19" s="160"/>
      <c r="J19" s="977"/>
      <c r="K19" s="160"/>
      <c r="L19" s="977"/>
      <c r="M19" s="160"/>
      <c r="N19" s="1267"/>
      <c r="O19" s="1201"/>
      <c r="P19" s="1214"/>
      <c r="Q19" s="6"/>
      <c r="R19" s="6"/>
      <c r="S19" s="6"/>
      <c r="T19" s="6"/>
      <c r="U19" s="6"/>
      <c r="V19" s="6"/>
      <c r="W19" s="6"/>
      <c r="X19" s="6"/>
      <c r="Y19" s="6"/>
    </row>
    <row r="20" spans="1:26" ht="15" customHeight="1" thickBot="1">
      <c r="A20" s="6"/>
      <c r="B20" s="1209"/>
      <c r="C20" s="1271" t="s">
        <v>1237</v>
      </c>
      <c r="D20" s="1201" t="str">
        <f>IF(G13="Steam","Boiler maximum steam production capacity:","Boiler maximum hot water production capacity:")</f>
        <v>Boiler maximum hot water production capacity:</v>
      </c>
      <c r="E20" s="1267"/>
      <c r="F20" s="1267"/>
      <c r="G20" s="958"/>
      <c r="H20" s="1265"/>
      <c r="I20" s="958"/>
      <c r="J20" s="977"/>
      <c r="K20" s="958"/>
      <c r="L20" s="977"/>
      <c r="M20" s="958"/>
      <c r="N20" s="1267"/>
      <c r="O20" s="1201" t="s">
        <v>6</v>
      </c>
      <c r="P20" s="1214"/>
      <c r="Q20" s="978" t="s">
        <v>8</v>
      </c>
      <c r="R20" s="6"/>
      <c r="S20" s="1277"/>
      <c r="T20" s="425"/>
      <c r="U20" s="6"/>
      <c r="V20" s="6"/>
      <c r="W20" s="454"/>
      <c r="X20" s="6"/>
      <c r="Y20" s="6"/>
    </row>
    <row r="21" spans="1:26" hidden="1">
      <c r="A21" s="6"/>
      <c r="B21" s="1209"/>
      <c r="C21" s="1209"/>
      <c r="D21" s="1201"/>
      <c r="E21" s="1267"/>
      <c r="F21" s="1267"/>
      <c r="G21" s="1278">
        <f>G20/'Facteurs conversion'!$C$13</f>
        <v>0</v>
      </c>
      <c r="H21" s="160"/>
      <c r="I21" s="1278">
        <f>I20/'Facteurs conversion'!$C$13</f>
        <v>0</v>
      </c>
      <c r="J21" s="1278"/>
      <c r="K21" s="1278">
        <f>K20/'Facteurs conversion'!$C$13</f>
        <v>0</v>
      </c>
      <c r="L21" s="1278"/>
      <c r="M21" s="1278">
        <f>M20/'Facteurs conversion'!$C$13</f>
        <v>0</v>
      </c>
      <c r="N21" s="1267"/>
      <c r="O21" s="1201" t="s">
        <v>4</v>
      </c>
      <c r="P21" s="1214"/>
      <c r="Q21" s="6"/>
      <c r="R21" s="425"/>
      <c r="S21" s="6"/>
      <c r="T21" s="6"/>
      <c r="U21" s="6"/>
      <c r="V21" s="6"/>
      <c r="W21" s="6"/>
      <c r="X21" s="6"/>
      <c r="Y21" s="6"/>
    </row>
    <row r="22" spans="1:26" ht="6.75" customHeight="1" thickBot="1">
      <c r="A22" s="6"/>
      <c r="B22" s="1209"/>
      <c r="C22" s="1209"/>
      <c r="D22" s="1201"/>
      <c r="E22" s="1267"/>
      <c r="F22" s="1267"/>
      <c r="G22" s="160"/>
      <c r="H22" s="1276"/>
      <c r="I22" s="160"/>
      <c r="J22" s="977"/>
      <c r="K22" s="160"/>
      <c r="L22" s="977"/>
      <c r="M22" s="160"/>
      <c r="N22" s="1267"/>
      <c r="O22" s="1201"/>
      <c r="P22" s="1214"/>
      <c r="Q22" s="6"/>
      <c r="R22" s="6"/>
      <c r="S22" s="6"/>
      <c r="T22" s="6"/>
      <c r="U22" s="6"/>
      <c r="V22" s="6"/>
      <c r="W22" s="6"/>
      <c r="X22" s="6"/>
      <c r="Y22" s="6"/>
    </row>
    <row r="23" spans="1:26" ht="15" customHeight="1" thickBot="1">
      <c r="A23" s="6"/>
      <c r="B23" s="1209"/>
      <c r="C23" s="1271" t="s">
        <v>1237</v>
      </c>
      <c r="D23" s="1201" t="str">
        <f>IF(G13="Steam","Average steam production capacity of boiler in operation:","Average hot water production capacity of boiler in operation:")</f>
        <v>Average hot water production capacity of boiler in operation:</v>
      </c>
      <c r="E23" s="1267"/>
      <c r="F23" s="1267"/>
      <c r="G23" s="958"/>
      <c r="H23" s="1265"/>
      <c r="I23" s="958"/>
      <c r="J23" s="977"/>
      <c r="K23" s="958"/>
      <c r="L23" s="977"/>
      <c r="M23" s="958"/>
      <c r="N23" s="1267"/>
      <c r="O23" s="1201" t="s">
        <v>6</v>
      </c>
      <c r="P23" s="1214"/>
      <c r="Q23" s="978" t="s">
        <v>8</v>
      </c>
      <c r="R23" s="6"/>
      <c r="S23" s="1277" t="s">
        <v>1388</v>
      </c>
      <c r="T23" s="425"/>
      <c r="U23" s="6"/>
      <c r="V23" s="6"/>
      <c r="W23" s="454"/>
      <c r="X23" s="6"/>
      <c r="Y23" s="6"/>
    </row>
    <row r="24" spans="1:26" ht="15" hidden="1" customHeight="1">
      <c r="A24" s="6"/>
      <c r="B24" s="1209"/>
      <c r="C24" s="1209"/>
      <c r="D24" s="1201"/>
      <c r="E24" s="1267"/>
      <c r="F24" s="1267"/>
      <c r="G24" s="1278">
        <f>G23/'Facteurs conversion'!$C$13</f>
        <v>0</v>
      </c>
      <c r="H24" s="1278"/>
      <c r="I24" s="1278">
        <f>I23/'Facteurs conversion'!$C$13</f>
        <v>0</v>
      </c>
      <c r="J24" s="1278"/>
      <c r="K24" s="1278">
        <f>K23/'Facteurs conversion'!$C$13</f>
        <v>0</v>
      </c>
      <c r="L24" s="1278"/>
      <c r="M24" s="1278">
        <f>M23/'Facteurs conversion'!$C$13</f>
        <v>0</v>
      </c>
      <c r="N24" s="1267"/>
      <c r="O24" s="1201" t="s">
        <v>4</v>
      </c>
      <c r="P24" s="1214"/>
      <c r="Q24" s="978"/>
      <c r="R24" s="425" t="s">
        <v>7</v>
      </c>
      <c r="S24" s="1277"/>
      <c r="T24" s="425"/>
      <c r="U24" s="6"/>
      <c r="V24" s="6"/>
      <c r="W24" s="454"/>
      <c r="X24" s="6"/>
      <c r="Y24" s="6"/>
      <c r="Z24" s="1229"/>
    </row>
    <row r="25" spans="1:26" hidden="1">
      <c r="A25" s="6"/>
      <c r="B25" s="1209"/>
      <c r="C25" s="1209"/>
      <c r="D25" s="1201"/>
      <c r="E25" s="1267"/>
      <c r="F25" s="1267"/>
      <c r="G25" s="160">
        <f>ROUND(G23*'Facteurs conversion'!$C$10,2)</f>
        <v>0</v>
      </c>
      <c r="H25" s="1276"/>
      <c r="I25" s="160">
        <f>ROUND(I23*'Facteurs conversion'!$C$10,2)</f>
        <v>0</v>
      </c>
      <c r="J25" s="977"/>
      <c r="K25" s="160">
        <f>ROUND(K23*'Facteurs conversion'!$C$10,2)</f>
        <v>0</v>
      </c>
      <c r="L25" s="977"/>
      <c r="M25" s="160">
        <f>ROUND(M23*'Facteurs conversion'!$C$10,2)</f>
        <v>0</v>
      </c>
      <c r="N25" s="1267"/>
      <c r="O25" s="1201" t="s">
        <v>9</v>
      </c>
      <c r="P25" s="1214"/>
      <c r="Q25" s="6"/>
      <c r="R25" s="425" t="s">
        <v>7</v>
      </c>
      <c r="S25" s="6"/>
      <c r="T25" s="6"/>
      <c r="U25" s="6"/>
      <c r="V25" s="6"/>
      <c r="W25" s="6"/>
      <c r="X25" s="6"/>
      <c r="Y25" s="6"/>
      <c r="Z25" s="1229"/>
    </row>
    <row r="26" spans="1:26" hidden="1">
      <c r="A26" s="6"/>
      <c r="B26" s="1209"/>
      <c r="C26" s="1209"/>
      <c r="D26" s="1201" t="str">
        <f>IF(G13="Vapeur","Pourcentage de charge moyenne de production de vapeur : ","Pourcentage de charge moyenne de production d'eau chaude : ")</f>
        <v xml:space="preserve">Pourcentage de charge moyenne de production d'eau chaude : </v>
      </c>
      <c r="E26" s="1267"/>
      <c r="F26" s="1267"/>
      <c r="G26" s="980" t="e">
        <f>G23/G20</f>
        <v>#DIV/0!</v>
      </c>
      <c r="H26" s="1276"/>
      <c r="I26" s="980" t="e">
        <f>I23/I20</f>
        <v>#DIV/0!</v>
      </c>
      <c r="J26" s="977"/>
      <c r="K26" s="980" t="e">
        <f>K23/K20</f>
        <v>#DIV/0!</v>
      </c>
      <c r="L26" s="977"/>
      <c r="M26" s="980" t="e">
        <f>M23/M20</f>
        <v>#DIV/0!</v>
      </c>
      <c r="N26" s="1267"/>
      <c r="O26" s="1201"/>
      <c r="P26" s="1214"/>
      <c r="Q26" s="6"/>
      <c r="R26" s="425" t="s">
        <v>7</v>
      </c>
      <c r="S26" s="1279" t="s">
        <v>252</v>
      </c>
      <c r="T26" s="6"/>
      <c r="U26" s="6"/>
      <c r="V26" s="6"/>
      <c r="W26" s="6"/>
      <c r="X26" s="6"/>
      <c r="Y26" s="6"/>
      <c r="Z26" s="1229"/>
    </row>
    <row r="27" spans="1:26" ht="6.75" customHeight="1" thickBot="1">
      <c r="A27" s="6"/>
      <c r="B27" s="1209"/>
      <c r="C27" s="1209"/>
      <c r="D27" s="1201"/>
      <c r="E27" s="159"/>
      <c r="F27" s="159"/>
      <c r="G27" s="1280"/>
      <c r="H27" s="1276"/>
      <c r="I27" s="1280"/>
      <c r="J27" s="977"/>
      <c r="K27" s="1280"/>
      <c r="L27" s="977"/>
      <c r="M27" s="1280"/>
      <c r="N27" s="1267"/>
      <c r="O27" s="1201"/>
      <c r="P27" s="1214"/>
      <c r="Q27" s="6"/>
      <c r="R27" s="6"/>
      <c r="S27" s="6"/>
      <c r="T27" s="6"/>
      <c r="U27" s="6"/>
      <c r="V27" s="6"/>
      <c r="W27" s="6"/>
      <c r="X27" s="6"/>
      <c r="Y27" s="6"/>
    </row>
    <row r="28" spans="1:26" ht="15" customHeight="1" thickBot="1">
      <c r="A28" s="6"/>
      <c r="B28" s="1209"/>
      <c r="C28" s="1271"/>
      <c r="D28" s="1201" t="s">
        <v>1574</v>
      </c>
      <c r="E28" s="5"/>
      <c r="F28" s="5"/>
      <c r="G28" s="989"/>
      <c r="H28" s="1265"/>
      <c r="I28" s="989"/>
      <c r="J28" s="977"/>
      <c r="K28" s="989"/>
      <c r="L28" s="977"/>
      <c r="M28" s="989"/>
      <c r="N28" s="1267"/>
      <c r="O28" s="1201" t="s">
        <v>1572</v>
      </c>
      <c r="P28" s="1214"/>
      <c r="Q28" s="6"/>
      <c r="R28" s="425"/>
      <c r="S28" s="6"/>
      <c r="T28" s="6"/>
      <c r="U28" s="6"/>
      <c r="V28" s="6"/>
      <c r="W28" s="6"/>
      <c r="X28" s="6"/>
      <c r="Y28" s="6"/>
    </row>
    <row r="29" spans="1:26" ht="6.75" customHeight="1" thickBot="1">
      <c r="A29" s="6"/>
      <c r="B29" s="1209"/>
      <c r="C29" s="1209"/>
      <c r="D29" s="1201"/>
      <c r="E29" s="159"/>
      <c r="F29" s="159"/>
      <c r="G29" s="161"/>
      <c r="H29" s="161"/>
      <c r="I29" s="161"/>
      <c r="J29" s="161"/>
      <c r="K29" s="161"/>
      <c r="L29" s="161"/>
      <c r="M29" s="161"/>
      <c r="N29" s="1267"/>
      <c r="O29" s="162"/>
      <c r="P29" s="159"/>
      <c r="Q29" s="6"/>
      <c r="R29" s="6"/>
      <c r="S29" s="6"/>
      <c r="T29" s="6"/>
      <c r="U29" s="6"/>
      <c r="V29" s="6"/>
      <c r="W29" s="6"/>
      <c r="X29" s="6"/>
      <c r="Y29" s="6"/>
    </row>
    <row r="30" spans="1:26" ht="15" customHeight="1" thickBot="1">
      <c r="A30" s="6"/>
      <c r="B30" s="1209"/>
      <c r="C30" s="1209"/>
      <c r="D30" s="1201" t="s">
        <v>1575</v>
      </c>
      <c r="E30" s="5"/>
      <c r="F30" s="5"/>
      <c r="G30" s="990"/>
      <c r="H30" s="1265"/>
      <c r="I30" s="990"/>
      <c r="J30" s="977"/>
      <c r="K30" s="990"/>
      <c r="L30" s="977"/>
      <c r="M30" s="990"/>
      <c r="N30" s="1267"/>
      <c r="O30" s="1201"/>
      <c r="P30" s="1214"/>
      <c r="Q30" s="6"/>
      <c r="R30" s="6"/>
      <c r="S30" s="6"/>
      <c r="T30" s="6"/>
      <c r="U30" s="6"/>
      <c r="V30" s="6"/>
      <c r="W30" s="6"/>
      <c r="X30" s="6"/>
      <c r="Y30" s="6"/>
    </row>
    <row r="31" spans="1:26" ht="6.75" customHeight="1" thickBot="1">
      <c r="A31" s="6"/>
      <c r="B31" s="1209"/>
      <c r="C31" s="1209"/>
      <c r="D31" s="1201"/>
      <c r="E31" s="5"/>
      <c r="F31" s="5"/>
      <c r="G31" s="977"/>
      <c r="H31" s="1265"/>
      <c r="I31" s="977"/>
      <c r="J31" s="977"/>
      <c r="K31" s="977"/>
      <c r="L31" s="977"/>
      <c r="M31" s="977"/>
      <c r="N31" s="1267"/>
      <c r="O31" s="1201"/>
      <c r="P31" s="1214"/>
      <c r="Q31" s="6"/>
      <c r="R31" s="6"/>
      <c r="S31" s="6"/>
      <c r="T31" s="6"/>
      <c r="U31" s="6"/>
      <c r="V31" s="6"/>
      <c r="W31" s="6"/>
      <c r="X31" s="6"/>
      <c r="Y31" s="6"/>
    </row>
    <row r="32" spans="1:26" ht="15" thickBot="1">
      <c r="A32" s="6"/>
      <c r="B32" s="1209"/>
      <c r="C32" s="1209"/>
      <c r="D32" s="1281" t="s">
        <v>1576</v>
      </c>
      <c r="E32" s="1281"/>
      <c r="F32" s="1281"/>
      <c r="G32" s="991"/>
      <c r="H32" s="1281"/>
      <c r="I32" s="991"/>
      <c r="J32" s="1281"/>
      <c r="K32" s="991"/>
      <c r="L32" s="1281"/>
      <c r="M32" s="991"/>
      <c r="N32" s="1281"/>
      <c r="O32" s="1201" t="s">
        <v>13</v>
      </c>
      <c r="P32" s="1044"/>
      <c r="Q32" s="425"/>
      <c r="R32" s="6"/>
      <c r="S32" s="6"/>
      <c r="T32" s="6"/>
      <c r="U32" s="6"/>
      <c r="V32" s="6"/>
      <c r="W32" s="6"/>
      <c r="X32" s="6"/>
      <c r="Y32" s="6"/>
    </row>
    <row r="33" spans="1:25" ht="15" hidden="1" customHeight="1">
      <c r="A33" s="6"/>
      <c r="B33" s="1209"/>
      <c r="C33" s="1209"/>
      <c r="D33" s="1201" t="s">
        <v>1200</v>
      </c>
      <c r="E33" s="1267"/>
      <c r="F33" s="1267"/>
      <c r="G33" s="981">
        <v>20</v>
      </c>
      <c r="H33" s="1265"/>
      <c r="I33" s="981">
        <v>20</v>
      </c>
      <c r="J33" s="981"/>
      <c r="K33" s="981">
        <v>20</v>
      </c>
      <c r="L33" s="981"/>
      <c r="M33" s="981">
        <v>20</v>
      </c>
      <c r="N33" s="1267"/>
      <c r="O33" s="1201"/>
      <c r="P33" s="1269"/>
      <c r="Q33" s="425" t="s">
        <v>7</v>
      </c>
      <c r="R33" s="6"/>
      <c r="S33" s="6"/>
      <c r="T33" s="425"/>
      <c r="U33" s="6"/>
      <c r="V33" s="6"/>
      <c r="W33" s="6"/>
      <c r="X33" s="6"/>
      <c r="Y33" s="6"/>
    </row>
    <row r="34" spans="1:25" ht="15" hidden="1" customHeight="1">
      <c r="A34" s="6"/>
      <c r="B34" s="1209"/>
      <c r="C34" s="1209"/>
      <c r="D34" s="1201" t="s">
        <v>1199</v>
      </c>
      <c r="E34" s="1267"/>
      <c r="F34" s="1267"/>
      <c r="G34" s="981">
        <v>20</v>
      </c>
      <c r="H34" s="1276"/>
      <c r="I34" s="981">
        <v>20</v>
      </c>
      <c r="J34" s="981"/>
      <c r="K34" s="981">
        <v>20</v>
      </c>
      <c r="L34" s="981"/>
      <c r="M34" s="981">
        <v>20</v>
      </c>
      <c r="N34" s="1267"/>
      <c r="O34" s="1201"/>
      <c r="P34" s="1269"/>
      <c r="Q34" s="425" t="s">
        <v>7</v>
      </c>
      <c r="R34" s="6"/>
      <c r="S34" s="6"/>
      <c r="T34" s="425"/>
      <c r="U34" s="6"/>
      <c r="V34" s="6"/>
      <c r="W34" s="6"/>
      <c r="X34" s="6"/>
      <c r="Y34" s="6"/>
    </row>
    <row r="35" spans="1:25" ht="6.75" customHeight="1" thickBot="1">
      <c r="A35" s="6"/>
      <c r="B35" s="1209"/>
      <c r="C35" s="1209"/>
      <c r="D35" s="1201"/>
      <c r="E35" s="1267"/>
      <c r="F35" s="1267"/>
      <c r="G35" s="982"/>
      <c r="H35" s="981"/>
      <c r="I35" s="982"/>
      <c r="J35" s="981"/>
      <c r="K35" s="982"/>
      <c r="L35" s="981"/>
      <c r="M35" s="982"/>
      <c r="N35" s="1267"/>
      <c r="O35" s="1201"/>
      <c r="P35" s="1269"/>
      <c r="Q35" s="454"/>
      <c r="R35" s="6"/>
      <c r="S35" s="6"/>
      <c r="T35" s="425"/>
      <c r="U35" s="6"/>
      <c r="V35" s="6"/>
      <c r="W35" s="6"/>
      <c r="X35" s="6"/>
      <c r="Y35" s="6"/>
    </row>
    <row r="36" spans="1:25" ht="15" thickBot="1">
      <c r="A36" s="6"/>
      <c r="B36" s="1209"/>
      <c r="C36" s="1271"/>
      <c r="D36" s="1281" t="s">
        <v>1577</v>
      </c>
      <c r="E36" s="1042"/>
      <c r="F36" s="1035"/>
      <c r="G36" s="991"/>
      <c r="H36" s="983"/>
      <c r="I36" s="991"/>
      <c r="J36" s="983"/>
      <c r="K36" s="991"/>
      <c r="L36" s="1035"/>
      <c r="M36" s="991"/>
      <c r="N36" s="5"/>
      <c r="O36" s="1201" t="s">
        <v>1573</v>
      </c>
      <c r="P36" s="1214"/>
      <c r="Q36" s="6"/>
      <c r="R36" s="6"/>
      <c r="S36" s="6"/>
      <c r="T36" s="6"/>
      <c r="U36" s="6"/>
      <c r="V36" s="6"/>
      <c r="W36" s="6"/>
      <c r="X36" s="6"/>
      <c r="Y36" s="6"/>
    </row>
    <row r="37" spans="1:25" ht="6.75" customHeight="1">
      <c r="A37" s="6"/>
      <c r="B37" s="5"/>
      <c r="C37" s="5"/>
      <c r="D37" s="1201"/>
      <c r="E37" s="1267"/>
      <c r="F37" s="1267"/>
      <c r="G37" s="984"/>
      <c r="H37" s="1270"/>
      <c r="I37" s="984"/>
      <c r="J37" s="984"/>
      <c r="K37" s="984"/>
      <c r="L37" s="984"/>
      <c r="M37" s="984"/>
      <c r="N37" s="1267"/>
      <c r="O37" s="1201"/>
      <c r="P37" s="1269"/>
      <c r="Q37" s="6"/>
      <c r="R37" s="6"/>
      <c r="S37" s="6"/>
      <c r="T37" s="425"/>
      <c r="U37" s="6"/>
      <c r="V37" s="6"/>
      <c r="W37" s="6"/>
      <c r="X37" s="6"/>
      <c r="Y37" s="6"/>
    </row>
    <row r="38" spans="1:25" ht="28.5" customHeight="1">
      <c r="A38" s="6"/>
      <c r="B38" s="1253"/>
      <c r="C38" s="1254" t="b">
        <v>0</v>
      </c>
      <c r="D38" s="1679" t="s">
        <v>1675</v>
      </c>
      <c r="E38" s="1679"/>
      <c r="F38" s="1679"/>
      <c r="G38" s="1679"/>
      <c r="H38" s="1679"/>
      <c r="I38" s="1679"/>
      <c r="J38" s="1679"/>
      <c r="K38" s="1679"/>
      <c r="L38" s="1679"/>
      <c r="M38" s="1679"/>
      <c r="N38" s="1679"/>
      <c r="O38" s="1407"/>
      <c r="P38" s="1408"/>
      <c r="Q38" s="6"/>
      <c r="R38" s="6"/>
      <c r="S38" s="6"/>
      <c r="T38" s="6"/>
      <c r="U38" s="6"/>
      <c r="V38" s="6"/>
      <c r="W38" s="6"/>
      <c r="X38" s="6"/>
      <c r="Y38" s="6"/>
    </row>
    <row r="39" spans="1:25" ht="6.75" customHeight="1">
      <c r="A39" s="6"/>
      <c r="B39" s="5"/>
      <c r="C39" s="5"/>
      <c r="D39" s="1201"/>
      <c r="E39" s="1267"/>
      <c r="F39" s="1267"/>
      <c r="G39" s="984"/>
      <c r="H39" s="1270"/>
      <c r="I39" s="984"/>
      <c r="J39" s="984"/>
      <c r="K39" s="984"/>
      <c r="L39" s="984"/>
      <c r="M39" s="984"/>
      <c r="N39" s="1267"/>
      <c r="O39" s="1201"/>
      <c r="P39" s="1269"/>
      <c r="Q39" s="6"/>
      <c r="R39" s="6"/>
      <c r="S39" s="6"/>
      <c r="T39" s="425"/>
      <c r="U39" s="6"/>
      <c r="V39" s="6"/>
      <c r="W39" s="6"/>
      <c r="X39" s="6"/>
      <c r="Y39" s="6"/>
    </row>
    <row r="40" spans="1:25">
      <c r="A40" s="6"/>
      <c r="B40" s="6"/>
      <c r="C40" s="6"/>
      <c r="D40" s="457"/>
      <c r="E40" s="457"/>
      <c r="F40" s="457"/>
      <c r="G40" s="6"/>
      <c r="H40" s="6"/>
      <c r="I40" s="6"/>
      <c r="J40" s="6"/>
      <c r="K40" s="6"/>
      <c r="L40" s="6"/>
      <c r="M40" s="6"/>
      <c r="N40" s="6"/>
      <c r="O40" s="454"/>
      <c r="P40" s="454"/>
      <c r="Q40" s="6"/>
      <c r="R40" s="6"/>
      <c r="S40" s="6"/>
      <c r="T40" s="6"/>
      <c r="U40" s="6"/>
      <c r="V40" s="6"/>
      <c r="W40" s="6"/>
      <c r="X40" s="6"/>
      <c r="Y40" s="6"/>
    </row>
    <row r="41" spans="1:25">
      <c r="A41" s="6"/>
      <c r="B41" s="1190"/>
      <c r="C41" s="1261"/>
      <c r="D41" s="1191" t="s">
        <v>1678</v>
      </c>
      <c r="E41" s="1192"/>
      <c r="F41" s="1192"/>
      <c r="G41" s="1192"/>
      <c r="H41" s="1192"/>
      <c r="I41" s="1192"/>
      <c r="J41" s="1192"/>
      <c r="K41" s="1193"/>
      <c r="L41" s="1193"/>
      <c r="M41" s="1193"/>
      <c r="N41" s="1193"/>
      <c r="O41" s="1194"/>
      <c r="P41" s="1034"/>
      <c r="Q41" s="6"/>
      <c r="R41" s="6"/>
      <c r="S41" s="6"/>
      <c r="T41" s="6"/>
      <c r="U41" s="6"/>
      <c r="V41" s="6"/>
      <c r="W41" s="6"/>
      <c r="X41" s="6"/>
      <c r="Y41" s="6"/>
    </row>
    <row r="42" spans="1:25" ht="6.75" customHeight="1">
      <c r="A42" s="6"/>
      <c r="B42" s="5"/>
      <c r="C42" s="5"/>
      <c r="D42" s="5"/>
      <c r="E42" s="5"/>
      <c r="F42" s="5"/>
      <c r="G42" s="5"/>
      <c r="H42" s="5"/>
      <c r="I42" s="5"/>
      <c r="J42" s="5"/>
      <c r="K42" s="5"/>
      <c r="L42" s="5"/>
      <c r="M42" s="5"/>
      <c r="N42" s="5"/>
      <c r="O42" s="5"/>
      <c r="P42" s="5"/>
      <c r="Q42" s="6"/>
      <c r="R42" s="6"/>
      <c r="S42" s="6"/>
      <c r="T42" s="6"/>
      <c r="U42" s="6"/>
      <c r="V42" s="6"/>
      <c r="W42" s="6"/>
      <c r="X42" s="6"/>
      <c r="Y42" s="6"/>
    </row>
    <row r="43" spans="1:25" ht="6.75" customHeight="1">
      <c r="A43" s="6"/>
      <c r="B43" s="5"/>
      <c r="C43" s="5"/>
      <c r="D43" s="5"/>
      <c r="E43" s="5"/>
      <c r="F43" s="5"/>
      <c r="G43" s="5"/>
      <c r="H43" s="5"/>
      <c r="I43" s="5"/>
      <c r="J43" s="5"/>
      <c r="K43" s="5"/>
      <c r="L43" s="5"/>
      <c r="M43" s="5"/>
      <c r="N43" s="5"/>
      <c r="O43" s="5"/>
      <c r="P43" s="5"/>
      <c r="Q43" s="6"/>
      <c r="R43" s="6"/>
      <c r="S43" s="6"/>
      <c r="T43" s="6"/>
      <c r="U43" s="6"/>
      <c r="V43" s="6"/>
      <c r="W43" s="6"/>
      <c r="X43" s="6"/>
      <c r="Y43" s="6"/>
    </row>
    <row r="44" spans="1:25">
      <c r="A44" s="6"/>
      <c r="B44" s="5"/>
      <c r="C44" s="1282"/>
      <c r="D44" s="1283" t="s">
        <v>1578</v>
      </c>
      <c r="E44" s="1283"/>
      <c r="F44" s="1283"/>
      <c r="G44" s="1284"/>
      <c r="H44" s="1284"/>
      <c r="I44" s="1285"/>
      <c r="J44" s="1285"/>
      <c r="K44" s="1285"/>
      <c r="L44" s="1285"/>
      <c r="M44" s="1285"/>
      <c r="N44" s="1285"/>
      <c r="O44" s="1286"/>
      <c r="P44" s="1214"/>
      <c r="Q44" s="6"/>
      <c r="R44" s="6"/>
      <c r="S44" s="6"/>
      <c r="T44" s="407"/>
      <c r="U44" s="6"/>
      <c r="V44" s="6"/>
      <c r="W44" s="6"/>
      <c r="X44" s="6"/>
      <c r="Y44" s="6"/>
    </row>
    <row r="45" spans="1:25" ht="6.75" customHeight="1">
      <c r="A45" s="6"/>
      <c r="B45" s="5"/>
      <c r="C45" s="1287"/>
      <c r="D45" s="1288"/>
      <c r="E45" s="1288"/>
      <c r="F45" s="1288"/>
      <c r="G45" s="1237"/>
      <c r="H45" s="1237"/>
      <c r="I45" s="1237"/>
      <c r="J45" s="1237"/>
      <c r="K45" s="1237"/>
      <c r="L45" s="1237"/>
      <c r="M45" s="1237"/>
      <c r="N45" s="1237"/>
      <c r="O45" s="1289"/>
      <c r="P45" s="1214"/>
      <c r="Q45" s="6"/>
      <c r="R45" s="6"/>
      <c r="S45" s="6"/>
      <c r="T45" s="407"/>
      <c r="U45" s="6"/>
      <c r="V45" s="6"/>
      <c r="W45" s="6"/>
      <c r="X45" s="6"/>
      <c r="Y45" s="6"/>
    </row>
    <row r="46" spans="1:25" ht="15" customHeight="1">
      <c r="A46" s="6"/>
      <c r="B46" s="5"/>
      <c r="C46" s="1290"/>
      <c r="D46" s="1291"/>
      <c r="E46" s="1291"/>
      <c r="F46" s="1291"/>
      <c r="G46" s="1292" t="s">
        <v>1465</v>
      </c>
      <c r="H46" s="1293"/>
      <c r="I46" s="1292" t="s">
        <v>1466</v>
      </c>
      <c r="J46" s="1292"/>
      <c r="K46" s="1292" t="s">
        <v>1467</v>
      </c>
      <c r="L46" s="1292"/>
      <c r="M46" s="1292" t="s">
        <v>1468</v>
      </c>
      <c r="N46" s="1293"/>
      <c r="O46" s="1294"/>
      <c r="P46" s="1214"/>
      <c r="Q46" s="6"/>
      <c r="R46" s="6"/>
      <c r="S46" s="6"/>
      <c r="T46" s="407"/>
      <c r="U46" s="6"/>
      <c r="V46" s="6"/>
      <c r="W46" s="6"/>
      <c r="X46" s="6"/>
      <c r="Y46" s="6"/>
    </row>
    <row r="47" spans="1:25" ht="6.75" customHeight="1" thickBot="1">
      <c r="A47" s="6"/>
      <c r="B47" s="5"/>
      <c r="C47" s="1290"/>
      <c r="D47" s="1291"/>
      <c r="E47" s="1291"/>
      <c r="F47" s="1291"/>
      <c r="G47" s="1293"/>
      <c r="H47" s="1293"/>
      <c r="I47" s="1293"/>
      <c r="J47" s="1293"/>
      <c r="K47" s="1293"/>
      <c r="L47" s="1293"/>
      <c r="M47" s="1293"/>
      <c r="N47" s="1293"/>
      <c r="O47" s="1294"/>
      <c r="P47" s="1214"/>
      <c r="Q47" s="6"/>
      <c r="R47" s="6"/>
      <c r="S47" s="6"/>
      <c r="T47" s="407"/>
      <c r="U47" s="6"/>
      <c r="V47" s="6"/>
      <c r="W47" s="6"/>
      <c r="X47" s="6"/>
      <c r="Y47" s="6"/>
    </row>
    <row r="48" spans="1:25" ht="45" customHeight="1" thickBot="1">
      <c r="A48" s="6"/>
      <c r="B48" s="5"/>
      <c r="C48" s="1290"/>
      <c r="D48" s="1295" t="s">
        <v>1579</v>
      </c>
      <c r="E48" s="1291"/>
      <c r="F48" s="1291"/>
      <c r="G48" s="992" t="s">
        <v>1457</v>
      </c>
      <c r="H48" s="1296"/>
      <c r="I48" s="992" t="s">
        <v>1457</v>
      </c>
      <c r="J48" s="1296"/>
      <c r="K48" s="992" t="s">
        <v>1457</v>
      </c>
      <c r="L48" s="1297"/>
      <c r="M48" s="992" t="s">
        <v>1457</v>
      </c>
      <c r="N48" s="1298"/>
      <c r="O48" s="1294"/>
      <c r="P48" s="1214"/>
      <c r="Q48" s="6"/>
      <c r="R48" s="6"/>
      <c r="S48" s="6"/>
      <c r="T48" s="407"/>
      <c r="U48" s="6"/>
      <c r="V48" s="6"/>
      <c r="W48" s="6"/>
      <c r="X48" s="6"/>
      <c r="Y48" s="6"/>
    </row>
    <row r="49" spans="1:26" ht="18" hidden="1" customHeight="1">
      <c r="A49" s="6"/>
      <c r="B49" s="5"/>
      <c r="C49" s="1290"/>
      <c r="D49" s="1293"/>
      <c r="E49" s="1291"/>
      <c r="F49" s="1291"/>
      <c r="G49" s="1299">
        <f>IF(G48='Menus déroulants'!$C$54,1,0)</f>
        <v>0</v>
      </c>
      <c r="H49" s="1299"/>
      <c r="I49" s="1299">
        <f>IF(I48='Menus déroulants'!$C$54,1,0)</f>
        <v>0</v>
      </c>
      <c r="J49" s="1299"/>
      <c r="K49" s="1299">
        <f>IF(K48='Menus déroulants'!$C$54,1,0)</f>
        <v>0</v>
      </c>
      <c r="L49" s="1299"/>
      <c r="M49" s="1299">
        <f>IF(M48='Menus déroulants'!$C$54,1,0)</f>
        <v>0</v>
      </c>
      <c r="N49" s="1298"/>
      <c r="O49" s="1294"/>
      <c r="P49" s="1214"/>
      <c r="Q49" s="6"/>
      <c r="R49" s="425" t="s">
        <v>7</v>
      </c>
      <c r="S49" s="6"/>
      <c r="T49" s="407"/>
      <c r="U49" s="6"/>
      <c r="V49" s="6"/>
      <c r="W49" s="6"/>
      <c r="X49" s="6"/>
      <c r="Y49" s="6"/>
    </row>
    <row r="50" spans="1:26" ht="6.75" customHeight="1">
      <c r="A50" s="6"/>
      <c r="B50" s="5"/>
      <c r="C50" s="1290"/>
      <c r="D50" s="1300"/>
      <c r="E50" s="1301"/>
      <c r="F50" s="1301"/>
      <c r="G50" s="1302"/>
      <c r="H50" s="1302"/>
      <c r="I50" s="1302"/>
      <c r="J50" s="1302"/>
      <c r="K50" s="1302"/>
      <c r="L50" s="1301"/>
      <c r="M50" s="1302"/>
      <c r="N50" s="1293"/>
      <c r="O50" s="1303"/>
      <c r="P50" s="1214"/>
      <c r="Q50" s="425"/>
      <c r="R50" s="6"/>
      <c r="S50" s="6"/>
      <c r="T50" s="6"/>
      <c r="U50" s="6"/>
      <c r="V50" s="6"/>
      <c r="W50" s="6"/>
      <c r="X50" s="6"/>
      <c r="Y50" s="6"/>
    </row>
    <row r="51" spans="1:26" ht="14.25" customHeight="1">
      <c r="A51" s="6"/>
      <c r="B51" s="5"/>
      <c r="C51" s="1304" t="s">
        <v>1237</v>
      </c>
      <c r="D51" s="1305" t="s">
        <v>1580</v>
      </c>
      <c r="E51" s="1306"/>
      <c r="F51" s="1301"/>
      <c r="G51" s="985"/>
      <c r="H51" s="985"/>
      <c r="I51" s="985"/>
      <c r="J51" s="985"/>
      <c r="K51" s="985"/>
      <c r="L51" s="1300"/>
      <c r="M51" s="985"/>
      <c r="N51" s="1293"/>
      <c r="O51" s="1303"/>
      <c r="P51" s="1214"/>
      <c r="Q51" s="6"/>
      <c r="R51" s="6"/>
      <c r="S51" s="6"/>
      <c r="T51" s="6"/>
      <c r="U51" s="6"/>
      <c r="V51" s="6"/>
      <c r="W51" s="6"/>
      <c r="X51" s="6"/>
      <c r="Y51" s="6"/>
    </row>
    <row r="52" spans="1:26" ht="6.75" customHeight="1" thickBot="1">
      <c r="A52" s="6"/>
      <c r="B52" s="5"/>
      <c r="C52" s="1290"/>
      <c r="D52" s="1305"/>
      <c r="E52" s="1306"/>
      <c r="F52" s="1301"/>
      <c r="G52" s="985"/>
      <c r="H52" s="985"/>
      <c r="I52" s="985"/>
      <c r="J52" s="985"/>
      <c r="K52" s="985"/>
      <c r="L52" s="1300"/>
      <c r="M52" s="985"/>
      <c r="N52" s="1293"/>
      <c r="O52" s="1303"/>
      <c r="P52" s="1214"/>
      <c r="Q52" s="6"/>
      <c r="R52" s="6"/>
      <c r="S52" s="6"/>
      <c r="T52" s="6"/>
      <c r="U52" s="6"/>
      <c r="V52" s="6"/>
      <c r="W52" s="6"/>
      <c r="X52" s="6"/>
      <c r="Y52" s="6"/>
    </row>
    <row r="53" spans="1:26" ht="15" customHeight="1" thickBot="1">
      <c r="A53" s="6"/>
      <c r="B53" s="5"/>
      <c r="C53" s="1290"/>
      <c r="D53" s="1732" t="s">
        <v>1581</v>
      </c>
      <c r="E53" s="1732"/>
      <c r="F53" s="1301"/>
      <c r="G53" s="993"/>
      <c r="H53" s="986"/>
      <c r="I53" s="993"/>
      <c r="J53" s="986"/>
      <c r="K53" s="993"/>
      <c r="L53" s="1301"/>
      <c r="M53" s="993"/>
      <c r="N53" s="1293"/>
      <c r="O53" s="1303"/>
      <c r="P53" s="1214"/>
      <c r="Q53" s="6"/>
      <c r="R53" s="6"/>
      <c r="S53" s="6"/>
      <c r="T53" s="6"/>
      <c r="U53" s="6"/>
      <c r="V53" s="6"/>
      <c r="W53" s="6"/>
      <c r="X53" s="6"/>
      <c r="Y53" s="6"/>
    </row>
    <row r="54" spans="1:26" ht="6" customHeight="1" thickBot="1">
      <c r="A54" s="6"/>
      <c r="B54" s="5"/>
      <c r="C54" s="1290"/>
      <c r="D54" s="1307"/>
      <c r="E54" s="1308"/>
      <c r="F54" s="1301"/>
      <c r="G54" s="987"/>
      <c r="H54" s="986"/>
      <c r="I54" s="987"/>
      <c r="J54" s="986"/>
      <c r="K54" s="987"/>
      <c r="L54" s="1301"/>
      <c r="M54" s="987"/>
      <c r="N54" s="1293"/>
      <c r="O54" s="1303"/>
      <c r="P54" s="1214"/>
      <c r="Q54" s="6"/>
      <c r="R54" s="6"/>
      <c r="S54" s="6"/>
      <c r="T54" s="6"/>
      <c r="U54" s="6"/>
      <c r="V54" s="6"/>
      <c r="W54" s="6"/>
      <c r="X54" s="6"/>
      <c r="Y54" s="6"/>
    </row>
    <row r="55" spans="1:26" ht="15" thickBot="1">
      <c r="A55" s="6"/>
      <c r="B55" s="5"/>
      <c r="C55" s="1290"/>
      <c r="D55" s="1732" t="s">
        <v>1582</v>
      </c>
      <c r="E55" s="1732"/>
      <c r="F55" s="1301"/>
      <c r="G55" s="993"/>
      <c r="H55" s="986"/>
      <c r="I55" s="993"/>
      <c r="J55" s="986"/>
      <c r="K55" s="993"/>
      <c r="L55" s="1301"/>
      <c r="M55" s="993"/>
      <c r="N55" s="1293"/>
      <c r="O55" s="1303"/>
      <c r="P55" s="1214"/>
      <c r="Q55" s="6"/>
      <c r="R55" s="6"/>
      <c r="S55" s="6"/>
      <c r="T55" s="6"/>
      <c r="U55" s="6"/>
      <c r="V55" s="6"/>
      <c r="W55" s="6"/>
      <c r="X55" s="6"/>
      <c r="Y55" s="6"/>
    </row>
    <row r="56" spans="1:26" ht="6" customHeight="1" thickBot="1">
      <c r="A56" s="6"/>
      <c r="B56" s="5"/>
      <c r="C56" s="1290"/>
      <c r="D56" s="1293"/>
      <c r="E56" s="1291"/>
      <c r="F56" s="1291"/>
      <c r="G56" s="1299"/>
      <c r="H56" s="1299"/>
      <c r="I56" s="1299"/>
      <c r="J56" s="1299"/>
      <c r="K56" s="1299"/>
      <c r="L56" s="1299"/>
      <c r="M56" s="1299"/>
      <c r="N56" s="1298"/>
      <c r="O56" s="1294"/>
      <c r="P56" s="1214"/>
      <c r="Q56" s="6"/>
      <c r="R56" s="425"/>
      <c r="S56" s="6"/>
      <c r="T56" s="407"/>
      <c r="U56" s="6"/>
      <c r="V56" s="6"/>
      <c r="W56" s="6"/>
      <c r="X56" s="6"/>
      <c r="Y56" s="6"/>
    </row>
    <row r="57" spans="1:26" ht="16.5" customHeight="1" thickBot="1">
      <c r="A57" s="6"/>
      <c r="B57" s="5"/>
      <c r="C57" s="1304" t="s">
        <v>1237</v>
      </c>
      <c r="D57" s="1305" t="s">
        <v>1583</v>
      </c>
      <c r="E57" s="1301"/>
      <c r="F57" s="1301"/>
      <c r="G57" s="994"/>
      <c r="H57" s="1309"/>
      <c r="I57" s="994"/>
      <c r="J57" s="1309"/>
      <c r="K57" s="994"/>
      <c r="L57" s="1310"/>
      <c r="M57" s="994"/>
      <c r="N57" s="1293"/>
      <c r="O57" s="1303"/>
      <c r="P57" s="1214"/>
      <c r="Q57" s="425"/>
      <c r="R57" s="6"/>
      <c r="S57" s="6"/>
      <c r="T57" s="6"/>
      <c r="U57" s="6"/>
      <c r="V57" s="6"/>
      <c r="W57" s="6"/>
      <c r="X57" s="6"/>
      <c r="Y57" s="6"/>
    </row>
    <row r="58" spans="1:26" ht="6.75" customHeight="1">
      <c r="A58" s="6"/>
      <c r="B58" s="1311"/>
      <c r="C58" s="1312"/>
      <c r="D58" s="1313"/>
      <c r="E58" s="1313"/>
      <c r="F58" s="1313"/>
      <c r="G58" s="1313"/>
      <c r="H58" s="1313"/>
      <c r="I58" s="1313"/>
      <c r="J58" s="1313"/>
      <c r="K58" s="1313"/>
      <c r="L58" s="1313"/>
      <c r="M58" s="1313"/>
      <c r="N58" s="1313"/>
      <c r="O58" s="1314"/>
      <c r="P58" s="1214"/>
      <c r="Q58" s="6"/>
      <c r="R58" s="6"/>
      <c r="S58" s="6"/>
      <c r="T58" s="6"/>
      <c r="U58" s="6"/>
      <c r="V58" s="6"/>
      <c r="W58" s="6"/>
      <c r="X58" s="6"/>
      <c r="Y58" s="6"/>
    </row>
    <row r="59" spans="1:26" ht="12.75" customHeight="1">
      <c r="A59" s="6"/>
      <c r="B59" s="5"/>
      <c r="C59" s="1209"/>
      <c r="D59" s="1315"/>
      <c r="E59" s="1315"/>
      <c r="F59" s="1315"/>
      <c r="G59" s="1315"/>
      <c r="H59" s="1315"/>
      <c r="I59" s="1315"/>
      <c r="J59" s="1315"/>
      <c r="K59" s="1315"/>
      <c r="L59" s="1315"/>
      <c r="M59" s="1315"/>
      <c r="N59" s="1315"/>
      <c r="O59" s="1315"/>
      <c r="P59" s="1214"/>
      <c r="Q59" s="6"/>
      <c r="R59" s="6"/>
      <c r="S59" s="6"/>
      <c r="T59" s="6"/>
      <c r="U59" s="6"/>
      <c r="V59" s="6"/>
      <c r="W59" s="6"/>
      <c r="X59" s="6"/>
      <c r="Y59" s="6"/>
    </row>
    <row r="60" spans="1:26" hidden="1" outlineLevel="1">
      <c r="A60" s="6"/>
      <c r="B60" s="1190"/>
      <c r="C60" s="1261"/>
      <c r="D60" s="1191" t="s">
        <v>1342</v>
      </c>
      <c r="E60" s="1192"/>
      <c r="F60" s="1192"/>
      <c r="G60" s="1192"/>
      <c r="H60" s="1192"/>
      <c r="I60" s="1192"/>
      <c r="J60" s="1192"/>
      <c r="K60" s="1193"/>
      <c r="L60" s="1193"/>
      <c r="M60" s="1193"/>
      <c r="N60" s="1193"/>
      <c r="O60" s="1194"/>
      <c r="P60" s="1034"/>
      <c r="Q60" s="6"/>
      <c r="R60" s="425" t="s">
        <v>1341</v>
      </c>
      <c r="S60" s="6"/>
      <c r="T60" s="6"/>
      <c r="U60" s="6"/>
      <c r="V60" s="6"/>
      <c r="W60" s="6"/>
      <c r="X60" s="6"/>
      <c r="Y60" s="6"/>
      <c r="Z60" s="1229"/>
    </row>
    <row r="61" spans="1:26" hidden="1" outlineLevel="1">
      <c r="A61" s="6"/>
      <c r="B61" s="1195"/>
      <c r="C61" s="1316"/>
      <c r="D61" s="1317" t="s">
        <v>1326</v>
      </c>
      <c r="E61" s="1197"/>
      <c r="F61" s="1197"/>
      <c r="G61" s="1197"/>
      <c r="H61" s="1197"/>
      <c r="I61" s="1197"/>
      <c r="J61" s="1197"/>
      <c r="K61" s="1198"/>
      <c r="L61" s="1198"/>
      <c r="M61" s="1198"/>
      <c r="N61" s="1198"/>
      <c r="O61" s="1199"/>
      <c r="P61" s="1200"/>
      <c r="Q61" s="6"/>
      <c r="R61" s="6"/>
      <c r="S61" s="6"/>
      <c r="T61" s="6"/>
      <c r="U61" s="6"/>
      <c r="V61" s="6"/>
      <c r="W61" s="6"/>
      <c r="X61" s="6"/>
      <c r="Y61" s="6"/>
    </row>
    <row r="62" spans="1:26" hidden="1" outlineLevel="1">
      <c r="A62" s="6"/>
      <c r="B62" s="1195"/>
      <c r="C62" s="1651" t="s">
        <v>1327</v>
      </c>
      <c r="D62" s="1651"/>
      <c r="E62" s="1651"/>
      <c r="F62" s="1660"/>
      <c r="G62" s="1656" t="s">
        <v>1086</v>
      </c>
      <c r="H62" s="1658"/>
      <c r="I62" s="1656" t="s">
        <v>1087</v>
      </c>
      <c r="J62" s="1658"/>
      <c r="K62" s="1656" t="s">
        <v>1088</v>
      </c>
      <c r="L62" s="1658"/>
      <c r="M62" s="1656" t="s">
        <v>1089</v>
      </c>
      <c r="N62" s="1658"/>
      <c r="O62" s="5"/>
      <c r="P62" s="5"/>
      <c r="Q62" s="1696"/>
      <c r="R62" s="1697"/>
      <c r="S62" s="6"/>
      <c r="T62" s="1318" t="s">
        <v>340</v>
      </c>
      <c r="U62" s="1319"/>
      <c r="V62" s="1319"/>
      <c r="W62" s="1319"/>
      <c r="X62" s="1320"/>
      <c r="Y62" s="6"/>
    </row>
    <row r="63" spans="1:26" hidden="1" outlineLevel="1">
      <c r="A63" s="6"/>
      <c r="B63" s="1195"/>
      <c r="C63" s="1651"/>
      <c r="D63" s="1651"/>
      <c r="E63" s="1651"/>
      <c r="F63" s="1660"/>
      <c r="G63" s="1659"/>
      <c r="H63" s="1660"/>
      <c r="I63" s="1659"/>
      <c r="J63" s="1660"/>
      <c r="K63" s="1659"/>
      <c r="L63" s="1660"/>
      <c r="M63" s="1659"/>
      <c r="N63" s="1660"/>
      <c r="O63" s="5"/>
      <c r="P63" s="5"/>
      <c r="Q63" s="1697"/>
      <c r="R63" s="1697"/>
      <c r="S63" s="6"/>
      <c r="T63" s="1321" t="s">
        <v>1457</v>
      </c>
      <c r="U63" s="1321">
        <v>0</v>
      </c>
      <c r="V63" s="1321" t="s">
        <v>1457</v>
      </c>
      <c r="W63" s="1321">
        <v>0</v>
      </c>
      <c r="Y63" s="6"/>
    </row>
    <row r="64" spans="1:26" ht="15" hidden="1" customHeight="1" outlineLevel="1">
      <c r="A64" s="6"/>
      <c r="B64" s="1195"/>
      <c r="C64" s="1684" t="s">
        <v>396</v>
      </c>
      <c r="D64" s="1684"/>
      <c r="E64" s="1684"/>
      <c r="F64" s="1685"/>
      <c r="G64" s="1700" t="str">
        <f>'3c. Calculator EEM 2-3'!G48</f>
        <v>&lt; select &gt;</v>
      </c>
      <c r="H64" s="1701"/>
      <c r="I64" s="1700" t="str">
        <f>'3c. Calculator EEM 2-3'!I48</f>
        <v>&lt; select &gt;</v>
      </c>
      <c r="J64" s="1701"/>
      <c r="K64" s="1700" t="str">
        <f>'3c. Calculator EEM 2-3'!K48</f>
        <v>&lt; select &gt;</v>
      </c>
      <c r="L64" s="1701"/>
      <c r="M64" s="1700" t="str">
        <f>'3c. Calculator EEM 2-3'!M48</f>
        <v>&lt; select &gt;</v>
      </c>
      <c r="N64" s="1701"/>
      <c r="O64" s="1322"/>
      <c r="P64" s="1322"/>
      <c r="Q64" s="1697"/>
      <c r="R64" s="1697"/>
      <c r="S64" s="6"/>
      <c r="T64" s="1321" t="s">
        <v>237</v>
      </c>
      <c r="U64" s="1321">
        <v>0</v>
      </c>
      <c r="V64" s="1321"/>
      <c r="W64" s="1321"/>
      <c r="X64" s="1323"/>
      <c r="Y64" s="6"/>
    </row>
    <row r="65" spans="1:26" hidden="1" outlineLevel="1">
      <c r="A65" s="6"/>
      <c r="B65" s="1195"/>
      <c r="C65" s="1730" t="s">
        <v>14</v>
      </c>
      <c r="D65" s="1730"/>
      <c r="E65" s="1730"/>
      <c r="F65" s="1731"/>
      <c r="G65" s="1698">
        <f>IF(G64=$T$67,1,0)</f>
        <v>0</v>
      </c>
      <c r="H65" s="1699"/>
      <c r="I65" s="1698">
        <f>IF(I64=$T$67,1,0)</f>
        <v>0</v>
      </c>
      <c r="J65" s="1699"/>
      <c r="K65" s="1698">
        <f>IF(K64=$T$67,1,0)</f>
        <v>0</v>
      </c>
      <c r="L65" s="1699"/>
      <c r="M65" s="1698">
        <f>IF(M64=$T$67,1,0)</f>
        <v>0</v>
      </c>
      <c r="N65" s="1699"/>
      <c r="O65" s="5"/>
      <c r="P65" s="5"/>
      <c r="Q65" s="1697"/>
      <c r="R65" s="1697"/>
      <c r="S65" s="6"/>
      <c r="T65" s="6"/>
      <c r="U65" s="6"/>
      <c r="V65" s="6"/>
      <c r="W65" s="6"/>
      <c r="X65" s="6"/>
      <c r="Y65" s="6"/>
    </row>
    <row r="66" spans="1:26" hidden="1" outlineLevel="1">
      <c r="A66" s="6"/>
      <c r="B66" s="1195"/>
      <c r="C66" s="1730" t="s">
        <v>404</v>
      </c>
      <c r="D66" s="1730"/>
      <c r="E66" s="1730"/>
      <c r="F66" s="1731"/>
      <c r="G66" s="1698">
        <f>IF(G64=$T$68,1,0)</f>
        <v>0</v>
      </c>
      <c r="H66" s="1699"/>
      <c r="I66" s="1698">
        <f>IF(I64=$T$68,1,0)</f>
        <v>0</v>
      </c>
      <c r="J66" s="1699"/>
      <c r="K66" s="1698">
        <f>IF(K64=$T$68,1,0)</f>
        <v>0</v>
      </c>
      <c r="L66" s="1699"/>
      <c r="M66" s="1698">
        <f>IF(M64=$T$68,1,0)</f>
        <v>0</v>
      </c>
      <c r="N66" s="1699"/>
      <c r="O66" s="1199"/>
      <c r="P66" s="1200"/>
      <c r="Q66" s="1697"/>
      <c r="R66" s="1697"/>
      <c r="S66" s="6"/>
      <c r="T66" s="1324" t="s">
        <v>1457</v>
      </c>
      <c r="U66" s="6"/>
      <c r="V66" s="6"/>
      <c r="W66" s="6"/>
      <c r="X66" s="6"/>
      <c r="Y66" s="6"/>
    </row>
    <row r="67" spans="1:26" ht="15" hidden="1" customHeight="1" outlineLevel="1">
      <c r="A67" s="6"/>
      <c r="B67" s="1195"/>
      <c r="C67" s="1730" t="s">
        <v>729</v>
      </c>
      <c r="D67" s="1730"/>
      <c r="E67" s="1730"/>
      <c r="F67" s="1731"/>
      <c r="G67" s="1698">
        <f>IF(G64=$T$69,1,0)</f>
        <v>0</v>
      </c>
      <c r="H67" s="1699"/>
      <c r="I67" s="1698">
        <f>IF(I64=$T$69,1,0)</f>
        <v>0</v>
      </c>
      <c r="J67" s="1699"/>
      <c r="K67" s="1698">
        <f>IF(K64=$T$69,1,0)</f>
        <v>0</v>
      </c>
      <c r="L67" s="1699"/>
      <c r="M67" s="1698">
        <f>IF(M64=$T$69,1,0)</f>
        <v>0</v>
      </c>
      <c r="N67" s="1699"/>
      <c r="O67" s="1199"/>
      <c r="P67" s="1200"/>
      <c r="Q67" s="1697"/>
      <c r="R67" s="1697"/>
      <c r="S67" s="6"/>
      <c r="T67" s="1324" t="s">
        <v>14</v>
      </c>
      <c r="U67" s="6"/>
      <c r="V67" s="6"/>
      <c r="W67" s="6"/>
      <c r="X67" s="6"/>
      <c r="Y67" s="6"/>
    </row>
    <row r="68" spans="1:26" ht="15" hidden="1" customHeight="1" outlineLevel="1">
      <c r="A68" s="6"/>
      <c r="B68" s="1195"/>
      <c r="C68" s="1325"/>
      <c r="D68" s="1197"/>
      <c r="E68" s="1197"/>
      <c r="F68" s="1197"/>
      <c r="G68" s="1198"/>
      <c r="H68" s="1198"/>
      <c r="I68" s="1198"/>
      <c r="J68" s="1198"/>
      <c r="K68" s="1198"/>
      <c r="L68" s="1198"/>
      <c r="M68" s="1198"/>
      <c r="N68" s="1198"/>
      <c r="O68" s="1199"/>
      <c r="P68" s="1200"/>
      <c r="Q68" s="1326"/>
      <c r="R68" s="1327"/>
      <c r="S68" s="6"/>
      <c r="T68" s="1324" t="s">
        <v>1479</v>
      </c>
      <c r="U68" s="6"/>
      <c r="V68" s="6"/>
      <c r="W68" s="6"/>
      <c r="X68" s="6"/>
      <c r="Y68" s="6"/>
    </row>
    <row r="69" spans="1:26" hidden="1" outlineLevel="1">
      <c r="A69" s="6"/>
      <c r="B69" s="1195"/>
      <c r="C69" s="1702" t="s">
        <v>1327</v>
      </c>
      <c r="D69" s="1702"/>
      <c r="E69" s="1702"/>
      <c r="F69" s="1702"/>
      <c r="G69" s="1702" t="s">
        <v>0</v>
      </c>
      <c r="H69" s="1702"/>
      <c r="I69" s="1702" t="s">
        <v>1</v>
      </c>
      <c r="J69" s="1702"/>
      <c r="K69" s="1702" t="s">
        <v>2</v>
      </c>
      <c r="L69" s="1702"/>
      <c r="M69" s="1702" t="s">
        <v>3</v>
      </c>
      <c r="N69" s="1702"/>
      <c r="O69" s="5"/>
      <c r="P69" s="5"/>
      <c r="Q69" s="1327"/>
      <c r="R69" s="1329" t="s">
        <v>1357</v>
      </c>
      <c r="S69" s="6"/>
      <c r="T69" s="1324" t="s">
        <v>1480</v>
      </c>
      <c r="U69" s="6"/>
      <c r="V69" s="6"/>
      <c r="W69" s="6"/>
      <c r="X69" s="6"/>
      <c r="Y69" s="6"/>
    </row>
    <row r="70" spans="1:26" hidden="1" outlineLevel="1">
      <c r="A70" s="6"/>
      <c r="B70" s="1195"/>
      <c r="C70" s="1702"/>
      <c r="D70" s="1702"/>
      <c r="E70" s="1702"/>
      <c r="F70" s="1702"/>
      <c r="G70" s="1702"/>
      <c r="H70" s="1702"/>
      <c r="I70" s="1702"/>
      <c r="J70" s="1702"/>
      <c r="K70" s="1702"/>
      <c r="L70" s="1702"/>
      <c r="M70" s="1702"/>
      <c r="N70" s="1702"/>
      <c r="O70" s="5"/>
      <c r="P70" s="5"/>
      <c r="Q70" s="1327"/>
      <c r="R70" s="1327"/>
      <c r="S70" s="6"/>
      <c r="T70" s="6"/>
      <c r="U70" s="6"/>
      <c r="V70" s="6"/>
      <c r="W70" s="6"/>
      <c r="X70" s="6"/>
      <c r="Y70" s="6"/>
    </row>
    <row r="71" spans="1:26" s="1332" customFormat="1" ht="31.5" hidden="1" customHeight="1" outlineLevel="1">
      <c r="A71" s="571"/>
      <c r="B71" s="1330"/>
      <c r="C71" s="1683" t="s">
        <v>14</v>
      </c>
      <c r="D71" s="1683"/>
      <c r="E71" s="1683"/>
      <c r="F71" s="1683"/>
      <c r="G71" s="1682">
        <f>IF(OR($G$65&gt;0,$G$67&gt;0),"X",0)</f>
        <v>0</v>
      </c>
      <c r="H71" s="1682"/>
      <c r="I71" s="1682">
        <f>IF(OR($I$65&gt;0,$I$67&gt;0),"X",0)</f>
        <v>0</v>
      </c>
      <c r="J71" s="1682"/>
      <c r="K71" s="1682">
        <f>IF(OR($K$65&gt;0,$K$67&gt;0),"X",0)</f>
        <v>0</v>
      </c>
      <c r="L71" s="1682"/>
      <c r="M71" s="1682">
        <f>IF(OR($M$65&gt;0,$M$67&gt;0),"X",0)</f>
        <v>0</v>
      </c>
      <c r="N71" s="1682"/>
      <c r="O71" s="1331"/>
      <c r="P71" s="1331"/>
      <c r="Q71" s="1327"/>
      <c r="R71" s="455">
        <f>IF(COUNTIF(G71:N71,0)=4,0,"X")</f>
        <v>0</v>
      </c>
      <c r="S71" s="571"/>
      <c r="T71" s="571"/>
      <c r="U71" s="571"/>
      <c r="V71" s="571"/>
      <c r="W71" s="571"/>
      <c r="X71" s="571"/>
      <c r="Y71" s="571"/>
    </row>
    <row r="72" spans="1:26" s="1332" customFormat="1" ht="31.5" hidden="1" customHeight="1" outlineLevel="1">
      <c r="A72" s="571"/>
      <c r="B72" s="1330"/>
      <c r="C72" s="1683" t="s">
        <v>1165</v>
      </c>
      <c r="D72" s="1683"/>
      <c r="E72" s="1683"/>
      <c r="F72" s="1683"/>
      <c r="G72" s="1682">
        <f>IF(OR($G$66&gt;0,$G$67&gt;0),"X",0)</f>
        <v>0</v>
      </c>
      <c r="H72" s="1682"/>
      <c r="I72" s="1682">
        <f>IF(OR($I$66&gt;0,$I$67&gt;0),"X",0)</f>
        <v>0</v>
      </c>
      <c r="J72" s="1682"/>
      <c r="K72" s="1682">
        <f>IF(OR($K$66&gt;0,$K$67&gt;0),"X",0)</f>
        <v>0</v>
      </c>
      <c r="L72" s="1682"/>
      <c r="M72" s="1682">
        <f>IF(OR($M$66&gt;0,$M$67&gt;0),"X",0)</f>
        <v>0</v>
      </c>
      <c r="N72" s="1682"/>
      <c r="O72" s="1333"/>
      <c r="P72" s="1334"/>
      <c r="Q72" s="1327"/>
      <c r="R72" s="455">
        <f>IF(COUNTIF(G72:N72,0)=4,0,"X")</f>
        <v>0</v>
      </c>
      <c r="S72" s="571"/>
      <c r="T72" s="571"/>
      <c r="U72" s="571"/>
      <c r="V72" s="571"/>
      <c r="W72" s="571"/>
      <c r="X72" s="571"/>
      <c r="Y72" s="571"/>
    </row>
    <row r="73" spans="1:26" hidden="1" outlineLevel="1">
      <c r="A73" s="6"/>
      <c r="B73" s="5"/>
      <c r="C73" s="5"/>
      <c r="D73" s="5"/>
      <c r="E73" s="5"/>
      <c r="F73" s="5"/>
      <c r="G73" s="5"/>
      <c r="H73" s="5"/>
      <c r="I73" s="5"/>
      <c r="J73" s="5"/>
      <c r="K73" s="5"/>
      <c r="L73" s="5"/>
      <c r="M73" s="5"/>
      <c r="N73" s="5"/>
      <c r="O73" s="5"/>
      <c r="P73" s="5"/>
      <c r="Q73" s="1327"/>
      <c r="R73" s="1327"/>
      <c r="S73" s="6"/>
      <c r="T73" s="6"/>
      <c r="U73" s="6"/>
      <c r="V73" s="6"/>
      <c r="W73" s="6"/>
      <c r="X73" s="6"/>
      <c r="Y73" s="6"/>
    </row>
    <row r="74" spans="1:26" hidden="1" outlineLevel="1">
      <c r="A74" s="6"/>
      <c r="B74" s="6"/>
      <c r="C74" s="6"/>
      <c r="D74" s="457"/>
      <c r="E74" s="457"/>
      <c r="F74" s="457"/>
      <c r="G74" s="6"/>
      <c r="H74" s="6"/>
      <c r="I74" s="6"/>
      <c r="J74" s="6"/>
      <c r="K74" s="6"/>
      <c r="L74" s="6"/>
      <c r="M74" s="6"/>
      <c r="N74" s="6"/>
      <c r="O74" s="411"/>
      <c r="P74" s="6"/>
      <c r="Q74" s="1327"/>
      <c r="R74" s="1327"/>
      <c r="S74" s="6"/>
      <c r="T74" s="6"/>
      <c r="U74" s="6"/>
      <c r="V74" s="6"/>
      <c r="W74" s="6"/>
      <c r="X74" s="6"/>
      <c r="Y74" s="6"/>
    </row>
    <row r="75" spans="1:26" hidden="1" outlineLevel="1">
      <c r="A75" s="6"/>
      <c r="B75" s="1221"/>
      <c r="C75" s="1261"/>
      <c r="D75" s="1191" t="s">
        <v>1343</v>
      </c>
      <c r="E75" s="1192"/>
      <c r="F75" s="1192"/>
      <c r="G75" s="1192"/>
      <c r="H75" s="1192"/>
      <c r="I75" s="1192"/>
      <c r="J75" s="1192"/>
      <c r="K75" s="1193"/>
      <c r="L75" s="1193"/>
      <c r="M75" s="1193"/>
      <c r="N75" s="1193"/>
      <c r="O75" s="1194"/>
      <c r="P75" s="1034"/>
      <c r="Q75" s="1327"/>
      <c r="R75" s="425" t="s">
        <v>1341</v>
      </c>
      <c r="S75" s="6"/>
      <c r="T75" s="6"/>
      <c r="U75" s="6"/>
      <c r="V75" s="6"/>
      <c r="W75" s="6"/>
      <c r="X75" s="6"/>
      <c r="Y75" s="6"/>
      <c r="Z75" s="1229" t="s">
        <v>1341</v>
      </c>
    </row>
    <row r="76" spans="1:26" ht="6.75" hidden="1" customHeight="1" outlineLevel="1">
      <c r="A76" s="6"/>
      <c r="B76" s="5"/>
      <c r="C76" s="5"/>
      <c r="D76" s="5"/>
      <c r="E76" s="5"/>
      <c r="F76" s="5"/>
      <c r="G76" s="5"/>
      <c r="H76" s="5"/>
      <c r="I76" s="5"/>
      <c r="J76" s="5"/>
      <c r="K76" s="5"/>
      <c r="L76" s="5"/>
      <c r="M76" s="5"/>
      <c r="N76" s="5"/>
      <c r="O76" s="5"/>
      <c r="P76" s="5"/>
      <c r="Q76" s="1327"/>
      <c r="R76" s="1327"/>
      <c r="S76" s="6"/>
      <c r="T76" s="6"/>
      <c r="U76" s="6"/>
      <c r="V76" s="6"/>
      <c r="W76" s="6"/>
      <c r="X76" s="6"/>
      <c r="Y76" s="6"/>
    </row>
    <row r="77" spans="1:26" s="1224" customFormat="1" ht="15" hidden="1" customHeight="1" outlineLevel="1">
      <c r="A77" s="404"/>
      <c r="B77" s="1222"/>
      <c r="C77" s="1223"/>
      <c r="D77" s="1630" t="s">
        <v>1347</v>
      </c>
      <c r="E77" s="1630"/>
      <c r="F77" s="1630"/>
      <c r="G77" s="1630"/>
      <c r="H77" s="1630"/>
      <c r="I77" s="1630"/>
      <c r="J77" s="1630"/>
      <c r="K77" s="1630"/>
      <c r="L77" s="1630"/>
      <c r="M77" s="1630"/>
      <c r="N77" s="1630"/>
      <c r="O77" s="1631"/>
      <c r="P77" s="1222"/>
      <c r="Q77" s="404"/>
      <c r="R77" s="404"/>
      <c r="S77" s="404"/>
      <c r="T77" s="404"/>
      <c r="U77" s="404"/>
      <c r="V77" s="404"/>
      <c r="W77" s="404"/>
      <c r="X77" s="404"/>
      <c r="Y77" s="404"/>
    </row>
    <row r="78" spans="1:26" s="1224" customFormat="1" ht="15" hidden="1" customHeight="1" outlineLevel="1">
      <c r="A78" s="404"/>
      <c r="B78" s="1222"/>
      <c r="C78" s="1335"/>
      <c r="D78" s="1632"/>
      <c r="E78" s="1632"/>
      <c r="F78" s="1632"/>
      <c r="G78" s="1632"/>
      <c r="H78" s="1632"/>
      <c r="I78" s="1632"/>
      <c r="J78" s="1632"/>
      <c r="K78" s="1632"/>
      <c r="L78" s="1632"/>
      <c r="M78" s="1632"/>
      <c r="N78" s="1632"/>
      <c r="O78" s="1633"/>
      <c r="P78" s="1222"/>
      <c r="Q78" s="404"/>
      <c r="R78" s="404"/>
      <c r="S78" s="404"/>
      <c r="T78" s="404"/>
      <c r="U78" s="404"/>
      <c r="V78" s="404"/>
      <c r="W78" s="404"/>
      <c r="X78" s="404"/>
      <c r="Y78" s="404"/>
    </row>
    <row r="79" spans="1:26" hidden="1" outlineLevel="1">
      <c r="A79" s="6"/>
      <c r="B79" s="5"/>
      <c r="C79" s="5"/>
      <c r="D79" s="1052"/>
      <c r="E79" s="5"/>
      <c r="F79" s="5"/>
      <c r="G79" s="1265"/>
      <c r="H79" s="1265"/>
      <c r="I79" s="1265"/>
      <c r="J79" s="1265"/>
      <c r="K79" s="1265"/>
      <c r="L79" s="1265"/>
      <c r="M79" s="1265"/>
      <c r="N79" s="5"/>
      <c r="O79" s="5"/>
      <c r="P79" s="5"/>
      <c r="Q79" s="1327"/>
      <c r="R79" s="1327"/>
      <c r="S79" s="6"/>
      <c r="T79" s="6"/>
      <c r="U79" s="6"/>
      <c r="V79" s="6"/>
      <c r="W79" s="6"/>
      <c r="X79" s="6"/>
      <c r="Y79" s="6"/>
    </row>
    <row r="80" spans="1:26" hidden="1" outlineLevel="1">
      <c r="A80" s="6"/>
      <c r="B80" s="5"/>
      <c r="C80" s="1641" t="s">
        <v>19</v>
      </c>
      <c r="D80" s="1642"/>
      <c r="E80" s="1642"/>
      <c r="F80" s="1643"/>
      <c r="G80" s="1543" t="s">
        <v>1259</v>
      </c>
      <c r="H80" s="1544"/>
      <c r="I80" s="1544"/>
      <c r="J80" s="1544"/>
      <c r="K80" s="1544"/>
      <c r="L80" s="1544"/>
      <c r="M80" s="1544"/>
      <c r="N80" s="1544"/>
      <c r="O80" s="1336"/>
      <c r="P80" s="5"/>
      <c r="Q80" s="1327"/>
      <c r="R80" s="1327"/>
      <c r="S80" s="6"/>
      <c r="T80" s="6"/>
      <c r="U80" s="6"/>
      <c r="V80" s="6"/>
      <c r="W80" s="6"/>
      <c r="X80" s="6"/>
      <c r="Y80" s="6"/>
    </row>
    <row r="81" spans="1:25" hidden="1" outlineLevel="1">
      <c r="A81" s="6"/>
      <c r="B81" s="5"/>
      <c r="C81" s="1647"/>
      <c r="D81" s="1648"/>
      <c r="E81" s="1648"/>
      <c r="F81" s="1649"/>
      <c r="G81" s="1680" t="s">
        <v>0</v>
      </c>
      <c r="H81" s="1681"/>
      <c r="I81" s="1680" t="s">
        <v>1</v>
      </c>
      <c r="J81" s="1681"/>
      <c r="K81" s="1680" t="s">
        <v>2</v>
      </c>
      <c r="L81" s="1681"/>
      <c r="M81" s="1680" t="s">
        <v>3</v>
      </c>
      <c r="N81" s="1681"/>
      <c r="O81" s="1336"/>
      <c r="P81" s="5"/>
      <c r="Q81" s="1327"/>
      <c r="R81" s="1327"/>
      <c r="S81" s="6"/>
      <c r="T81" s="6"/>
      <c r="U81" s="6"/>
      <c r="V81" s="6"/>
      <c r="W81" s="6"/>
      <c r="X81" s="6"/>
      <c r="Y81" s="6"/>
    </row>
    <row r="82" spans="1:25" hidden="1" outlineLevel="1">
      <c r="A82" s="6"/>
      <c r="B82" s="5"/>
      <c r="C82" s="1666" t="s">
        <v>14</v>
      </c>
      <c r="D82" s="1667"/>
      <c r="E82" s="1667"/>
      <c r="F82" s="1668"/>
      <c r="G82" s="1673">
        <f>IF(OR(G28&lt;2000,G36&lt;Hypothèses!$D$67),0,IF(OR(G65=1,G67=1),Subvention!$E$14,0))</f>
        <v>0</v>
      </c>
      <c r="H82" s="1673"/>
      <c r="I82" s="1673">
        <f>IF(OR(I28&lt;2000,I36&lt;Hypothèses!$D$67),0,IF(OR(I65=1,I67=1),Subvention!$E$14,0))</f>
        <v>0</v>
      </c>
      <c r="J82" s="1673"/>
      <c r="K82" s="1673">
        <f>IF(OR(K28&lt;2000,K36&lt;Hypothèses!$D$67),0,IF(OR(K65=1,K67=1),Subvention!$E$14,0))</f>
        <v>0</v>
      </c>
      <c r="L82" s="1673"/>
      <c r="M82" s="1673">
        <f>IF(OR(M28&lt;2000,M36&lt;Hypothèses!$D$67),0,IF(OR(M65=1,M67=1),Subvention!$E$14,0))</f>
        <v>0</v>
      </c>
      <c r="N82" s="1673"/>
      <c r="O82" s="1336"/>
      <c r="P82" s="5"/>
      <c r="Q82" s="6"/>
      <c r="R82" s="6"/>
      <c r="S82" s="6"/>
      <c r="T82" s="6"/>
      <c r="U82" s="6"/>
      <c r="V82" s="6"/>
      <c r="W82" s="6"/>
      <c r="X82" s="6"/>
      <c r="Y82" s="6"/>
    </row>
    <row r="83" spans="1:25" ht="8.25" hidden="1" customHeight="1" outlineLevel="1">
      <c r="A83" s="6"/>
      <c r="B83" s="5"/>
      <c r="C83" s="1669"/>
      <c r="D83" s="1670"/>
      <c r="E83" s="1670"/>
      <c r="F83" s="1671"/>
      <c r="G83" s="1672" t="str" cm="1">
        <f t="array" ref="G83">_xlfn.IFS(
    AND(G65=0,G67=0),"",
    OR(ISBLANK(G28)=TRUE,ISBLANK(G36)),"",
    AND(G28&lt;2000,G36&lt;Hypothèses!$D$67),"Note 1, Note 3",
    AND(G28&lt;2000,G36&gt;=Hypothèses!$D$67),"Note 1",
    AND(G28&lt;4000,G28&gt;=2000,G36&lt;Hypothèses!$D$67),"Note 2, Note 3",
    AND(G28&lt;4000,G28&gt;=2000,G36&gt;=Hypothèses!$D$67),"Note 2",
    AND(G28&gt;=4000,G36&lt;Hypothèses!$D$67),"Note 3",
    AND(G28&gt;=4000,G36&gt;=Hypothèses!$D$67),""
)</f>
        <v/>
      </c>
      <c r="H83" s="1672"/>
      <c r="I83" s="1672" t="str" cm="1">
        <f t="array" ref="I83">_xlfn.IFS(
    AND(I65=0,I67=0),"",
    OR(ISBLANK(I28)=TRUE,ISBLANK(I36)),"",
    AND(I28&lt;2000,I36&lt;Hypothèses!$D$67),"Note 1, Note 3",
    AND(I28&lt;2000,I36&gt;=Hypothèses!$D$67),"Note 1",
    AND(I28&lt;4000,I28&gt;=2000,I36&lt;Hypothèses!$D$67),"Note 2, Note 3",
    AND(I28&lt;4000,I28&gt;=2000,I36&gt;=Hypothèses!$D$67),"Note 2",
    AND(I28&gt;=4000,I36&lt;Hypothèses!$D$67),"Note 3",
    AND(I28&gt;=4000,I36&gt;=Hypothèses!$D$67),""
)</f>
        <v/>
      </c>
      <c r="J83" s="1672"/>
      <c r="K83" s="1672" t="str" cm="1">
        <f t="array" ref="K83">_xlfn.IFS(
    AND(K65=0,K67=0),"",
    OR(ISBLANK(K28)=TRUE,ISBLANK(K36)),"",
    AND(K28&lt;2000,K36&lt;Hypothèses!$D$67),"Note 1, Note 3",
    AND(K28&lt;2000,K36&gt;=Hypothèses!$D$67),"Note 1",
    AND(K28&lt;4000,K28&gt;=2000,K36&lt;Hypothèses!$D$67),"Note 2, Note 3",
    AND(K28&lt;4000,K28&gt;=2000,K36&gt;=Hypothèses!$D$67),"Note 2",
    AND(K28&gt;=4000,K36&lt;Hypothèses!$D$67),"Note 3",
    AND(K28&gt;=4000,K36&gt;=Hypothèses!$D$67),""
)</f>
        <v/>
      </c>
      <c r="L83" s="1672"/>
      <c r="M83" s="1672" t="str" cm="1">
        <f t="array" ref="M83">_xlfn.IFS(
    AND(M65=0,M67=0),"",
    OR(ISBLANK(M28)=TRUE,ISBLANK(M36)),"",
    AND(M28&lt;2000,M36&lt;Hypothèses!$D$67),"Note 1, Note 3",
    AND(M28&lt;2000,M36&gt;=Hypothèses!$D$67),"Note 1",
    AND(M28&lt;4000,M28&gt;=2000,M36&lt;Hypothèses!$D$67),"Note 2, Note 3",
    AND(M28&lt;4000,M28&gt;=2000,M36&gt;=Hypothèses!$D$67),"Note 2",
    AND(M28&gt;=4000,M36&lt;Hypothèses!$D$67),"Note 3",
    AND(M28&gt;=4000,M36&gt;=Hypothèses!$D$67),""
)</f>
        <v/>
      </c>
      <c r="N83" s="1672"/>
      <c r="O83" s="1336"/>
      <c r="P83" s="5"/>
      <c r="Q83" s="6"/>
      <c r="R83" s="6"/>
      <c r="S83" s="6"/>
      <c r="T83" s="6"/>
      <c r="U83" s="6"/>
      <c r="V83" s="6"/>
      <c r="W83" s="6"/>
      <c r="X83" s="6"/>
      <c r="Y83" s="6"/>
    </row>
    <row r="84" spans="1:25" ht="15" hidden="1" customHeight="1" outlineLevel="1">
      <c r="A84" s="6"/>
      <c r="B84" s="5"/>
      <c r="C84" s="1667" t="s">
        <v>21</v>
      </c>
      <c r="D84" s="1667"/>
      <c r="E84" s="1667"/>
      <c r="F84" s="1668"/>
      <c r="G84" s="1673">
        <f>IF(OR(G28&lt;2000,G36&lt;Hypothèses!$D$67),0,IF(OR(G66=1,G67=1),Subvention!$E$17,0))</f>
        <v>0</v>
      </c>
      <c r="H84" s="1673"/>
      <c r="I84" s="1673">
        <f>IF(OR(I28&lt;2000,I36&lt;Hypothèses!$D$67),0,IF(OR(I66=1,I67=1),Subvention!$E$17,0))</f>
        <v>0</v>
      </c>
      <c r="J84" s="1673"/>
      <c r="K84" s="1673">
        <f>IF(OR(K28&lt;2000,K36&lt;Hypothèses!$D$67),0,IF(OR(K66=1,K67=1),Subvention!$E$17,0))</f>
        <v>0</v>
      </c>
      <c r="L84" s="1673"/>
      <c r="M84" s="1673">
        <f>IF(OR(M28&lt;2000,M36&lt;Hypothèses!$D$67),0,IF(OR(M66=1,M67=1),Subvention!$E$17,0))</f>
        <v>0</v>
      </c>
      <c r="N84" s="1673"/>
      <c r="O84" s="1336"/>
      <c r="P84" s="5"/>
      <c r="Q84" s="6"/>
      <c r="R84" s="425"/>
      <c r="S84" s="6"/>
      <c r="T84" s="6"/>
      <c r="U84" s="6"/>
      <c r="V84" s="6"/>
      <c r="W84" s="6"/>
      <c r="X84" s="6"/>
      <c r="Y84" s="6"/>
    </row>
    <row r="85" spans="1:25" ht="8.25" hidden="1" customHeight="1" outlineLevel="1">
      <c r="A85" s="6"/>
      <c r="B85" s="5"/>
      <c r="C85" s="1684"/>
      <c r="D85" s="1684"/>
      <c r="E85" s="1684"/>
      <c r="F85" s="1685"/>
      <c r="G85" s="1672" t="str" cm="1">
        <f t="array" ref="G85">_xlfn.IFS(
    AND(G66=0,G67=0),"",
    OR(ISBLANK(G28)=TRUE,ISBLANK(G36)),"",
    AND(G28&lt;2000,G36&lt;Hypothèses!$D$67),"Note 1, Note 3",
    AND(G28&lt;2000,G36&gt;=Hypothèses!$D$67),"Note 1",
    AND(G28&lt;4000,G28&gt;=2000,G36&lt;Hypothèses!$D$67),"Note 2, Note 3",
    AND(G28&lt;4000,G28&gt;=2000,G36&gt;=Hypothèses!$D$67),"Note 2",
    AND(G28&gt;=4000,G36&lt;Hypothèses!$D$67),"Note 3",
    AND(G28&gt;=4000,G36&gt;=Hypothèses!$D$67),""
)</f>
        <v/>
      </c>
      <c r="H85" s="1672"/>
      <c r="I85" s="1672" t="str" cm="1">
        <f t="array" ref="I85">_xlfn.IFS(
    AND(I66=0,I67=0),"",
    OR(ISBLANK(I28)=TRUE,ISBLANK(I36)),"",
    AND(I28&lt;2000,I36&lt;Hypothèses!$D$67),"Note 1, Note 3",
    AND(I28&lt;2000,I36&gt;=Hypothèses!$D$67),"Note 1",
    AND(I28&lt;4000,I28&gt;=2000,I36&lt;Hypothèses!$D$67),"Note 2, Note 3",
    AND(I28&lt;4000,I28&gt;=2000,I36&gt;=Hypothèses!$D$67),"Note 2",
    AND(I28&gt;=4000,I36&lt;Hypothèses!$D$67),"Note 3",
    AND(I28&gt;=4000,I36&gt;=Hypothèses!$D$67),""
)</f>
        <v/>
      </c>
      <c r="J85" s="1672"/>
      <c r="K85" s="1672" t="str" cm="1">
        <f t="array" ref="K85">_xlfn.IFS(
    AND(K66=0,K67=0),"",
    OR(ISBLANK(K28)=TRUE,ISBLANK(K36)),"",
    AND(K28&lt;2000,K36&lt;Hypothèses!$D$67),"Note 1, Note 3",
    AND(K28&lt;2000,K36&gt;=Hypothèses!$D$67),"Note 1",
    AND(K28&lt;4000,K28&gt;=2000,K36&lt;Hypothèses!$D$67),"Note 2, Note 3",
    AND(K28&lt;4000,K28&gt;=2000,K36&gt;=Hypothèses!$D$67),"Note 2",
    AND(K28&gt;=4000,K36&lt;Hypothèses!$D$67),"Note 3",
    AND(K28&gt;=4000,K36&gt;=Hypothèses!$D$67),""
)</f>
        <v/>
      </c>
      <c r="L85" s="1672"/>
      <c r="M85" s="1672" t="str" cm="1">
        <f t="array" ref="M85">_xlfn.IFS(
    AND(M66=0,M67=0),"",
    OR(ISBLANK(M28)=TRUE,ISBLANK(M36)),"",
    AND(M28&lt;2000,M36&lt;Hypothèses!$D$67),"Note 1, Note 3",
    AND(M28&lt;2000,M36&gt;=Hypothèses!$D$67),"Note 1",
    AND(M28&lt;4000,M28&gt;=2000,M36&lt;Hypothèses!$D$67),"Note 2, Note 3",
    AND(M28&lt;4000,M28&gt;=2000,M36&gt;=Hypothèses!$D$67),"Note 2",
    AND(M28&gt;=4000,M36&lt;Hypothèses!$D$67),"Note 3",
    AND(M28&gt;=4000,M36&gt;=Hypothèses!$D$67),""
)</f>
        <v/>
      </c>
      <c r="N85" s="1672"/>
      <c r="O85" s="1336"/>
      <c r="P85" s="5"/>
      <c r="Q85" s="6"/>
      <c r="R85" s="6"/>
      <c r="S85" s="6"/>
      <c r="T85" s="6"/>
      <c r="U85" s="6"/>
      <c r="V85" s="6"/>
      <c r="W85" s="6"/>
      <c r="X85" s="6"/>
      <c r="Y85" s="6"/>
    </row>
    <row r="86" spans="1:25" hidden="1" outlineLevel="1">
      <c r="A86" s="6"/>
      <c r="B86" s="5"/>
      <c r="C86" s="1293"/>
      <c r="D86" s="1674" t="s">
        <v>1261</v>
      </c>
      <c r="E86" s="1674"/>
      <c r="F86" s="1338"/>
      <c r="G86" s="1675">
        <f>SUM(G82:H84)</f>
        <v>0</v>
      </c>
      <c r="H86" s="1675"/>
      <c r="I86" s="1675">
        <f>SUM(I82:J84)</f>
        <v>0</v>
      </c>
      <c r="J86" s="1675"/>
      <c r="K86" s="1675">
        <f>SUM(K82:L84)</f>
        <v>0</v>
      </c>
      <c r="L86" s="1675"/>
      <c r="M86" s="1675">
        <f>SUM(M82:N84)</f>
        <v>0</v>
      </c>
      <c r="N86" s="1675"/>
      <c r="O86" s="1249"/>
      <c r="P86" s="5"/>
      <c r="Q86" s="6"/>
      <c r="R86" s="6"/>
      <c r="S86" s="6"/>
      <c r="T86" s="6"/>
      <c r="U86" s="6"/>
      <c r="V86" s="6"/>
      <c r="W86" s="6"/>
      <c r="X86" s="6"/>
      <c r="Y86" s="6"/>
    </row>
    <row r="87" spans="1:25" ht="6.75" hidden="1" customHeight="1" outlineLevel="1">
      <c r="A87" s="6"/>
      <c r="B87" s="5"/>
      <c r="C87" s="1293"/>
      <c r="D87" s="1337"/>
      <c r="E87" s="1337"/>
      <c r="F87" s="1338"/>
      <c r="G87" s="1340"/>
      <c r="H87" s="1340"/>
      <c r="I87" s="1340"/>
      <c r="J87" s="1340"/>
      <c r="K87" s="1340"/>
      <c r="L87" s="1340"/>
      <c r="M87" s="1340"/>
      <c r="N87" s="1340"/>
      <c r="O87" s="1341"/>
      <c r="P87" s="5"/>
      <c r="Q87" s="6"/>
      <c r="R87" s="6"/>
      <c r="S87" s="6"/>
      <c r="T87" s="6"/>
      <c r="U87" s="6"/>
      <c r="V87" s="6"/>
      <c r="W87" s="6"/>
      <c r="X87" s="6"/>
      <c r="Y87" s="6"/>
    </row>
    <row r="88" spans="1:25" hidden="1" outlineLevel="1">
      <c r="A88" s="6"/>
      <c r="B88" s="5"/>
      <c r="C88" s="1293"/>
      <c r="D88" s="1674" t="s">
        <v>1262</v>
      </c>
      <c r="E88" s="1674"/>
      <c r="F88" s="1338"/>
      <c r="G88" s="1675">
        <f>SUM(G86:M86)</f>
        <v>0</v>
      </c>
      <c r="H88" s="1675"/>
      <c r="I88" s="1340"/>
      <c r="J88" s="1340"/>
      <c r="K88" s="1340"/>
      <c r="L88" s="1340"/>
      <c r="M88" s="1340"/>
      <c r="N88" s="1340"/>
      <c r="O88" s="1341"/>
      <c r="P88" s="5"/>
      <c r="Q88" s="6"/>
      <c r="R88" s="6"/>
      <c r="S88" s="6"/>
      <c r="T88" s="6"/>
      <c r="U88" s="6"/>
      <c r="V88" s="6"/>
      <c r="W88" s="6"/>
      <c r="X88" s="6"/>
      <c r="Y88" s="6"/>
    </row>
    <row r="89" spans="1:25" ht="18" hidden="1" customHeight="1" outlineLevel="1">
      <c r="A89" s="6"/>
      <c r="B89" s="5"/>
      <c r="C89" s="1293"/>
      <c r="D89" s="1337"/>
      <c r="E89" s="1337" t="s">
        <v>1688</v>
      </c>
      <c r="F89" s="1411"/>
      <c r="G89" s="1675" t="str" cm="1">
        <f t="array" ref="G89">_xlfn.IFS(ISBLANK(G28),"",G28&lt;2000,"Non",AND(G28&gt;=2000,G28&lt;4000),"Sous réserve",G28&gt;=4000,"Oui")</f>
        <v/>
      </c>
      <c r="H89" s="1675"/>
      <c r="I89" s="1675" t="str" cm="1">
        <f t="array" ref="I89">_xlfn.IFS(ISBLANK(I28),"",I28&lt;2000,"Non",AND(I28&gt;=2000,I28&lt;4000),"Sous réserve",I28&gt;=4000,"Oui")</f>
        <v/>
      </c>
      <c r="J89" s="1675"/>
      <c r="K89" s="1675" t="str" cm="1">
        <f t="array" ref="K89">_xlfn.IFS(ISBLANK(K28),"",K28&lt;2000,"Non",AND(K28&gt;=2000,K28&lt;4000),"Sous réserve",K28&gt;=4000,"Oui")</f>
        <v/>
      </c>
      <c r="L89" s="1675"/>
      <c r="M89" s="1675" t="str" cm="1">
        <f t="array" ref="M89">_xlfn.IFS(ISBLANK(M28),"",M28&lt;2000,"Non",AND(M28&gt;=2000,M28&lt;4000),"Sous réserve",M28&gt;=4000,"Oui")</f>
        <v/>
      </c>
      <c r="N89" s="1675"/>
      <c r="O89" s="1341"/>
      <c r="P89" s="5"/>
      <c r="Q89" s="6"/>
      <c r="R89" s="6"/>
      <c r="S89" s="6"/>
      <c r="T89" s="6"/>
      <c r="U89" s="6"/>
      <c r="V89" s="6"/>
      <c r="W89" s="6"/>
      <c r="X89" s="6"/>
      <c r="Y89" s="6"/>
    </row>
    <row r="90" spans="1:25" ht="14.55" hidden="1" customHeight="1" outlineLevel="1">
      <c r="A90" s="6"/>
      <c r="B90" s="5"/>
      <c r="C90" s="1293"/>
      <c r="D90" s="1337"/>
      <c r="E90" s="1337"/>
      <c r="F90" s="1338"/>
      <c r="G90" s="1339"/>
      <c r="H90" s="1339"/>
      <c r="I90" s="1340"/>
      <c r="J90" s="1340"/>
      <c r="K90" s="1340"/>
      <c r="L90" s="1340"/>
      <c r="M90" s="1340"/>
      <c r="N90" s="1340"/>
      <c r="O90" s="1341"/>
      <c r="P90" s="5"/>
      <c r="Q90" s="6"/>
      <c r="R90" s="6"/>
      <c r="S90" s="6"/>
      <c r="T90" s="6"/>
      <c r="U90" s="6"/>
      <c r="V90" s="6"/>
      <c r="W90" s="6"/>
      <c r="X90" s="6"/>
      <c r="Y90" s="6"/>
    </row>
    <row r="91" spans="1:25" ht="14.55" hidden="1" customHeight="1" outlineLevel="1">
      <c r="A91" s="6"/>
      <c r="B91" s="5"/>
      <c r="C91" s="1293"/>
      <c r="D91" s="1342" t="s">
        <v>1194</v>
      </c>
      <c r="E91" s="1337"/>
      <c r="F91" s="1338"/>
      <c r="G91" s="1339"/>
      <c r="H91" s="1339"/>
      <c r="I91" s="1340"/>
      <c r="J91" s="1340"/>
      <c r="K91" s="1340"/>
      <c r="L91" s="1340"/>
      <c r="M91" s="1340"/>
      <c r="N91" s="1340"/>
      <c r="O91" s="1341"/>
      <c r="P91" s="5"/>
      <c r="Q91" s="6"/>
      <c r="R91" s="6"/>
      <c r="S91" s="6"/>
      <c r="T91" s="6"/>
      <c r="U91" s="6"/>
      <c r="V91" s="6"/>
      <c r="W91" s="6"/>
      <c r="X91" s="6"/>
      <c r="Y91" s="6"/>
    </row>
    <row r="92" spans="1:25" hidden="1" outlineLevel="1">
      <c r="A92" s="6"/>
      <c r="B92" s="5"/>
      <c r="C92" s="1293"/>
      <c r="D92" s="1342" t="s">
        <v>1714</v>
      </c>
      <c r="E92" s="1293"/>
      <c r="F92" s="1338"/>
      <c r="G92" s="1339"/>
      <c r="H92" s="1339"/>
      <c r="I92" s="1340"/>
      <c r="J92" s="1340"/>
      <c r="K92" s="1340"/>
      <c r="L92" s="1340"/>
      <c r="M92" s="1340"/>
      <c r="N92" s="1340"/>
      <c r="O92" s="1341"/>
      <c r="P92" s="5"/>
      <c r="Q92" s="6"/>
      <c r="R92" s="6"/>
      <c r="S92" s="6"/>
      <c r="T92" s="6"/>
      <c r="U92" s="6"/>
      <c r="V92" s="6"/>
      <c r="W92" s="6"/>
      <c r="X92" s="6"/>
      <c r="Y92" s="6"/>
    </row>
    <row r="93" spans="1:25" hidden="1" outlineLevel="1">
      <c r="A93" s="6"/>
      <c r="B93" s="5"/>
      <c r="C93" s="1293"/>
      <c r="D93" s="1342" t="s">
        <v>1715</v>
      </c>
      <c r="E93" s="1337"/>
      <c r="F93" s="1338"/>
      <c r="G93" s="1339"/>
      <c r="H93" s="1339"/>
      <c r="I93" s="1340"/>
      <c r="J93" s="1340"/>
      <c r="K93" s="1340"/>
      <c r="L93" s="1340"/>
      <c r="M93" s="1340"/>
      <c r="N93" s="1340"/>
      <c r="O93" s="1341"/>
      <c r="P93" s="5"/>
      <c r="Q93" s="6"/>
      <c r="R93" s="6"/>
      <c r="S93" s="6"/>
      <c r="T93" s="6"/>
      <c r="U93" s="6"/>
      <c r="V93" s="6"/>
      <c r="W93" s="6"/>
      <c r="X93" s="6"/>
      <c r="Y93" s="6"/>
    </row>
    <row r="94" spans="1:25" hidden="1" outlineLevel="1">
      <c r="A94" s="6"/>
      <c r="B94" s="5"/>
      <c r="C94" s="1293"/>
      <c r="D94" s="1342" t="s">
        <v>1716</v>
      </c>
      <c r="E94" s="1337"/>
      <c r="F94" s="1338"/>
      <c r="G94" s="1339"/>
      <c r="H94" s="1339"/>
      <c r="I94" s="1340"/>
      <c r="J94" s="1340"/>
      <c r="K94" s="1340"/>
      <c r="L94" s="1340"/>
      <c r="M94" s="1340"/>
      <c r="N94" s="1340"/>
      <c r="O94" s="1341"/>
      <c r="P94" s="5"/>
      <c r="Q94" s="6"/>
      <c r="R94" s="6"/>
      <c r="S94" s="6"/>
      <c r="T94" s="6"/>
      <c r="U94" s="6"/>
      <c r="V94" s="6"/>
      <c r="W94" s="6"/>
      <c r="X94" s="6"/>
      <c r="Y94" s="6"/>
    </row>
    <row r="95" spans="1:25" ht="6.75" hidden="1" customHeight="1" outlineLevel="1">
      <c r="A95" s="6"/>
      <c r="B95" s="5"/>
      <c r="C95" s="1343"/>
      <c r="D95" s="1337"/>
      <c r="E95" s="1337"/>
      <c r="F95" s="1337"/>
      <c r="G95" s="1340"/>
      <c r="H95" s="1340"/>
      <c r="I95" s="1340"/>
      <c r="J95" s="1340"/>
      <c r="K95" s="1340"/>
      <c r="L95" s="1340"/>
      <c r="M95" s="1340"/>
      <c r="N95" s="1344"/>
      <c r="O95" s="1249"/>
      <c r="P95" s="5"/>
      <c r="Q95" s="6"/>
      <c r="R95" s="6"/>
      <c r="S95" s="6"/>
      <c r="T95" s="6"/>
      <c r="U95" s="6"/>
      <c r="V95" s="6"/>
      <c r="W95" s="6"/>
      <c r="X95" s="6"/>
      <c r="Y95" s="6"/>
    </row>
    <row r="96" spans="1:25" hidden="1" outlineLevel="1">
      <c r="A96" s="6"/>
      <c r="B96" s="5"/>
      <c r="C96" s="5"/>
      <c r="D96" s="5"/>
      <c r="E96" s="5"/>
      <c r="F96" s="5"/>
      <c r="G96" s="5"/>
      <c r="H96" s="5"/>
      <c r="I96" s="5"/>
      <c r="J96" s="5"/>
      <c r="K96" s="5"/>
      <c r="L96" s="5"/>
      <c r="M96" s="5"/>
      <c r="N96" s="5"/>
      <c r="O96" s="5"/>
      <c r="P96" s="5"/>
      <c r="Q96" s="6"/>
      <c r="R96" s="6"/>
      <c r="S96" s="6"/>
      <c r="T96" s="6"/>
      <c r="U96" s="6"/>
      <c r="V96" s="6"/>
      <c r="W96" s="6"/>
      <c r="X96" s="6"/>
      <c r="Y96" s="6"/>
    </row>
    <row r="97" spans="1:25" collapsed="1">
      <c r="A97" s="6"/>
      <c r="B97" s="6"/>
      <c r="C97" s="6"/>
      <c r="D97" s="457"/>
      <c r="E97" s="457"/>
      <c r="F97" s="457"/>
      <c r="G97" s="6"/>
      <c r="H97" s="6"/>
      <c r="I97" s="6"/>
      <c r="J97" s="6"/>
      <c r="K97" s="6"/>
      <c r="L97" s="6"/>
      <c r="M97" s="6"/>
      <c r="N97" s="6"/>
      <c r="O97" s="411"/>
      <c r="P97" s="6"/>
      <c r="Q97" s="6"/>
      <c r="R97" s="6"/>
      <c r="S97" s="6"/>
      <c r="T97" s="6"/>
      <c r="U97" s="6"/>
      <c r="V97" s="6"/>
      <c r="W97" s="6"/>
      <c r="X97" s="6"/>
      <c r="Y97" s="6"/>
    </row>
    <row r="98" spans="1:25">
      <c r="A98" s="6"/>
      <c r="B98" s="1221"/>
      <c r="C98" s="1261"/>
      <c r="D98" s="1191" t="s">
        <v>1671</v>
      </c>
      <c r="E98" s="1192"/>
      <c r="F98" s="1192"/>
      <c r="G98" s="1192"/>
      <c r="H98" s="1192"/>
      <c r="I98" s="1192"/>
      <c r="J98" s="1192"/>
      <c r="K98" s="1193"/>
      <c r="L98" s="1193"/>
      <c r="M98" s="1193"/>
      <c r="N98" s="1193"/>
      <c r="O98" s="1194"/>
      <c r="P98" s="1034"/>
      <c r="Q98" s="6"/>
      <c r="R98" s="6"/>
      <c r="S98" s="6"/>
      <c r="T98" s="6"/>
      <c r="U98" s="6"/>
      <c r="V98" s="6"/>
      <c r="W98" s="6"/>
      <c r="X98" s="6"/>
      <c r="Y98" s="6"/>
    </row>
    <row r="99" spans="1:25" ht="7.5" customHeight="1">
      <c r="A99" s="6"/>
      <c r="B99" s="1195"/>
      <c r="C99" s="1316"/>
      <c r="D99" s="1196"/>
      <c r="E99" s="1197"/>
      <c r="F99" s="1197"/>
      <c r="G99" s="1197"/>
      <c r="H99" s="1197"/>
      <c r="I99" s="1197"/>
      <c r="J99" s="1197"/>
      <c r="K99" s="1198"/>
      <c r="L99" s="1198"/>
      <c r="M99" s="1198"/>
      <c r="N99" s="1198"/>
      <c r="O99" s="1199"/>
      <c r="P99" s="1200"/>
      <c r="Q99" s="6"/>
      <c r="R99" s="6"/>
      <c r="S99" s="6"/>
      <c r="T99" s="6"/>
      <c r="U99" s="6"/>
      <c r="V99" s="6"/>
      <c r="W99" s="6"/>
      <c r="X99" s="6"/>
      <c r="Y99" s="6"/>
    </row>
    <row r="100" spans="1:25" s="1224" customFormat="1" ht="15" customHeight="1">
      <c r="A100" s="404"/>
      <c r="B100" s="1222"/>
      <c r="C100" s="1223"/>
      <c r="D100" s="1630" t="s">
        <v>1560</v>
      </c>
      <c r="E100" s="1630"/>
      <c r="F100" s="1630"/>
      <c r="G100" s="1630"/>
      <c r="H100" s="1630"/>
      <c r="I100" s="1630"/>
      <c r="J100" s="1630"/>
      <c r="K100" s="1630"/>
      <c r="L100" s="1630"/>
      <c r="M100" s="1630"/>
      <c r="N100" s="1630"/>
      <c r="O100" s="1631"/>
      <c r="P100" s="1222"/>
      <c r="Q100" s="404"/>
      <c r="R100" s="404"/>
      <c r="S100" s="404"/>
      <c r="T100" s="404"/>
      <c r="U100" s="404"/>
      <c r="V100" s="404"/>
      <c r="W100" s="404"/>
      <c r="X100" s="404"/>
      <c r="Y100" s="404"/>
    </row>
    <row r="101" spans="1:25" s="1224" customFormat="1" ht="15" customHeight="1">
      <c r="A101" s="404"/>
      <c r="B101" s="1222"/>
      <c r="C101" s="1335"/>
      <c r="D101" s="1632"/>
      <c r="E101" s="1632"/>
      <c r="F101" s="1632"/>
      <c r="G101" s="1632"/>
      <c r="H101" s="1632"/>
      <c r="I101" s="1632"/>
      <c r="J101" s="1632"/>
      <c r="K101" s="1632"/>
      <c r="L101" s="1632"/>
      <c r="M101" s="1632"/>
      <c r="N101" s="1632"/>
      <c r="O101" s="1633"/>
      <c r="P101" s="1222"/>
      <c r="Q101" s="404"/>
      <c r="R101" s="404"/>
      <c r="S101" s="404"/>
      <c r="T101" s="404"/>
      <c r="U101" s="404"/>
      <c r="V101" s="404"/>
      <c r="W101" s="404"/>
      <c r="X101" s="404"/>
      <c r="Y101" s="404"/>
    </row>
    <row r="102" spans="1:25" s="1224" customFormat="1" ht="15" customHeight="1">
      <c r="A102" s="404"/>
      <c r="B102" s="1222"/>
      <c r="C102" s="1222"/>
      <c r="D102" s="1222"/>
      <c r="E102" s="1222"/>
      <c r="F102" s="1222"/>
      <c r="G102" s="1222"/>
      <c r="H102" s="1222"/>
      <c r="I102" s="1222"/>
      <c r="J102" s="1222"/>
      <c r="K102" s="1222"/>
      <c r="L102" s="1222"/>
      <c r="M102" s="1222"/>
      <c r="N102" s="1222"/>
      <c r="O102" s="1222"/>
      <c r="P102" s="1222"/>
      <c r="Q102" s="404"/>
      <c r="R102" s="404"/>
      <c r="S102" s="404"/>
      <c r="T102" s="404"/>
      <c r="U102" s="404"/>
      <c r="V102" s="404"/>
      <c r="W102" s="404"/>
      <c r="X102" s="404"/>
      <c r="Y102" s="404"/>
    </row>
    <row r="103" spans="1:25" s="1224" customFormat="1" ht="15" customHeight="1">
      <c r="A103" s="404"/>
      <c r="B103" s="1222"/>
      <c r="C103" s="1345" t="s">
        <v>1584</v>
      </c>
      <c r="D103" s="1346"/>
      <c r="E103" s="1222"/>
      <c r="F103" s="1222"/>
      <c r="G103" s="1222"/>
      <c r="H103" s="1222"/>
      <c r="I103" s="1687">
        <f>IF('P opération brûleur - avant MEE'!C7=0,0,'3c. Calculator EEM 2-3'!G28*'P opération brûleur - avant MEE'!D48+'3c. Calculator EEM 2-3'!I28*'P opération brûleur - avant MEE'!E48+'3c. Calculator EEM 2-3'!K28*'P opération brûleur - avant MEE'!F48+'3c. Calculator EEM 2-3'!M28*'P opération brûleur - avant MEE'!G48)</f>
        <v>0</v>
      </c>
      <c r="J103" s="1688"/>
      <c r="K103" s="1688"/>
      <c r="L103" s="1688"/>
      <c r="M103" s="1689"/>
      <c r="N103" s="1062"/>
      <c r="O103" s="160" t="s">
        <v>1585</v>
      </c>
      <c r="P103" s="1222"/>
      <c r="Q103" s="404"/>
      <c r="R103" s="404"/>
      <c r="S103" s="404"/>
      <c r="T103" s="404"/>
      <c r="U103" s="404"/>
      <c r="V103" s="404"/>
      <c r="W103" s="404"/>
      <c r="X103" s="404"/>
      <c r="Y103" s="404"/>
    </row>
    <row r="104" spans="1:25">
      <c r="A104" s="6"/>
      <c r="B104" s="1195"/>
      <c r="C104" s="1347"/>
      <c r="D104" s="1348"/>
      <c r="E104" s="1198"/>
      <c r="F104" s="1198"/>
      <c r="G104" s="1197"/>
      <c r="H104" s="1197"/>
      <c r="I104" s="1197"/>
      <c r="J104" s="1197"/>
      <c r="K104" s="1198"/>
      <c r="L104" s="1198"/>
      <c r="M104" s="1198"/>
      <c r="N104" s="1198"/>
      <c r="O104" s="1199"/>
      <c r="P104" s="1200"/>
      <c r="Q104" s="6"/>
      <c r="R104" s="6"/>
      <c r="S104" s="6"/>
      <c r="T104" s="6"/>
      <c r="U104" s="6"/>
      <c r="V104" s="6"/>
      <c r="W104" s="6"/>
      <c r="X104" s="6"/>
      <c r="Y104" s="6"/>
    </row>
    <row r="105" spans="1:25" ht="15.6">
      <c r="A105" s="6"/>
      <c r="B105" s="5"/>
      <c r="C105" s="1651" t="s">
        <v>1586</v>
      </c>
      <c r="D105" s="1651"/>
      <c r="E105" s="1651"/>
      <c r="F105" s="1660"/>
      <c r="G105" s="1634" t="s">
        <v>1591</v>
      </c>
      <c r="H105" s="1634"/>
      <c r="I105" s="1634"/>
      <c r="J105" s="1634"/>
      <c r="K105" s="1634"/>
      <c r="L105" s="1634"/>
      <c r="M105" s="1634"/>
      <c r="N105" s="1634"/>
      <c r="O105" s="1634"/>
      <c r="P105" s="1228"/>
      <c r="Q105" s="6"/>
      <c r="R105" s="6"/>
      <c r="S105" s="6"/>
      <c r="T105" s="6"/>
      <c r="U105" s="6"/>
      <c r="V105" s="6"/>
      <c r="W105" s="6"/>
      <c r="X105" s="6"/>
      <c r="Y105" s="6"/>
    </row>
    <row r="106" spans="1:25" ht="15" thickBot="1">
      <c r="A106" s="6"/>
      <c r="B106" s="5"/>
      <c r="C106" s="1652"/>
      <c r="D106" s="1652"/>
      <c r="E106" s="1652"/>
      <c r="F106" s="1662"/>
      <c r="G106" s="1686" t="s">
        <v>1465</v>
      </c>
      <c r="H106" s="1686"/>
      <c r="I106" s="1686" t="s">
        <v>1466</v>
      </c>
      <c r="J106" s="1686"/>
      <c r="K106" s="1686" t="s">
        <v>1467</v>
      </c>
      <c r="L106" s="1686"/>
      <c r="M106" s="1656" t="s">
        <v>1468</v>
      </c>
      <c r="N106" s="1658"/>
      <c r="O106" s="1328" t="s">
        <v>1264</v>
      </c>
      <c r="P106" s="1228"/>
      <c r="Q106" s="425"/>
      <c r="R106" s="425"/>
      <c r="S106" s="425"/>
      <c r="T106" s="425"/>
      <c r="U106" s="425"/>
      <c r="V106" s="425"/>
      <c r="W106" s="6"/>
      <c r="X106" s="6"/>
      <c r="Y106" s="6"/>
    </row>
    <row r="107" spans="1:25">
      <c r="A107" s="6"/>
      <c r="B107" s="5"/>
      <c r="C107" s="1625" t="s">
        <v>1460</v>
      </c>
      <c r="D107" s="1626"/>
      <c r="E107" s="1626"/>
      <c r="F107" s="1626"/>
      <c r="G107" s="1708" t="str">
        <f>IF(G71=0,"-",IF('P opération brûleur - éco'!D66*3600*G28/'Facteurs conversion'!$C$8/10^3=0,"-",'P opération brûleur - éco'!D66*3600*G28/'Facteurs conversion'!$C$8/10^3))</f>
        <v>-</v>
      </c>
      <c r="H107" s="1690"/>
      <c r="I107" s="1690" t="str">
        <f>IF(I71=0,"-",IF('P opération brûleur - éco'!E66*3600*I28/'Facteurs conversion'!$C$8/10^3=0,"-",'P opération brûleur - éco'!E66*3600*I28/'Facteurs conversion'!$C$8/10^3))</f>
        <v>-</v>
      </c>
      <c r="J107" s="1690"/>
      <c r="K107" s="1690" t="str">
        <f>IF(K71=0,"-",IF('P opération brûleur - éco'!F66*3600*K28/'Facteurs conversion'!$C$8/10^3=0,"-",'P opération brûleur - éco'!F66*3600*K28/'Facteurs conversion'!$C$8/10^3))</f>
        <v>-</v>
      </c>
      <c r="L107" s="1690"/>
      <c r="M107" s="1690" t="str">
        <f>IF(M71=0,"-",IF('P opération brûleur - éco'!G66*3600*M28/'Facteurs conversion'!$C$8/10^3=0,"-",'P opération brûleur - éco'!G66*3600*M28/'Facteurs conversion'!$C$8/10^3))</f>
        <v>-</v>
      </c>
      <c r="N107" s="1719"/>
      <c r="O107" s="1446">
        <f>SUM(G107:N107)</f>
        <v>0</v>
      </c>
      <c r="P107" s="5"/>
      <c r="Q107" s="425"/>
      <c r="R107" s="6"/>
      <c r="S107" s="6"/>
      <c r="T107" s="6"/>
      <c r="U107" s="6"/>
      <c r="V107" s="6"/>
      <c r="W107" s="6"/>
      <c r="X107" s="6"/>
      <c r="Y107" s="6"/>
    </row>
    <row r="108" spans="1:25">
      <c r="A108" s="6"/>
      <c r="B108" s="5"/>
      <c r="C108" s="1715" t="s">
        <v>1587</v>
      </c>
      <c r="D108" s="1716"/>
      <c r="E108" s="1716"/>
      <c r="F108" s="1716"/>
      <c r="G108" s="1712" t="str">
        <f>IF(OR(G65=1,G67=1),'Micromodulation et sonde O2'!D89,"-")</f>
        <v>-</v>
      </c>
      <c r="H108" s="1695"/>
      <c r="I108" s="1695" t="str">
        <f>IF(OR(I65=1,I67=1),'Micromodulation et sonde O2'!E89,"-")</f>
        <v>-</v>
      </c>
      <c r="J108" s="1695"/>
      <c r="K108" s="1695" t="str">
        <f>IF(OR(K65=1,K67=1),'Micromodulation et sonde O2'!F89,"-")</f>
        <v>-</v>
      </c>
      <c r="L108" s="1695"/>
      <c r="M108" s="1695" t="str">
        <f>IF(OR(M65=1,M67=1),'Micromodulation et sonde O2'!G89,"-")</f>
        <v>-</v>
      </c>
      <c r="N108" s="1720"/>
      <c r="O108" s="1676"/>
      <c r="P108" s="5"/>
      <c r="Q108" s="6"/>
      <c r="R108" s="6"/>
      <c r="S108" s="6"/>
      <c r="T108" s="6"/>
      <c r="U108" s="6"/>
      <c r="V108" s="6"/>
      <c r="W108" s="6"/>
      <c r="X108" s="6"/>
      <c r="Y108" s="6"/>
    </row>
    <row r="109" spans="1:25">
      <c r="A109" s="6"/>
      <c r="B109" s="5"/>
      <c r="C109" s="1703" t="s">
        <v>1588</v>
      </c>
      <c r="D109" s="1704"/>
      <c r="E109" s="1704"/>
      <c r="F109" s="1704"/>
      <c r="G109" s="1693" t="str">
        <f>IF(OR(G65=1,G67=1),'Micromodulation et sonde O2'!D90+G108,"-")</f>
        <v>-</v>
      </c>
      <c r="H109" s="1694"/>
      <c r="I109" s="1694" t="str">
        <f>IF(OR(I65=1,I67=1),'Micromodulation et sonde O2'!E90+I108,"-")</f>
        <v>-</v>
      </c>
      <c r="J109" s="1694"/>
      <c r="K109" s="1694" t="str">
        <f>IF(OR(K65=1,K67=1),'Micromodulation et sonde O2'!F90+K108,"-")</f>
        <v>-</v>
      </c>
      <c r="L109" s="1694"/>
      <c r="M109" s="1694" t="str">
        <f>IF(OR(M65=1,M67=1),'Micromodulation et sonde O2'!G90+M108,"-")</f>
        <v>-</v>
      </c>
      <c r="N109" s="1721"/>
      <c r="O109" s="1677"/>
      <c r="P109" s="5"/>
      <c r="Q109" s="6"/>
      <c r="R109" s="6"/>
      <c r="S109" s="6"/>
      <c r="T109" s="6"/>
      <c r="U109" s="6"/>
      <c r="V109" s="6"/>
      <c r="W109" s="6"/>
      <c r="X109" s="6"/>
      <c r="Y109" s="6"/>
    </row>
    <row r="110" spans="1:25">
      <c r="A110" s="6"/>
      <c r="B110" s="5"/>
      <c r="C110" s="1705" t="s">
        <v>1589</v>
      </c>
      <c r="D110" s="1706"/>
      <c r="E110" s="1706"/>
      <c r="F110" s="1706"/>
      <c r="G110" s="1710" t="str">
        <f>IF(OR(G65=1,G67=1),'Micromodulation et sonde O2'!D90,"-")</f>
        <v>-</v>
      </c>
      <c r="H110" s="1711"/>
      <c r="I110" s="1711" t="str">
        <f>IF(OR(I65=1,I67=1),'Micromodulation et sonde O2'!E90,"-")</f>
        <v>-</v>
      </c>
      <c r="J110" s="1711"/>
      <c r="K110" s="1711" t="str">
        <f>IF(OR(K65=1,K67=1),'Micromodulation et sonde O2'!F90,"-")</f>
        <v>-</v>
      </c>
      <c r="L110" s="1711"/>
      <c r="M110" s="1711" t="str">
        <f>IF(OR(M65=1,M67=1),'Micromodulation et sonde O2'!G90,"-")</f>
        <v>-</v>
      </c>
      <c r="N110" s="1722"/>
      <c r="O110" s="1678"/>
      <c r="P110" s="5"/>
      <c r="Q110" s="6"/>
      <c r="R110" s="6"/>
      <c r="S110" s="6"/>
      <c r="T110" s="6"/>
      <c r="U110" s="6"/>
      <c r="V110" s="6"/>
      <c r="W110" s="6"/>
      <c r="X110" s="6"/>
      <c r="Y110" s="6"/>
    </row>
    <row r="111" spans="1:25">
      <c r="A111" s="6"/>
      <c r="B111" s="5"/>
      <c r="C111" s="1625" t="s">
        <v>1590</v>
      </c>
      <c r="D111" s="1626"/>
      <c r="E111" s="1626"/>
      <c r="F111" s="1626"/>
      <c r="G111" s="1709" t="str">
        <f>IF(G72=0,"-",IF('P opération brûleur - éco'!D67*3600*G28/'Facteurs conversion'!$C$8/10^3=0,"-",'P opération brûleur - éco'!D67*3600*G28/'Facteurs conversion'!$C$8/10^3))</f>
        <v>-</v>
      </c>
      <c r="H111" s="1691"/>
      <c r="I111" s="1691" t="str">
        <f>IF(I72=0,"-",IF('P opération brûleur - éco'!E67*3600*I28/'Facteurs conversion'!$C$8/10^3=0,"-",'P opération brûleur - éco'!E67*3600*I28/'Facteurs conversion'!$C$8/10^3))</f>
        <v>-</v>
      </c>
      <c r="J111" s="1691"/>
      <c r="K111" s="1691" t="str">
        <f>IF(K72=0,"-",IF('P opération brûleur - éco'!F67*3600*K28/'Facteurs conversion'!$C$8/10^3=0,"-",'P opération brûleur - éco'!F67*3600*K28/'Facteurs conversion'!$C$8/10^3))</f>
        <v>-</v>
      </c>
      <c r="L111" s="1691"/>
      <c r="M111" s="1691" t="str">
        <f>IF(M72=0,"-",IF('P opération brûleur - éco'!G67*3600*M28/'Facteurs conversion'!$C$8/10^3=0,"-",'P opération brûleur - éco'!G67*3600*M28/'Facteurs conversion'!$C$8/10^3))</f>
        <v>-</v>
      </c>
      <c r="N111" s="1692"/>
      <c r="O111" s="1446">
        <f>SUM(G111:N111)</f>
        <v>0</v>
      </c>
      <c r="P111" s="5"/>
      <c r="Q111" s="6"/>
      <c r="R111" s="6"/>
      <c r="S111" s="6"/>
      <c r="T111" s="6"/>
      <c r="U111" s="6"/>
      <c r="V111" s="6"/>
      <c r="W111" s="6"/>
      <c r="X111" s="6"/>
      <c r="Y111" s="6"/>
    </row>
    <row r="112" spans="1:25">
      <c r="A112" s="6"/>
      <c r="B112" s="5"/>
      <c r="C112" s="1715" t="s">
        <v>1587</v>
      </c>
      <c r="D112" s="1716"/>
      <c r="E112" s="1716"/>
      <c r="F112" s="1716"/>
      <c r="G112" s="1712" t="str">
        <f>IF(OR(G66=1,G67=1),'Micromodulation et sonde O2'!D89,"-")</f>
        <v>-</v>
      </c>
      <c r="H112" s="1695"/>
      <c r="I112" s="1695" t="str">
        <f>IF(OR(I66=1,I67=1),'Micromodulation et sonde O2'!E89,"-")</f>
        <v>-</v>
      </c>
      <c r="J112" s="1695"/>
      <c r="K112" s="1695" t="str">
        <f>IF(OR(K66=1,K67=1),'Micromodulation et sonde O2'!F89,"-")</f>
        <v>-</v>
      </c>
      <c r="L112" s="1695"/>
      <c r="M112" s="1695" t="str">
        <f>IF(OR(M66=1,M67=1),'Micromodulation et sonde O2'!G89,"-")</f>
        <v>-</v>
      </c>
      <c r="N112" s="1720"/>
      <c r="O112" s="1676"/>
      <c r="P112" s="5"/>
      <c r="Q112" s="6"/>
      <c r="R112" s="6"/>
      <c r="S112" s="6"/>
      <c r="T112" s="6"/>
      <c r="U112" s="6"/>
      <c r="V112" s="6"/>
      <c r="W112" s="6"/>
      <c r="X112" s="6"/>
      <c r="Y112" s="6"/>
    </row>
    <row r="113" spans="1:25">
      <c r="A113" s="6"/>
      <c r="B113" s="5"/>
      <c r="C113" s="1703" t="s">
        <v>1588</v>
      </c>
      <c r="D113" s="1704"/>
      <c r="E113" s="1704"/>
      <c r="F113" s="1704"/>
      <c r="G113" s="1693" t="str">
        <f>IF(OR(G66=1,G67=1),'Micromodulation et sonde O2'!D91+G112,"-")</f>
        <v>-</v>
      </c>
      <c r="H113" s="1694"/>
      <c r="I113" s="1694" t="str">
        <f>IF(OR(I66=1,I67=1),'Micromodulation et sonde O2'!E91+I112,"-")</f>
        <v>-</v>
      </c>
      <c r="J113" s="1694"/>
      <c r="K113" s="1694" t="str">
        <f>IF(OR(K66=1,K67=1),'Micromodulation et sonde O2'!F91+K112,"-")</f>
        <v>-</v>
      </c>
      <c r="L113" s="1694"/>
      <c r="M113" s="1694" t="str">
        <f>IF(OR(M66=1,M67=1),'Micromodulation et sonde O2'!G91+M112,"-")</f>
        <v>-</v>
      </c>
      <c r="N113" s="1721"/>
      <c r="O113" s="1677"/>
      <c r="P113" s="5"/>
      <c r="Q113" s="6"/>
      <c r="R113" s="6"/>
      <c r="S113" s="6"/>
      <c r="T113" s="6"/>
      <c r="U113" s="6"/>
      <c r="V113" s="6"/>
      <c r="W113" s="6"/>
      <c r="X113" s="6"/>
      <c r="Y113" s="6"/>
    </row>
    <row r="114" spans="1:25" ht="15" thickBot="1">
      <c r="A114" s="6"/>
      <c r="B114" s="5"/>
      <c r="C114" s="1705" t="s">
        <v>1589</v>
      </c>
      <c r="D114" s="1706"/>
      <c r="E114" s="1706"/>
      <c r="F114" s="1706"/>
      <c r="G114" s="1713" t="str">
        <f>IF(OR(G66=1,G67=1),'Micromodulation et sonde O2'!D91,"-")</f>
        <v>-</v>
      </c>
      <c r="H114" s="1714"/>
      <c r="I114" s="1714" t="str">
        <f>IF(OR(I66=1,I67=1),'Micromodulation et sonde O2'!E91,"-")</f>
        <v>-</v>
      </c>
      <c r="J114" s="1714"/>
      <c r="K114" s="1714" t="str">
        <f>IF(OR(K66=1,K67=1),'Micromodulation et sonde O2'!F91,"-")</f>
        <v>-</v>
      </c>
      <c r="L114" s="1714"/>
      <c r="M114" s="1714" t="str">
        <f>IF(OR(M66=1,M67=1),'Micromodulation et sonde O2'!G91,"-")</f>
        <v>-</v>
      </c>
      <c r="N114" s="1723"/>
      <c r="O114" s="1678"/>
      <c r="P114" s="5"/>
      <c r="Q114" s="6"/>
      <c r="R114" s="6"/>
      <c r="S114" s="6"/>
      <c r="T114" s="6"/>
      <c r="U114" s="6"/>
      <c r="V114" s="6"/>
      <c r="W114" s="6"/>
      <c r="X114" s="6"/>
      <c r="Y114" s="6"/>
    </row>
    <row r="115" spans="1:25">
      <c r="A115" s="6"/>
      <c r="B115" s="5"/>
      <c r="C115" s="1717" t="s">
        <v>1592</v>
      </c>
      <c r="D115" s="1717"/>
      <c r="E115" s="1717"/>
      <c r="F115" s="1717"/>
      <c r="G115" s="1606">
        <f>SUM(G107,G111)</f>
        <v>0</v>
      </c>
      <c r="H115" s="1718"/>
      <c r="I115" s="1606">
        <f t="shared" ref="I115" si="0">SUM(I107,I111)</f>
        <v>0</v>
      </c>
      <c r="J115" s="1718"/>
      <c r="K115" s="1606">
        <f t="shared" ref="K115" si="1">SUM(K107,K111)</f>
        <v>0</v>
      </c>
      <c r="L115" s="1718"/>
      <c r="M115" s="1606">
        <f t="shared" ref="M115" si="2">SUM(M107,M111)</f>
        <v>0</v>
      </c>
      <c r="N115" s="1718"/>
      <c r="O115" s="1447"/>
      <c r="P115" s="5"/>
      <c r="Q115" s="6"/>
      <c r="R115" s="6"/>
      <c r="S115" s="6"/>
      <c r="T115" s="6"/>
      <c r="U115" s="6"/>
      <c r="V115" s="6"/>
      <c r="W115" s="6"/>
      <c r="X115" s="6"/>
      <c r="Y115" s="6"/>
    </row>
    <row r="116" spans="1:25" ht="6.75" customHeight="1">
      <c r="A116" s="6"/>
      <c r="B116" s="5"/>
      <c r="C116" s="1627"/>
      <c r="D116" s="1627"/>
      <c r="E116" s="1627"/>
      <c r="F116" s="1627"/>
      <c r="G116" s="1448"/>
      <c r="H116" s="1448"/>
      <c r="I116" s="1448"/>
      <c r="J116" s="1448"/>
      <c r="K116" s="1448"/>
      <c r="L116" s="1448"/>
      <c r="M116" s="1448"/>
      <c r="N116" s="1449"/>
      <c r="O116" s="1447"/>
      <c r="P116" s="5"/>
      <c r="Q116" s="6"/>
      <c r="R116" s="6"/>
      <c r="S116" s="6"/>
      <c r="T116" s="6"/>
      <c r="U116" s="6"/>
      <c r="V116" s="6"/>
      <c r="W116" s="6"/>
      <c r="X116" s="6"/>
      <c r="Y116" s="6"/>
    </row>
    <row r="117" spans="1:25">
      <c r="A117" s="6"/>
      <c r="B117" s="5"/>
      <c r="C117" s="1627" t="s">
        <v>18</v>
      </c>
      <c r="D117" s="1627"/>
      <c r="E117" s="1627"/>
      <c r="F117" s="1627"/>
      <c r="G117" s="1707"/>
      <c r="H117" s="1707"/>
      <c r="I117" s="1448"/>
      <c r="J117" s="1448"/>
      <c r="K117" s="1448"/>
      <c r="L117" s="1448"/>
      <c r="M117" s="1448"/>
      <c r="N117" s="1449"/>
      <c r="O117" s="1450">
        <f>SUM(G115:N115)</f>
        <v>0</v>
      </c>
      <c r="P117" s="5"/>
      <c r="Q117" s="6"/>
      <c r="R117" s="6"/>
      <c r="S117" s="6"/>
      <c r="T117" s="6"/>
      <c r="U117" s="6"/>
      <c r="V117" s="6"/>
      <c r="W117" s="6"/>
      <c r="X117" s="6"/>
      <c r="Y117" s="6"/>
    </row>
    <row r="118" spans="1:25" ht="6.75" customHeight="1">
      <c r="A118" s="6"/>
      <c r="B118" s="5"/>
      <c r="C118" s="1627"/>
      <c r="D118" s="1627" t="s">
        <v>18</v>
      </c>
      <c r="E118" s="1627"/>
      <c r="F118" s="1627"/>
      <c r="G118" s="1349"/>
      <c r="H118" s="1349"/>
      <c r="I118" s="1349"/>
      <c r="J118" s="1349"/>
      <c r="K118" s="1349"/>
      <c r="L118" s="1349"/>
      <c r="M118" s="1349"/>
      <c r="N118" s="1351"/>
      <c r="O118" s="1351"/>
      <c r="P118" s="5"/>
      <c r="Q118" s="6"/>
      <c r="R118" s="6"/>
      <c r="S118" s="6"/>
      <c r="T118" s="6"/>
      <c r="U118" s="6"/>
      <c r="V118" s="6"/>
      <c r="W118" s="6"/>
      <c r="X118" s="6"/>
      <c r="Y118" s="6"/>
    </row>
    <row r="119" spans="1:25" ht="6.75" customHeight="1">
      <c r="A119" s="6"/>
      <c r="B119" s="5"/>
      <c r="C119" s="5"/>
      <c r="D119" s="5"/>
      <c r="E119" s="5"/>
      <c r="F119" s="5"/>
      <c r="G119" s="5"/>
      <c r="H119" s="5"/>
      <c r="I119" s="5"/>
      <c r="J119" s="5"/>
      <c r="K119" s="5"/>
      <c r="L119" s="5"/>
      <c r="M119" s="5"/>
      <c r="N119" s="5"/>
      <c r="O119" s="5"/>
      <c r="P119" s="5"/>
      <c r="Q119" s="6"/>
      <c r="R119" s="6"/>
      <c r="S119" s="6"/>
      <c r="T119" s="6"/>
      <c r="U119" s="6"/>
      <c r="V119" s="6"/>
      <c r="W119" s="6"/>
      <c r="X119" s="6"/>
      <c r="Y119" s="6"/>
    </row>
    <row r="120" spans="1:25">
      <c r="A120" s="6"/>
      <c r="B120" s="6"/>
      <c r="C120" s="6"/>
      <c r="D120" s="6"/>
      <c r="E120" s="6"/>
      <c r="F120" s="6"/>
      <c r="G120" s="6"/>
      <c r="H120" s="6"/>
      <c r="I120" s="6"/>
      <c r="J120" s="6"/>
      <c r="K120" s="6"/>
      <c r="L120" s="6"/>
      <c r="M120" s="6"/>
      <c r="N120" s="6"/>
      <c r="O120" s="411"/>
      <c r="P120" s="454"/>
      <c r="Q120" s="6"/>
      <c r="R120" s="6"/>
      <c r="S120" s="6"/>
      <c r="T120" s="6"/>
      <c r="U120" s="6"/>
      <c r="V120" s="6"/>
      <c r="W120" s="6"/>
      <c r="X120" s="6"/>
      <c r="Y120" s="6"/>
    </row>
    <row r="121" spans="1:25">
      <c r="G121" s="1352"/>
      <c r="P121" s="1211"/>
    </row>
    <row r="122" spans="1:25">
      <c r="P122" s="1353"/>
      <c r="Q122" s="988"/>
    </row>
    <row r="123" spans="1:25">
      <c r="P123" s="1353"/>
      <c r="Q123" s="988"/>
    </row>
    <row r="124" spans="1:25">
      <c r="G124" s="1352"/>
      <c r="P124" s="1353"/>
      <c r="Q124" s="988"/>
    </row>
    <row r="125" spans="1:25">
      <c r="Q125" s="988"/>
    </row>
    <row r="126" spans="1:25">
      <c r="P126" s="1353"/>
    </row>
    <row r="127" spans="1:25">
      <c r="P127" s="1353"/>
      <c r="Q127" s="1354"/>
    </row>
    <row r="128" spans="1:25">
      <c r="P128" s="1353"/>
    </row>
    <row r="130" spans="4:14">
      <c r="D130" s="1355"/>
      <c r="E130" s="1355"/>
      <c r="F130" s="1355"/>
      <c r="G130" s="1356"/>
      <c r="H130" s="1356"/>
      <c r="I130" s="1356"/>
      <c r="J130" s="1356"/>
      <c r="K130" s="1356"/>
      <c r="L130" s="1356"/>
      <c r="M130" s="1356"/>
      <c r="N130" s="1356"/>
    </row>
    <row r="131" spans="4:14">
      <c r="D131" s="1229"/>
      <c r="E131" s="1229"/>
      <c r="F131" s="1229"/>
    </row>
    <row r="132" spans="4:14">
      <c r="D132" s="1229"/>
      <c r="E132" s="1229"/>
    </row>
  </sheetData>
  <sheetProtection algorithmName="SHA-512" hashValue="qhqoqxLtwQa7+wAoypDmfQ1kGJI/gY0eEfWE4KK2GSYGYSrVzNPsFhpqg4jBr4zgWw6gdRVZhDpXvZ5EdP8h8Q==" saltValue="n/y3YR5SDa2EtHnAKUJatQ==" spinCount="100000" sheet="1" objects="1" scenarios="1"/>
  <sortState xmlns:xlrd2="http://schemas.microsoft.com/office/spreadsheetml/2017/richdata2" ref="S43:T43">
    <sortCondition ref="S43"/>
  </sortState>
  <mergeCells count="139">
    <mergeCell ref="G13:M13"/>
    <mergeCell ref="G15:M15"/>
    <mergeCell ref="C67:F67"/>
    <mergeCell ref="C66:F66"/>
    <mergeCell ref="C65:F65"/>
    <mergeCell ref="M69:N70"/>
    <mergeCell ref="C62:F63"/>
    <mergeCell ref="C64:F64"/>
    <mergeCell ref="C69:F70"/>
    <mergeCell ref="G69:H70"/>
    <mergeCell ref="K66:L66"/>
    <mergeCell ref="G65:H65"/>
    <mergeCell ref="I66:J66"/>
    <mergeCell ref="I62:J63"/>
    <mergeCell ref="K62:L63"/>
    <mergeCell ref="M62:N63"/>
    <mergeCell ref="K65:L65"/>
    <mergeCell ref="D53:E53"/>
    <mergeCell ref="D55:E55"/>
    <mergeCell ref="I112:J112"/>
    <mergeCell ref="C115:F116"/>
    <mergeCell ref="I69:J70"/>
    <mergeCell ref="M115:N115"/>
    <mergeCell ref="G115:H115"/>
    <mergeCell ref="I115:J115"/>
    <mergeCell ref="K115:L115"/>
    <mergeCell ref="I114:J114"/>
    <mergeCell ref="K114:L114"/>
    <mergeCell ref="M106:N106"/>
    <mergeCell ref="M107:N107"/>
    <mergeCell ref="M108:N108"/>
    <mergeCell ref="M109:N109"/>
    <mergeCell ref="M110:N110"/>
    <mergeCell ref="M112:N112"/>
    <mergeCell ref="M113:N113"/>
    <mergeCell ref="M114:N114"/>
    <mergeCell ref="I110:J110"/>
    <mergeCell ref="I113:J113"/>
    <mergeCell ref="K113:L113"/>
    <mergeCell ref="K108:L108"/>
    <mergeCell ref="K110:L110"/>
    <mergeCell ref="K112:L112"/>
    <mergeCell ref="C71:F71"/>
    <mergeCell ref="C117:F118"/>
    <mergeCell ref="C113:F113"/>
    <mergeCell ref="C114:F114"/>
    <mergeCell ref="G117:H117"/>
    <mergeCell ref="G107:H107"/>
    <mergeCell ref="G111:H111"/>
    <mergeCell ref="G110:H110"/>
    <mergeCell ref="G112:H112"/>
    <mergeCell ref="G113:H113"/>
    <mergeCell ref="G114:H114"/>
    <mergeCell ref="G108:H108"/>
    <mergeCell ref="C107:F107"/>
    <mergeCell ref="C108:F108"/>
    <mergeCell ref="C109:F109"/>
    <mergeCell ref="C110:F110"/>
    <mergeCell ref="C111:F111"/>
    <mergeCell ref="C112:F112"/>
    <mergeCell ref="I81:J81"/>
    <mergeCell ref="M72:N72"/>
    <mergeCell ref="K83:L83"/>
    <mergeCell ref="M83:N83"/>
    <mergeCell ref="M71:N71"/>
    <mergeCell ref="Q62:R67"/>
    <mergeCell ref="G62:H63"/>
    <mergeCell ref="G67:H67"/>
    <mergeCell ref="G64:H64"/>
    <mergeCell ref="I64:J64"/>
    <mergeCell ref="K64:L64"/>
    <mergeCell ref="M64:N64"/>
    <mergeCell ref="I67:J67"/>
    <mergeCell ref="K67:L67"/>
    <mergeCell ref="M67:N67"/>
    <mergeCell ref="M65:N65"/>
    <mergeCell ref="G66:H66"/>
    <mergeCell ref="M66:N66"/>
    <mergeCell ref="I65:J65"/>
    <mergeCell ref="K69:L70"/>
    <mergeCell ref="G81:H81"/>
    <mergeCell ref="G71:H71"/>
    <mergeCell ref="I71:J71"/>
    <mergeCell ref="K71:L71"/>
    <mergeCell ref="I109:J109"/>
    <mergeCell ref="K109:L109"/>
    <mergeCell ref="M85:N85"/>
    <mergeCell ref="G82:H82"/>
    <mergeCell ref="M86:N86"/>
    <mergeCell ref="I106:J106"/>
    <mergeCell ref="I107:J107"/>
    <mergeCell ref="I111:J111"/>
    <mergeCell ref="I108:J108"/>
    <mergeCell ref="G88:H88"/>
    <mergeCell ref="G86:H86"/>
    <mergeCell ref="G84:H84"/>
    <mergeCell ref="I84:J84"/>
    <mergeCell ref="M84:N84"/>
    <mergeCell ref="I82:J82"/>
    <mergeCell ref="K82:L82"/>
    <mergeCell ref="I86:J86"/>
    <mergeCell ref="G89:H89"/>
    <mergeCell ref="I89:J89"/>
    <mergeCell ref="K89:L89"/>
    <mergeCell ref="M89:N89"/>
    <mergeCell ref="O108:O110"/>
    <mergeCell ref="O112:O114"/>
    <mergeCell ref="D38:N38"/>
    <mergeCell ref="C80:F81"/>
    <mergeCell ref="G80:N80"/>
    <mergeCell ref="K81:L81"/>
    <mergeCell ref="G72:H72"/>
    <mergeCell ref="I72:J72"/>
    <mergeCell ref="K72:L72"/>
    <mergeCell ref="D77:O78"/>
    <mergeCell ref="C72:F72"/>
    <mergeCell ref="C84:F85"/>
    <mergeCell ref="D86:E86"/>
    <mergeCell ref="M81:N81"/>
    <mergeCell ref="M82:N82"/>
    <mergeCell ref="C105:F106"/>
    <mergeCell ref="G106:H106"/>
    <mergeCell ref="I103:M103"/>
    <mergeCell ref="D100:O101"/>
    <mergeCell ref="K107:L107"/>
    <mergeCell ref="K111:L111"/>
    <mergeCell ref="K106:L106"/>
    <mergeCell ref="M111:N111"/>
    <mergeCell ref="G109:H109"/>
    <mergeCell ref="C82:F83"/>
    <mergeCell ref="G83:H83"/>
    <mergeCell ref="I83:J83"/>
    <mergeCell ref="G105:O105"/>
    <mergeCell ref="K84:L84"/>
    <mergeCell ref="D88:E88"/>
    <mergeCell ref="K86:L86"/>
    <mergeCell ref="G85:H85"/>
    <mergeCell ref="I85:J85"/>
    <mergeCell ref="K85:L85"/>
  </mergeCells>
  <phoneticPr fontId="65" type="noConversion"/>
  <conditionalFormatting sqref="G65:N67">
    <cfRule type="cellIs" dxfId="29" priority="81" operator="greaterThanOrEqual">
      <formula>1</formula>
    </cfRule>
  </conditionalFormatting>
  <conditionalFormatting sqref="G71:N72">
    <cfRule type="cellIs" dxfId="28" priority="65" operator="notEqual">
      <formula>0</formula>
    </cfRule>
    <cfRule type="cellIs" dxfId="27" priority="66" operator="equal">
      <formula>0</formula>
    </cfRule>
  </conditionalFormatting>
  <conditionalFormatting sqref="G82:N82">
    <cfRule type="expression" dxfId="26" priority="55">
      <formula>MID(G71,1,1)="X"</formula>
    </cfRule>
  </conditionalFormatting>
  <conditionalFormatting sqref="G83:N83">
    <cfRule type="containsText" dxfId="25" priority="3" operator="containsText" text="Note">
      <formula>NOT(ISERROR(SEARCH("Note",G83)))</formula>
    </cfRule>
  </conditionalFormatting>
  <conditionalFormatting sqref="G83:N84">
    <cfRule type="expression" dxfId="24" priority="4">
      <formula>MID(G71,1,1)="X"</formula>
    </cfRule>
  </conditionalFormatting>
  <conditionalFormatting sqref="G85:N85">
    <cfRule type="containsText" dxfId="23" priority="1" operator="containsText" text="Note">
      <formula>NOT(ISERROR(SEARCH("Note",G85)))</formula>
    </cfRule>
    <cfRule type="expression" dxfId="22" priority="2">
      <formula>MID(G72,1,1)="X"</formula>
    </cfRule>
  </conditionalFormatting>
  <conditionalFormatting sqref="G107:N110">
    <cfRule type="expression" dxfId="21" priority="6">
      <formula>MID(G$71,1,1)="X"</formula>
    </cfRule>
  </conditionalFormatting>
  <conditionalFormatting sqref="G111:N114">
    <cfRule type="expression" dxfId="20" priority="5">
      <formula>MID(G$72,1,1)="X"</formula>
    </cfRule>
  </conditionalFormatting>
  <conditionalFormatting sqref="O107">
    <cfRule type="expression" dxfId="19" priority="11">
      <formula>$R$71="X"</formula>
    </cfRule>
  </conditionalFormatting>
  <conditionalFormatting sqref="O111">
    <cfRule type="expression" dxfId="18" priority="10">
      <formula>$R$72="X"</formula>
    </cfRule>
  </conditionalFormatting>
  <dataValidations count="12">
    <dataValidation type="custom" allowBlank="1" showInputMessage="1" showErrorMessage="1" errorTitle="Erreur" error="La production moyenne de vapeur ne peut être supérieure à la capacité de production de vapeur de la chaudière. Veuillez entrer une autre valeur ." sqref="G23:M23" xr:uid="{B1093192-D8BA-4DD5-A417-751308EC984C}">
      <formula1>G23&lt;=G20</formula1>
    </dataValidation>
    <dataValidation allowBlank="1" showInputMessage="1" showErrorMessage="1" prompt="0°C si la chaudière produit de la vapeur saturée ou de l'eau chaude" sqref="I39 K39 G39 M39 I37 K37 G37 M37" xr:uid="{FB73FEBC-85B9-4A33-917D-75BD83AFC955}"/>
    <dataValidation allowBlank="1" showInputMessage="1" showErrorMessage="1" promptTitle="Puissance maximale de production" prompt="Quantité maximale de vapeur produite par la chaudière en BHP. La capacité de production prend en compte la vapeur utilisée et la vapeur perdue par l’évent du dégazeur." sqref="F20" xr:uid="{BBC9DA37-1CD7-4AF8-BF8D-5EAB7CDF9D01}"/>
    <dataValidation allowBlank="1" showInputMessage="1" showErrorMessage="1" promptTitle="Puissance moyenne de production" prompt="Quantité moyenne de vapeur produite en opération standard de la chaudière en BHP. La production moyenne de vapeur prend en compte la vapeur utilisée et la vapeur perdue par l’évent du dégazeur." sqref="F23" xr:uid="{4DA749EE-77A2-43A4-86AA-C28E19B1813B}"/>
    <dataValidation allowBlank="1" showErrorMessage="1" promptTitle="Âge de la chaudière" sqref="C38:D38 C36:D36" xr:uid="{FE5CAF26-F6E4-4EA4-9A18-F7A29193B6B1}"/>
    <dataValidation allowBlank="1" showInputMessage="1" showErrorMessage="1" promptTitle="Dégazeur" prompt="Un dégazeur ou désaérateur, est un dispositif destiné à éliminer l'oxygène ou d'autres gaz dissous dans l'eau remplissant les circuits des chaudières." sqref="D35" xr:uid="{8A422E99-1C2C-4E36-8B85-2DA8A9F5B32A}"/>
    <dataValidation type="custom" allowBlank="1" showInputMessage="1" showErrorMessage="1" errorTitle="Erreur" error="La capacité de production de vapeur ne peut être supérieure à la puissance installée du brûleur de la chaudière. Veuillez entrer une autre valeur ." sqref="G20:M20" xr:uid="{30C4139E-7949-4659-A3D6-5E9E6922C98D}">
      <formula1>G20&lt;G17</formula1>
    </dataValidation>
    <dataValidation allowBlank="1" showInputMessage="1" showErrorMessage="1" promptTitle="Burner Installed Capacity" prompt="Installed capacity of the burner of each boiler. " sqref="C17:D17" xr:uid="{938658FE-4745-4FC7-91E7-ADA5395FD235}"/>
    <dataValidation allowBlank="1" showInputMessage="1" showErrorMessage="1" promptTitle="Maximum Production Capacity" prompt="Maximum amount of hot water produced by the boiler in BHP. " sqref="C20:D20" xr:uid="{90B5956A-268C-4C7C-B6B8-9E2A5913A917}"/>
    <dataValidation allowBlank="1" showInputMessage="1" showErrorMessage="1" promptTitle="Excess O2" prompt="The excess oxygen in the flue gas, without the addition of energy efficiency measures, is generally between 5% and 6%." sqref="C51:D51" xr:uid="{233F478E-2407-4728-BFE5-40E62CE9ABB2}"/>
    <dataValidation allowBlank="1" showInputMessage="1" showErrorMessage="1" promptTitle="Modulation Rate" prompt="Enter 4 for a modulation rate of 4:1, 6 for 6:._x000a__x000a_Note: non-modulating burner = 1." sqref="C57:D57" xr:uid="{0E029B34-654E-488C-B4FD-F89ACD3B7E21}"/>
    <dataValidation allowBlank="1" showInputMessage="1" showErrorMessage="1" promptTitle="Average Production Capacity" prompt="Average quantity of hot water produced in standard boiler operation in BHP. " sqref="C23:D23" xr:uid="{080003A0-DC21-4F9D-BC56-6E9A6CCB919B}"/>
  </dataValidation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842" r:id="rId4" name="Check Box 42">
              <controlPr defaultSize="0" autoFill="0" autoLine="0" autoPict="0">
                <anchor moveWithCells="1">
                  <from>
                    <xdr:col>2</xdr:col>
                    <xdr:colOff>137160</xdr:colOff>
                    <xdr:row>37</xdr:row>
                    <xdr:rowOff>15240</xdr:rowOff>
                  </from>
                  <to>
                    <xdr:col>2</xdr:col>
                    <xdr:colOff>396240</xdr:colOff>
                    <xdr:row>37</xdr:row>
                    <xdr:rowOff>327660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DDE80B0-5571-431E-8001-F9BEFB7B8394}">
          <x14:formula1>
            <xm:f>'Menus déroulants'!$C$35:$C$37</xm:f>
          </x14:formula1>
          <xm:sqref>G35</xm:sqref>
        </x14:dataValidation>
        <x14:dataValidation type="list" allowBlank="1" showInputMessage="1" showErrorMessage="1" xr:uid="{1BA959C5-7747-487B-B80B-3CA8BE5CD638}">
          <x14:formula1>
            <xm:f>'Menus déroulants'!$E$41:$E$44</xm:f>
          </x14:formula1>
          <xm:sqref>G15:M15</xm:sqref>
        </x14:dataValidation>
        <x14:dataValidation type="list" allowBlank="1" showInputMessage="1" showErrorMessage="1" xr:uid="{C687154D-11FB-417D-B41D-DB749803CA0D}">
          <x14:formula1>
            <xm:f>'Menus déroulants'!$C$52:$C$55</xm:f>
          </x14:formula1>
          <xm:sqref>K48 M48 I48 G48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132A-F900-4B5E-8688-ED919CCF7A2F}">
  <sheetPr>
    <tabColor rgb="FF00B0F0"/>
  </sheetPr>
  <dimension ref="B1:IX2239"/>
  <sheetViews>
    <sheetView zoomScaleNormal="100" workbookViewId="0">
      <selection activeCell="E26" sqref="E26"/>
    </sheetView>
  </sheetViews>
  <sheetFormatPr baseColWidth="10" defaultColWidth="11.44140625" defaultRowHeight="14.4" outlineLevelCol="1"/>
  <cols>
    <col min="1" max="2" width="3.77734375" style="6" customWidth="1"/>
    <col min="3" max="3" width="56" style="6" bestFit="1" customWidth="1"/>
    <col min="4" max="7" width="26" style="6" customWidth="1"/>
    <col min="8" max="8" width="24" style="6" customWidth="1"/>
    <col min="9" max="9" width="21" style="6" customWidth="1"/>
    <col min="10" max="10" width="4.21875" style="6" customWidth="1"/>
    <col min="11" max="11" width="3.21875" style="6" customWidth="1"/>
    <col min="12" max="12" width="11.44140625" style="6" hidden="1" customWidth="1" outlineLevel="1"/>
    <col min="13" max="13" width="14.21875" style="6" hidden="1" customWidth="1" outlineLevel="1"/>
    <col min="14" max="14" width="17" style="6" hidden="1" customWidth="1" outlineLevel="1"/>
    <col min="15" max="15" width="11.44140625" style="6" hidden="1" customWidth="1" outlineLevel="1"/>
    <col min="16" max="16" width="11.44140625" style="1021" collapsed="1"/>
    <col min="17" max="258" width="11.44140625" style="1021"/>
    <col min="259" max="16384" width="11.44140625" style="6"/>
  </cols>
  <sheetData>
    <row r="1" spans="2:258" ht="13.5" customHeight="1"/>
    <row r="2" spans="2:258" ht="24.75" customHeight="1">
      <c r="B2" s="1022" t="s">
        <v>1593</v>
      </c>
      <c r="D2" s="1022"/>
      <c r="E2" s="1022"/>
      <c r="F2" s="1022"/>
    </row>
    <row r="3" spans="2:258" ht="18.75" customHeight="1">
      <c r="B3" s="1026" t="s">
        <v>1650</v>
      </c>
      <c r="D3" s="1150"/>
      <c r="E3" s="1150"/>
      <c r="F3" s="1150"/>
    </row>
    <row r="4" spans="2:258" ht="18.75" customHeight="1">
      <c r="B4" s="1150"/>
      <c r="D4" s="1150"/>
      <c r="E4" s="1150"/>
      <c r="F4" s="1150"/>
    </row>
    <row r="5" spans="2:258" s="404" customFormat="1" ht="15" customHeight="1">
      <c r="C5" s="821" t="s">
        <v>1507</v>
      </c>
      <c r="D5" s="885" t="str">
        <f>IF('1. General Information'!F8="","",'1. General Information'!F8)</f>
        <v>PE242-XXX</v>
      </c>
      <c r="F5" s="1357"/>
      <c r="G5" s="1357"/>
      <c r="H5" s="1357"/>
      <c r="I5" s="1357"/>
      <c r="J5" s="6"/>
      <c r="P5" s="1224"/>
      <c r="Q5" s="1224"/>
      <c r="R5" s="1224"/>
      <c r="S5" s="1224"/>
      <c r="T5" s="1224"/>
      <c r="U5" s="1224"/>
      <c r="V5" s="1224"/>
      <c r="W5" s="1224"/>
      <c r="X5" s="1224"/>
      <c r="Y5" s="1224"/>
      <c r="Z5" s="1224"/>
      <c r="AA5" s="1224"/>
      <c r="AB5" s="1224"/>
      <c r="AC5" s="1224"/>
      <c r="AD5" s="1224"/>
      <c r="AE5" s="1224"/>
      <c r="AF5" s="1224"/>
      <c r="AG5" s="1224"/>
      <c r="AH5" s="1224"/>
      <c r="AI5" s="1224"/>
      <c r="AJ5" s="1224"/>
      <c r="AK5" s="1224"/>
      <c r="AL5" s="1224"/>
      <c r="AM5" s="1224"/>
      <c r="AN5" s="1224"/>
      <c r="AO5" s="1224"/>
      <c r="AP5" s="1224"/>
      <c r="AQ5" s="1224"/>
      <c r="AR5" s="1224"/>
      <c r="AS5" s="1224"/>
      <c r="AT5" s="1224"/>
      <c r="AU5" s="1224"/>
      <c r="AV5" s="1224"/>
      <c r="AW5" s="1224"/>
      <c r="AX5" s="1224"/>
      <c r="AY5" s="1224"/>
      <c r="AZ5" s="1224"/>
      <c r="BA5" s="1224"/>
      <c r="BB5" s="1224"/>
      <c r="BC5" s="1224"/>
      <c r="BD5" s="1224"/>
      <c r="BE5" s="1224"/>
      <c r="BF5" s="1224"/>
      <c r="BG5" s="1224"/>
      <c r="BH5" s="1224"/>
      <c r="BI5" s="1224"/>
      <c r="BJ5" s="1224"/>
      <c r="BK5" s="1224"/>
      <c r="BL5" s="1224"/>
      <c r="BM5" s="1224"/>
      <c r="BN5" s="1224"/>
      <c r="BO5" s="1224"/>
      <c r="BP5" s="1224"/>
      <c r="BQ5" s="1224"/>
      <c r="BR5" s="1224"/>
      <c r="BS5" s="1224"/>
      <c r="BT5" s="1224"/>
      <c r="BU5" s="1224"/>
      <c r="BV5" s="1224"/>
      <c r="BW5" s="1224"/>
      <c r="BX5" s="1224"/>
      <c r="BY5" s="1224"/>
      <c r="BZ5" s="1224"/>
      <c r="CA5" s="1224"/>
      <c r="CB5" s="1224"/>
      <c r="CC5" s="1224"/>
      <c r="CD5" s="1224"/>
      <c r="CE5" s="1224"/>
      <c r="CF5" s="1224"/>
      <c r="CG5" s="1224"/>
      <c r="CH5" s="1224"/>
      <c r="CI5" s="1224"/>
      <c r="CJ5" s="1224"/>
      <c r="CK5" s="1224"/>
      <c r="CL5" s="1224"/>
      <c r="CM5" s="1224"/>
      <c r="CN5" s="1224"/>
      <c r="CO5" s="1224"/>
      <c r="CP5" s="1224"/>
      <c r="CQ5" s="1224"/>
      <c r="CR5" s="1224"/>
      <c r="CS5" s="1224"/>
      <c r="CT5" s="1224"/>
      <c r="CU5" s="1224"/>
      <c r="CV5" s="1224"/>
      <c r="CW5" s="1224"/>
      <c r="CX5" s="1224"/>
      <c r="CY5" s="1224"/>
      <c r="CZ5" s="1224"/>
      <c r="DA5" s="1224"/>
      <c r="DB5" s="1224"/>
      <c r="DC5" s="1224"/>
      <c r="DD5" s="1224"/>
      <c r="DE5" s="1224"/>
      <c r="DF5" s="1224"/>
      <c r="DG5" s="1224"/>
      <c r="DH5" s="1224"/>
      <c r="DI5" s="1224"/>
      <c r="DJ5" s="1224"/>
      <c r="DK5" s="1224"/>
      <c r="DL5" s="1224"/>
      <c r="DM5" s="1224"/>
      <c r="DN5" s="1224"/>
      <c r="DO5" s="1224"/>
      <c r="DP5" s="1224"/>
      <c r="DQ5" s="1224"/>
      <c r="DR5" s="1224"/>
      <c r="DS5" s="1224"/>
      <c r="DT5" s="1224"/>
      <c r="DU5" s="1224"/>
      <c r="DV5" s="1224"/>
      <c r="DW5" s="1224"/>
      <c r="DX5" s="1224"/>
      <c r="DY5" s="1224"/>
      <c r="DZ5" s="1224"/>
      <c r="EA5" s="1224"/>
      <c r="EB5" s="1224"/>
      <c r="EC5" s="1224"/>
      <c r="ED5" s="1224"/>
      <c r="EE5" s="1224"/>
      <c r="EF5" s="1224"/>
      <c r="EG5" s="1224"/>
      <c r="EH5" s="1224"/>
      <c r="EI5" s="1224"/>
      <c r="EJ5" s="1224"/>
      <c r="EK5" s="1224"/>
      <c r="EL5" s="1224"/>
      <c r="EM5" s="1224"/>
      <c r="EN5" s="1224"/>
      <c r="EO5" s="1224"/>
      <c r="EP5" s="1224"/>
      <c r="EQ5" s="1224"/>
      <c r="ER5" s="1224"/>
      <c r="ES5" s="1224"/>
      <c r="ET5" s="1224"/>
      <c r="EU5" s="1224"/>
      <c r="EV5" s="1224"/>
      <c r="EW5" s="1224"/>
      <c r="EX5" s="1224"/>
      <c r="EY5" s="1224"/>
      <c r="EZ5" s="1224"/>
      <c r="FA5" s="1224"/>
      <c r="FB5" s="1224"/>
      <c r="FC5" s="1224"/>
      <c r="FD5" s="1224"/>
      <c r="FE5" s="1224"/>
      <c r="FF5" s="1224"/>
      <c r="FG5" s="1224"/>
      <c r="FH5" s="1224"/>
      <c r="FI5" s="1224"/>
      <c r="FJ5" s="1224"/>
      <c r="FK5" s="1224"/>
      <c r="FL5" s="1224"/>
      <c r="FM5" s="1224"/>
      <c r="FN5" s="1224"/>
      <c r="FO5" s="1224"/>
      <c r="FP5" s="1224"/>
      <c r="FQ5" s="1224"/>
      <c r="FR5" s="1224"/>
      <c r="FS5" s="1224"/>
      <c r="FT5" s="1224"/>
      <c r="FU5" s="1224"/>
      <c r="FV5" s="1224"/>
      <c r="FW5" s="1224"/>
      <c r="FX5" s="1224"/>
      <c r="FY5" s="1224"/>
      <c r="FZ5" s="1224"/>
      <c r="GA5" s="1224"/>
      <c r="GB5" s="1224"/>
      <c r="GC5" s="1224"/>
      <c r="GD5" s="1224"/>
      <c r="GE5" s="1224"/>
      <c r="GF5" s="1224"/>
      <c r="GG5" s="1224"/>
      <c r="GH5" s="1224"/>
      <c r="GI5" s="1224"/>
      <c r="GJ5" s="1224"/>
      <c r="GK5" s="1224"/>
      <c r="GL5" s="1224"/>
      <c r="GM5" s="1224"/>
      <c r="GN5" s="1224"/>
      <c r="GO5" s="1224"/>
      <c r="GP5" s="1224"/>
      <c r="GQ5" s="1224"/>
      <c r="GR5" s="1224"/>
      <c r="GS5" s="1224"/>
      <c r="GT5" s="1224"/>
      <c r="GU5" s="1224"/>
      <c r="GV5" s="1224"/>
      <c r="GW5" s="1224"/>
      <c r="GX5" s="1224"/>
      <c r="GY5" s="1224"/>
      <c r="GZ5" s="1224"/>
      <c r="HA5" s="1224"/>
      <c r="HB5" s="1224"/>
      <c r="HC5" s="1224"/>
      <c r="HD5" s="1224"/>
      <c r="HE5" s="1224"/>
      <c r="HF5" s="1224"/>
      <c r="HG5" s="1224"/>
      <c r="HH5" s="1224"/>
      <c r="HI5" s="1224"/>
      <c r="HJ5" s="1224"/>
      <c r="HK5" s="1224"/>
      <c r="HL5" s="1224"/>
      <c r="HM5" s="1224"/>
      <c r="HN5" s="1224"/>
      <c r="HO5" s="1224"/>
      <c r="HP5" s="1224"/>
      <c r="HQ5" s="1224"/>
      <c r="HR5" s="1224"/>
      <c r="HS5" s="1224"/>
      <c r="HT5" s="1224"/>
      <c r="HU5" s="1224"/>
      <c r="HV5" s="1224"/>
      <c r="HW5" s="1224"/>
      <c r="HX5" s="1224"/>
      <c r="HY5" s="1224"/>
      <c r="HZ5" s="1224"/>
      <c r="IA5" s="1224"/>
      <c r="IB5" s="1224"/>
      <c r="IC5" s="1224"/>
      <c r="ID5" s="1224"/>
      <c r="IE5" s="1224"/>
      <c r="IF5" s="1224"/>
      <c r="IG5" s="1224"/>
      <c r="IH5" s="1224"/>
      <c r="II5" s="1224"/>
      <c r="IJ5" s="1224"/>
      <c r="IK5" s="1224"/>
      <c r="IL5" s="1224"/>
      <c r="IM5" s="1224"/>
      <c r="IN5" s="1224"/>
      <c r="IO5" s="1224"/>
      <c r="IP5" s="1224"/>
      <c r="IQ5" s="1224"/>
      <c r="IR5" s="1224"/>
      <c r="IS5" s="1224"/>
      <c r="IT5" s="1224"/>
      <c r="IU5" s="1224"/>
      <c r="IV5" s="1224"/>
      <c r="IW5" s="1224"/>
      <c r="IX5" s="1224"/>
    </row>
    <row r="6" spans="2:258">
      <c r="J6" s="1358" t="s">
        <v>1490</v>
      </c>
    </row>
    <row r="7" spans="2:258">
      <c r="B7" s="1221"/>
      <c r="C7" s="1191" t="s">
        <v>1594</v>
      </c>
      <c r="D7" s="1359"/>
      <c r="E7" s="1192"/>
      <c r="F7" s="1192"/>
      <c r="G7" s="1192"/>
      <c r="H7" s="1192"/>
      <c r="I7" s="1192"/>
      <c r="J7" s="1192"/>
      <c r="L7" s="1737" t="s">
        <v>1348</v>
      </c>
      <c r="M7" s="1737"/>
      <c r="N7" s="1737"/>
      <c r="O7" s="1737"/>
    </row>
    <row r="8" spans="2:258" ht="6.75" customHeight="1">
      <c r="B8" s="5"/>
      <c r="C8" s="5"/>
      <c r="D8" s="5"/>
      <c r="E8" s="5"/>
      <c r="F8" s="5"/>
      <c r="G8" s="5"/>
      <c r="H8" s="5"/>
      <c r="I8" s="5"/>
      <c r="J8" s="5"/>
    </row>
    <row r="9" spans="2:258" ht="15" thickBot="1">
      <c r="B9" s="1195"/>
      <c r="C9" s="1328" t="s">
        <v>1649</v>
      </c>
      <c r="D9" s="1019" t="s">
        <v>1465</v>
      </c>
      <c r="E9" s="1019" t="s">
        <v>1466</v>
      </c>
      <c r="F9" s="1019" t="s">
        <v>1467</v>
      </c>
      <c r="G9" s="1019" t="s">
        <v>1468</v>
      </c>
      <c r="H9" s="1019" t="s">
        <v>1681</v>
      </c>
      <c r="I9" s="5"/>
      <c r="J9" s="5"/>
      <c r="L9" s="577"/>
      <c r="M9" s="1360" t="s">
        <v>1331</v>
      </c>
      <c r="N9" s="1360" t="s">
        <v>1332</v>
      </c>
      <c r="O9" s="1360" t="s">
        <v>1333</v>
      </c>
      <c r="Q9" s="1361"/>
    </row>
    <row r="10" spans="2:258" ht="30.75" customHeight="1">
      <c r="B10" s="1195"/>
      <c r="C10" s="1230" t="s">
        <v>1529</v>
      </c>
      <c r="D10" s="1451"/>
      <c r="E10" s="1452"/>
      <c r="F10" s="1452"/>
      <c r="G10" s="1452"/>
      <c r="H10" s="1453">
        <f>IF(SUM('3b. Calculator - EEM 1'!E36:E55,'3b. Calculator - EEM 1'!E60:E69,'3b. Calculator - EEM 1'!E74:E83,'3b. Calculator - EEM 1'!E88:E97,'3b. Calculator - EEM 1'!E104:E113)=0,0,"X")</f>
        <v>0</v>
      </c>
      <c r="I10" s="5"/>
      <c r="J10" s="5"/>
      <c r="L10" s="577" t="s">
        <v>1329</v>
      </c>
      <c r="M10" s="577" t="b">
        <f>'3b. Calculator - EEM 1'!C26</f>
        <v>0</v>
      </c>
      <c r="N10" s="577" t="str">
        <f>IF(H10="X","Oui","Non")</f>
        <v>Non</v>
      </c>
      <c r="O10" s="577" t="str">
        <f>IF(N10="Non","Non",IF(AND(N10="oui",M10=FALSE),"Oui","Non"))</f>
        <v>Non</v>
      </c>
    </row>
    <row r="11" spans="2:258" s="571" customFormat="1" ht="31.5" customHeight="1">
      <c r="B11" s="1330"/>
      <c r="C11" s="1230" t="s">
        <v>1595</v>
      </c>
      <c r="D11" s="1454">
        <f>'3c. Calculator EEM 2-3'!G71</f>
        <v>0</v>
      </c>
      <c r="E11" s="1455">
        <f>'3c. Calculator EEM 2-3'!I71</f>
        <v>0</v>
      </c>
      <c r="F11" s="1455">
        <f>'3c. Calculator EEM 2-3'!K71</f>
        <v>0</v>
      </c>
      <c r="G11" s="1455">
        <f>'3c. Calculator EEM 2-3'!M71</f>
        <v>0</v>
      </c>
      <c r="H11" s="1456"/>
      <c r="I11" s="5"/>
      <c r="J11" s="5"/>
      <c r="K11" s="6"/>
      <c r="L11" s="577" t="s">
        <v>1330</v>
      </c>
      <c r="M11" s="577" t="b">
        <f>'3c. Calculator EEM 2-3'!C38</f>
        <v>0</v>
      </c>
      <c r="N11" s="577" t="str">
        <f>IF(COUNTIF(D11:G12,0)=8,"Non","Oui")</f>
        <v>Non</v>
      </c>
      <c r="O11" s="577" t="str">
        <f>IF(N11="Non","Non",IF(AND(N11="oui",M11=FALSE),"Oui","Non"))</f>
        <v>Non</v>
      </c>
      <c r="P11" s="1332"/>
      <c r="Q11" s="1021"/>
      <c r="R11" s="1021"/>
      <c r="S11" s="1332"/>
      <c r="T11" s="1332"/>
      <c r="U11" s="1332"/>
      <c r="V11" s="1332"/>
      <c r="W11" s="1332"/>
      <c r="X11" s="1332"/>
      <c r="Y11" s="1332"/>
      <c r="Z11" s="1332"/>
      <c r="AA11" s="1332"/>
      <c r="AB11" s="1332"/>
      <c r="AC11" s="1332"/>
      <c r="AD11" s="1332"/>
      <c r="AE11" s="1332"/>
      <c r="AF11" s="1332"/>
      <c r="AG11" s="1332"/>
      <c r="AH11" s="1332"/>
      <c r="AI11" s="1332"/>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2"/>
      <c r="CG11" s="1332"/>
      <c r="CH11" s="1332"/>
      <c r="CI11" s="1332"/>
      <c r="CJ11" s="1332"/>
      <c r="CK11" s="1332"/>
      <c r="CL11" s="1332"/>
      <c r="CM11" s="1332"/>
      <c r="CN11" s="1332"/>
      <c r="CO11" s="1332"/>
      <c r="CP11" s="1332"/>
      <c r="CQ11" s="1332"/>
      <c r="CR11" s="1332"/>
      <c r="CS11" s="1332"/>
      <c r="CT11" s="1332"/>
      <c r="CU11" s="1332"/>
      <c r="CV11" s="1332"/>
      <c r="CW11" s="1332"/>
      <c r="CX11" s="1332"/>
      <c r="CY11" s="1332"/>
      <c r="CZ11" s="1332"/>
      <c r="DA11" s="1332"/>
      <c r="DB11" s="1332"/>
      <c r="DC11" s="1332"/>
      <c r="DD11" s="1332"/>
      <c r="DE11" s="1332"/>
      <c r="DF11" s="1332"/>
      <c r="DG11" s="1332"/>
      <c r="DH11" s="1332"/>
      <c r="DI11" s="1332"/>
      <c r="DJ11" s="1332"/>
      <c r="DK11" s="1332"/>
      <c r="DL11" s="1332"/>
      <c r="DM11" s="1332"/>
      <c r="DN11" s="1332"/>
      <c r="DO11" s="1332"/>
      <c r="DP11" s="1332"/>
      <c r="DQ11" s="1332"/>
      <c r="DR11" s="1332"/>
      <c r="DS11" s="1332"/>
      <c r="DT11" s="1332"/>
      <c r="DU11" s="1332"/>
      <c r="DV11" s="1332"/>
      <c r="DW11" s="1332"/>
      <c r="DX11" s="1332"/>
      <c r="DY11" s="1332"/>
      <c r="DZ11" s="1332"/>
      <c r="EA11" s="1332"/>
      <c r="EB11" s="1332"/>
      <c r="EC11" s="1332"/>
      <c r="ED11" s="1332"/>
      <c r="EE11" s="1332"/>
      <c r="EF11" s="1332"/>
      <c r="EG11" s="1332"/>
      <c r="EH11" s="1332"/>
      <c r="EI11" s="1332"/>
      <c r="EJ11" s="1332"/>
      <c r="EK11" s="1332"/>
      <c r="EL11" s="1332"/>
      <c r="EM11" s="1332"/>
      <c r="EN11" s="1332"/>
      <c r="EO11" s="1332"/>
      <c r="EP11" s="1332"/>
      <c r="EQ11" s="1332"/>
      <c r="ER11" s="1332"/>
      <c r="ES11" s="1332"/>
      <c r="ET11" s="1332"/>
      <c r="EU11" s="1332"/>
      <c r="EV11" s="1332"/>
      <c r="EW11" s="1332"/>
      <c r="EX11" s="1332"/>
      <c r="EY11" s="1332"/>
      <c r="EZ11" s="1332"/>
      <c r="FA11" s="1332"/>
      <c r="FB11" s="1332"/>
      <c r="FC11" s="1332"/>
      <c r="FD11" s="1332"/>
      <c r="FE11" s="1332"/>
      <c r="FF11" s="1332"/>
      <c r="FG11" s="1332"/>
      <c r="FH11" s="1332"/>
      <c r="FI11" s="1332"/>
      <c r="FJ11" s="1332"/>
      <c r="FK11" s="1332"/>
      <c r="FL11" s="1332"/>
      <c r="FM11" s="1332"/>
      <c r="FN11" s="1332"/>
      <c r="FO11" s="1332"/>
      <c r="FP11" s="1332"/>
      <c r="FQ11" s="1332"/>
      <c r="FR11" s="1332"/>
      <c r="FS11" s="1332"/>
      <c r="FT11" s="1332"/>
      <c r="FU11" s="1332"/>
      <c r="FV11" s="1332"/>
      <c r="FW11" s="1332"/>
      <c r="FX11" s="1332"/>
      <c r="FY11" s="1332"/>
      <c r="FZ11" s="1332"/>
      <c r="GA11" s="1332"/>
      <c r="GB11" s="1332"/>
      <c r="GC11" s="1332"/>
      <c r="GD11" s="1332"/>
      <c r="GE11" s="1332"/>
      <c r="GF11" s="1332"/>
      <c r="GG11" s="1332"/>
      <c r="GH11" s="1332"/>
      <c r="GI11" s="1332"/>
      <c r="GJ11" s="1332"/>
      <c r="GK11" s="1332"/>
      <c r="GL11" s="1332"/>
      <c r="GM11" s="1332"/>
      <c r="GN11" s="1332"/>
      <c r="GO11" s="1332"/>
      <c r="GP11" s="1332"/>
      <c r="GQ11" s="1332"/>
      <c r="GR11" s="1332"/>
      <c r="GS11" s="1332"/>
      <c r="GT11" s="1332"/>
      <c r="GU11" s="1332"/>
      <c r="GV11" s="1332"/>
      <c r="GW11" s="1332"/>
      <c r="GX11" s="1332"/>
      <c r="GY11" s="1332"/>
      <c r="GZ11" s="1332"/>
      <c r="HA11" s="1332"/>
      <c r="HB11" s="1332"/>
      <c r="HC11" s="1332"/>
      <c r="HD11" s="1332"/>
      <c r="HE11" s="1332"/>
      <c r="HF11" s="1332"/>
      <c r="HG11" s="1332"/>
      <c r="HH11" s="1332"/>
      <c r="HI11" s="1332"/>
      <c r="HJ11" s="1332"/>
      <c r="HK11" s="1332"/>
      <c r="HL11" s="1332"/>
      <c r="HM11" s="1332"/>
      <c r="HN11" s="1332"/>
      <c r="HO11" s="1332"/>
      <c r="HP11" s="1332"/>
      <c r="HQ11" s="1332"/>
      <c r="HR11" s="1332"/>
      <c r="HS11" s="1332"/>
      <c r="HT11" s="1332"/>
      <c r="HU11" s="1332"/>
      <c r="HV11" s="1332"/>
      <c r="HW11" s="1332"/>
      <c r="HX11" s="1332"/>
      <c r="HY11" s="1332"/>
      <c r="HZ11" s="1332"/>
      <c r="IA11" s="1332"/>
      <c r="IB11" s="1332"/>
      <c r="IC11" s="1332"/>
      <c r="ID11" s="1332"/>
      <c r="IE11" s="1332"/>
      <c r="IF11" s="1332"/>
      <c r="IG11" s="1332"/>
      <c r="IH11" s="1332"/>
      <c r="II11" s="1332"/>
      <c r="IJ11" s="1332"/>
      <c r="IK11" s="1332"/>
      <c r="IL11" s="1332"/>
      <c r="IM11" s="1332"/>
      <c r="IN11" s="1332"/>
      <c r="IO11" s="1332"/>
      <c r="IP11" s="1332"/>
      <c r="IQ11" s="1332"/>
      <c r="IR11" s="1332"/>
      <c r="IS11" s="1332"/>
      <c r="IT11" s="1332"/>
      <c r="IU11" s="1332"/>
      <c r="IV11" s="1332"/>
      <c r="IW11" s="1332"/>
      <c r="IX11" s="1332"/>
    </row>
    <row r="12" spans="2:258" s="571" customFormat="1" ht="31.5" customHeight="1" thickBot="1">
      <c r="B12" s="1330"/>
      <c r="C12" s="1230" t="s">
        <v>1596</v>
      </c>
      <c r="D12" s="1457">
        <f>'3c. Calculator EEM 2-3'!G72</f>
        <v>0</v>
      </c>
      <c r="E12" s="1458">
        <f>'3c. Calculator EEM 2-3'!I72</f>
        <v>0</v>
      </c>
      <c r="F12" s="1458">
        <f>'3c. Calculator EEM 2-3'!K72</f>
        <v>0</v>
      </c>
      <c r="G12" s="1458">
        <f>'3c. Calculator EEM 2-3'!M72</f>
        <v>0</v>
      </c>
      <c r="H12" s="1459"/>
      <c r="I12" s="1362"/>
      <c r="J12" s="5"/>
      <c r="K12" s="6"/>
      <c r="L12" s="6"/>
      <c r="M12" s="6"/>
      <c r="N12" s="6"/>
      <c r="O12" s="1363"/>
      <c r="P12" s="1364"/>
      <c r="Q12" s="1021"/>
      <c r="R12" s="1021"/>
      <c r="S12" s="1332"/>
      <c r="T12" s="1332"/>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T12" s="1332"/>
      <c r="AU12" s="1332"/>
      <c r="AV12" s="1332"/>
      <c r="AW12" s="1332"/>
      <c r="AX12" s="1332"/>
      <c r="AY12" s="1332"/>
      <c r="AZ12" s="1332"/>
      <c r="BA12" s="1332"/>
      <c r="BB12" s="1332"/>
      <c r="BC12" s="1332"/>
      <c r="BD12" s="1332"/>
      <c r="BE12" s="1332"/>
      <c r="BF12" s="1332"/>
      <c r="BG12" s="1332"/>
      <c r="BH12" s="1332"/>
      <c r="BI12" s="1332"/>
      <c r="BJ12" s="1332"/>
      <c r="BK12" s="1332"/>
      <c r="BL12" s="1332"/>
      <c r="BM12" s="1332"/>
      <c r="BN12" s="1332"/>
      <c r="BO12" s="1332"/>
      <c r="BP12" s="1332"/>
      <c r="BQ12" s="1332"/>
      <c r="BR12" s="1332"/>
      <c r="BS12" s="1332"/>
      <c r="BT12" s="1332"/>
      <c r="BU12" s="1332"/>
      <c r="BV12" s="1332"/>
      <c r="BW12" s="1332"/>
      <c r="BX12" s="1332"/>
      <c r="BY12" s="1332"/>
      <c r="BZ12" s="1332"/>
      <c r="CA12" s="1332"/>
      <c r="CB12" s="1332"/>
      <c r="CC12" s="1332"/>
      <c r="CD12" s="1332"/>
      <c r="CE12" s="1332"/>
      <c r="CF12" s="1332"/>
      <c r="CG12" s="1332"/>
      <c r="CH12" s="1332"/>
      <c r="CI12" s="1332"/>
      <c r="CJ12" s="1332"/>
      <c r="CK12" s="1332"/>
      <c r="CL12" s="1332"/>
      <c r="CM12" s="1332"/>
      <c r="CN12" s="1332"/>
      <c r="CO12" s="1332"/>
      <c r="CP12" s="1332"/>
      <c r="CQ12" s="1332"/>
      <c r="CR12" s="1332"/>
      <c r="CS12" s="1332"/>
      <c r="CT12" s="1332"/>
      <c r="CU12" s="1332"/>
      <c r="CV12" s="1332"/>
      <c r="CW12" s="1332"/>
      <c r="CX12" s="1332"/>
      <c r="CY12" s="1332"/>
      <c r="CZ12" s="1332"/>
      <c r="DA12" s="1332"/>
      <c r="DB12" s="1332"/>
      <c r="DC12" s="1332"/>
      <c r="DD12" s="1332"/>
      <c r="DE12" s="1332"/>
      <c r="DF12" s="1332"/>
      <c r="DG12" s="1332"/>
      <c r="DH12" s="1332"/>
      <c r="DI12" s="1332"/>
      <c r="DJ12" s="1332"/>
      <c r="DK12" s="1332"/>
      <c r="DL12" s="1332"/>
      <c r="DM12" s="1332"/>
      <c r="DN12" s="1332"/>
      <c r="DO12" s="1332"/>
      <c r="DP12" s="1332"/>
      <c r="DQ12" s="1332"/>
      <c r="DR12" s="1332"/>
      <c r="DS12" s="1332"/>
      <c r="DT12" s="1332"/>
      <c r="DU12" s="1332"/>
      <c r="DV12" s="1332"/>
      <c r="DW12" s="1332"/>
      <c r="DX12" s="1332"/>
      <c r="DY12" s="1332"/>
      <c r="DZ12" s="1332"/>
      <c r="EA12" s="1332"/>
      <c r="EB12" s="1332"/>
      <c r="EC12" s="1332"/>
      <c r="ED12" s="1332"/>
      <c r="EE12" s="1332"/>
      <c r="EF12" s="1332"/>
      <c r="EG12" s="1332"/>
      <c r="EH12" s="1332"/>
      <c r="EI12" s="1332"/>
      <c r="EJ12" s="1332"/>
      <c r="EK12" s="1332"/>
      <c r="EL12" s="1332"/>
      <c r="EM12" s="1332"/>
      <c r="EN12" s="1332"/>
      <c r="EO12" s="1332"/>
      <c r="EP12" s="1332"/>
      <c r="EQ12" s="1332"/>
      <c r="ER12" s="1332"/>
      <c r="ES12" s="1332"/>
      <c r="ET12" s="1332"/>
      <c r="EU12" s="1332"/>
      <c r="EV12" s="1332"/>
      <c r="EW12" s="1332"/>
      <c r="EX12" s="1332"/>
      <c r="EY12" s="1332"/>
      <c r="EZ12" s="1332"/>
      <c r="FA12" s="1332"/>
      <c r="FB12" s="1332"/>
      <c r="FC12" s="1332"/>
      <c r="FD12" s="1332"/>
      <c r="FE12" s="1332"/>
      <c r="FF12" s="1332"/>
      <c r="FG12" s="1332"/>
      <c r="FH12" s="1332"/>
      <c r="FI12" s="1332"/>
      <c r="FJ12" s="1332"/>
      <c r="FK12" s="1332"/>
      <c r="FL12" s="1332"/>
      <c r="FM12" s="1332"/>
      <c r="FN12" s="1332"/>
      <c r="FO12" s="1332"/>
      <c r="FP12" s="1332"/>
      <c r="FQ12" s="1332"/>
      <c r="FR12" s="1332"/>
      <c r="FS12" s="1332"/>
      <c r="FT12" s="1332"/>
      <c r="FU12" s="1332"/>
      <c r="FV12" s="1332"/>
      <c r="FW12" s="1332"/>
      <c r="FX12" s="1332"/>
      <c r="FY12" s="1332"/>
      <c r="FZ12" s="1332"/>
      <c r="GA12" s="1332"/>
      <c r="GB12" s="1332"/>
      <c r="GC12" s="1332"/>
      <c r="GD12" s="1332"/>
      <c r="GE12" s="1332"/>
      <c r="GF12" s="1332"/>
      <c r="GG12" s="1332"/>
      <c r="GH12" s="1332"/>
      <c r="GI12" s="1332"/>
      <c r="GJ12" s="1332"/>
      <c r="GK12" s="1332"/>
      <c r="GL12" s="1332"/>
      <c r="GM12" s="1332"/>
      <c r="GN12" s="1332"/>
      <c r="GO12" s="1332"/>
      <c r="GP12" s="1332"/>
      <c r="GQ12" s="1332"/>
      <c r="GR12" s="1332"/>
      <c r="GS12" s="1332"/>
      <c r="GT12" s="1332"/>
      <c r="GU12" s="1332"/>
      <c r="GV12" s="1332"/>
      <c r="GW12" s="1332"/>
      <c r="GX12" s="1332"/>
      <c r="GY12" s="1332"/>
      <c r="GZ12" s="1332"/>
      <c r="HA12" s="1332"/>
      <c r="HB12" s="1332"/>
      <c r="HC12" s="1332"/>
      <c r="HD12" s="1332"/>
      <c r="HE12" s="1332"/>
      <c r="HF12" s="1332"/>
      <c r="HG12" s="1332"/>
      <c r="HH12" s="1332"/>
      <c r="HI12" s="1332"/>
      <c r="HJ12" s="1332"/>
      <c r="HK12" s="1332"/>
      <c r="HL12" s="1332"/>
      <c r="HM12" s="1332"/>
      <c r="HN12" s="1332"/>
      <c r="HO12" s="1332"/>
      <c r="HP12" s="1332"/>
      <c r="HQ12" s="1332"/>
      <c r="HR12" s="1332"/>
      <c r="HS12" s="1332"/>
      <c r="HT12" s="1332"/>
      <c r="HU12" s="1332"/>
      <c r="HV12" s="1332"/>
      <c r="HW12" s="1332"/>
      <c r="HX12" s="1332"/>
      <c r="HY12" s="1332"/>
      <c r="HZ12" s="1332"/>
      <c r="IA12" s="1332"/>
      <c r="IB12" s="1332"/>
      <c r="IC12" s="1332"/>
      <c r="ID12" s="1332"/>
      <c r="IE12" s="1332"/>
      <c r="IF12" s="1332"/>
      <c r="IG12" s="1332"/>
      <c r="IH12" s="1332"/>
      <c r="II12" s="1332"/>
      <c r="IJ12" s="1332"/>
      <c r="IK12" s="1332"/>
      <c r="IL12" s="1332"/>
      <c r="IM12" s="1332"/>
      <c r="IN12" s="1332"/>
      <c r="IO12" s="1332"/>
      <c r="IP12" s="1332"/>
      <c r="IQ12" s="1332"/>
      <c r="IR12" s="1332"/>
      <c r="IS12" s="1332"/>
      <c r="IT12" s="1332"/>
      <c r="IU12" s="1332"/>
      <c r="IV12" s="1332"/>
      <c r="IW12" s="1332"/>
      <c r="IX12" s="1332"/>
    </row>
    <row r="13" spans="2:258" ht="6.75" customHeight="1">
      <c r="B13" s="5"/>
      <c r="C13" s="1350"/>
      <c r="D13" s="5"/>
      <c r="E13" s="5"/>
      <c r="F13" s="5"/>
      <c r="G13" s="5"/>
      <c r="H13" s="5"/>
      <c r="I13" s="5"/>
      <c r="J13" s="5"/>
    </row>
    <row r="14" spans="2:258" ht="14.25" customHeight="1">
      <c r="B14" s="5"/>
      <c r="C14" s="1756" t="str">
        <f>IF(AND(N10="Non",N11="Non"),"",IF(AND(O10="Non",O11="Non"),"The user confirms that all boilers feed the same hot water system.","/!\ You have not validated in the input data that this is a single hot water system. Please check the box in section 1 of tab 3b. and/or 3c."))</f>
        <v/>
      </c>
      <c r="D14" s="1756"/>
      <c r="E14" s="1756"/>
      <c r="F14" s="1756"/>
      <c r="G14" s="1756"/>
      <c r="H14" s="1756"/>
      <c r="I14" s="5"/>
      <c r="J14" s="5"/>
      <c r="K14" s="425"/>
    </row>
    <row r="15" spans="2:258" ht="6.75" customHeight="1">
      <c r="B15" s="5"/>
      <c r="C15" s="1350"/>
      <c r="D15" s="5"/>
      <c r="E15" s="5"/>
      <c r="F15" s="5"/>
      <c r="G15" s="5"/>
      <c r="H15" s="5"/>
      <c r="I15" s="5"/>
      <c r="J15" s="5"/>
    </row>
    <row r="17" spans="2:258">
      <c r="B17" s="1221"/>
      <c r="C17" s="1365" t="s">
        <v>1597</v>
      </c>
      <c r="D17" s="1359"/>
      <c r="E17" s="1192"/>
      <c r="F17" s="1192"/>
      <c r="G17" s="1192"/>
      <c r="H17" s="1192"/>
      <c r="I17" s="1192"/>
      <c r="J17" s="1192"/>
    </row>
    <row r="18" spans="2:258" ht="6.75" customHeight="1">
      <c r="B18" s="5"/>
      <c r="C18" s="5"/>
      <c r="D18" s="5"/>
      <c r="E18" s="5"/>
      <c r="F18" s="5"/>
      <c r="G18" s="5"/>
      <c r="H18" s="5"/>
      <c r="I18" s="5"/>
      <c r="J18" s="5"/>
    </row>
    <row r="19" spans="2:258" s="404" customFormat="1" ht="15" customHeight="1">
      <c r="B19" s="1222"/>
      <c r="C19" s="1757" t="s">
        <v>1682</v>
      </c>
      <c r="D19" s="1758"/>
      <c r="E19" s="1758"/>
      <c r="F19" s="1758"/>
      <c r="G19" s="1758"/>
      <c r="H19" s="1758"/>
      <c r="I19" s="1759"/>
      <c r="J19" s="5"/>
      <c r="P19" s="1224"/>
      <c r="Q19" s="1224"/>
      <c r="R19" s="1224"/>
      <c r="S19" s="1224"/>
      <c r="T19" s="1224"/>
      <c r="U19" s="1224"/>
      <c r="V19" s="1224"/>
      <c r="W19" s="1224"/>
      <c r="X19" s="1224"/>
      <c r="Y19" s="1224"/>
      <c r="Z19" s="1224"/>
      <c r="AA19" s="1224"/>
      <c r="AB19" s="1224"/>
      <c r="AC19" s="1224"/>
      <c r="AD19" s="1224"/>
      <c r="AE19" s="1224"/>
      <c r="AF19" s="1224"/>
      <c r="AG19" s="1224"/>
      <c r="AH19" s="1224"/>
      <c r="AI19" s="1224"/>
      <c r="AJ19" s="1224"/>
      <c r="AK19" s="1224"/>
      <c r="AL19" s="1224"/>
      <c r="AM19" s="1224"/>
      <c r="AN19" s="1224"/>
      <c r="AO19" s="1224"/>
      <c r="AP19" s="1224"/>
      <c r="AQ19" s="1224"/>
      <c r="AR19" s="1224"/>
      <c r="AS19" s="1224"/>
      <c r="AT19" s="1224"/>
      <c r="AU19" s="1224"/>
      <c r="AV19" s="1224"/>
      <c r="AW19" s="1224"/>
      <c r="AX19" s="1224"/>
      <c r="AY19" s="1224"/>
      <c r="AZ19" s="1224"/>
      <c r="BA19" s="1224"/>
      <c r="BB19" s="1224"/>
      <c r="BC19" s="1224"/>
      <c r="BD19" s="1224"/>
      <c r="BE19" s="1224"/>
      <c r="BF19" s="1224"/>
      <c r="BG19" s="1224"/>
      <c r="BH19" s="1224"/>
      <c r="BI19" s="1224"/>
      <c r="BJ19" s="1224"/>
      <c r="BK19" s="1224"/>
      <c r="BL19" s="1224"/>
      <c r="BM19" s="1224"/>
      <c r="BN19" s="1224"/>
      <c r="BO19" s="1224"/>
      <c r="BP19" s="1224"/>
      <c r="BQ19" s="1224"/>
      <c r="BR19" s="1224"/>
      <c r="BS19" s="1224"/>
      <c r="BT19" s="1224"/>
      <c r="BU19" s="1224"/>
      <c r="BV19" s="1224"/>
      <c r="BW19" s="1224"/>
      <c r="BX19" s="1224"/>
      <c r="BY19" s="1224"/>
      <c r="BZ19" s="1224"/>
      <c r="CA19" s="1224"/>
      <c r="CB19" s="1224"/>
      <c r="CC19" s="1224"/>
      <c r="CD19" s="1224"/>
      <c r="CE19" s="1224"/>
      <c r="CF19" s="1224"/>
      <c r="CG19" s="1224"/>
      <c r="CH19" s="1224"/>
      <c r="CI19" s="1224"/>
      <c r="CJ19" s="1224"/>
      <c r="CK19" s="1224"/>
      <c r="CL19" s="1224"/>
      <c r="CM19" s="1224"/>
      <c r="CN19" s="1224"/>
      <c r="CO19" s="1224"/>
      <c r="CP19" s="1224"/>
      <c r="CQ19" s="1224"/>
      <c r="CR19" s="1224"/>
      <c r="CS19" s="1224"/>
      <c r="CT19" s="1224"/>
      <c r="CU19" s="1224"/>
      <c r="CV19" s="1224"/>
      <c r="CW19" s="1224"/>
      <c r="CX19" s="1224"/>
      <c r="CY19" s="1224"/>
      <c r="CZ19" s="1224"/>
      <c r="DA19" s="1224"/>
      <c r="DB19" s="1224"/>
      <c r="DC19" s="1224"/>
      <c r="DD19" s="1224"/>
      <c r="DE19" s="1224"/>
      <c r="DF19" s="1224"/>
      <c r="DG19" s="1224"/>
      <c r="DH19" s="1224"/>
      <c r="DI19" s="1224"/>
      <c r="DJ19" s="1224"/>
      <c r="DK19" s="1224"/>
      <c r="DL19" s="1224"/>
      <c r="DM19" s="1224"/>
      <c r="DN19" s="1224"/>
      <c r="DO19" s="1224"/>
      <c r="DP19" s="1224"/>
      <c r="DQ19" s="1224"/>
      <c r="DR19" s="1224"/>
      <c r="DS19" s="1224"/>
      <c r="DT19" s="1224"/>
      <c r="DU19" s="1224"/>
      <c r="DV19" s="1224"/>
      <c r="DW19" s="1224"/>
      <c r="DX19" s="1224"/>
      <c r="DY19" s="1224"/>
      <c r="DZ19" s="1224"/>
      <c r="EA19" s="1224"/>
      <c r="EB19" s="1224"/>
      <c r="EC19" s="1224"/>
      <c r="ED19" s="1224"/>
      <c r="EE19" s="1224"/>
      <c r="EF19" s="1224"/>
      <c r="EG19" s="1224"/>
      <c r="EH19" s="1224"/>
      <c r="EI19" s="1224"/>
      <c r="EJ19" s="1224"/>
      <c r="EK19" s="1224"/>
      <c r="EL19" s="1224"/>
      <c r="EM19" s="1224"/>
      <c r="EN19" s="1224"/>
      <c r="EO19" s="1224"/>
      <c r="EP19" s="1224"/>
      <c r="EQ19" s="1224"/>
      <c r="ER19" s="1224"/>
      <c r="ES19" s="1224"/>
      <c r="ET19" s="1224"/>
      <c r="EU19" s="1224"/>
      <c r="EV19" s="1224"/>
      <c r="EW19" s="1224"/>
      <c r="EX19" s="1224"/>
      <c r="EY19" s="1224"/>
      <c r="EZ19" s="1224"/>
      <c r="FA19" s="1224"/>
      <c r="FB19" s="1224"/>
      <c r="FC19" s="1224"/>
      <c r="FD19" s="1224"/>
      <c r="FE19" s="1224"/>
      <c r="FF19" s="1224"/>
      <c r="FG19" s="1224"/>
      <c r="FH19" s="1224"/>
      <c r="FI19" s="1224"/>
      <c r="FJ19" s="1224"/>
      <c r="FK19" s="1224"/>
      <c r="FL19" s="1224"/>
      <c r="FM19" s="1224"/>
      <c r="FN19" s="1224"/>
      <c r="FO19" s="1224"/>
      <c r="FP19" s="1224"/>
      <c r="FQ19" s="1224"/>
      <c r="FR19" s="1224"/>
      <c r="FS19" s="1224"/>
      <c r="FT19" s="1224"/>
      <c r="FU19" s="1224"/>
      <c r="FV19" s="1224"/>
      <c r="FW19" s="1224"/>
      <c r="FX19" s="1224"/>
      <c r="FY19" s="1224"/>
      <c r="FZ19" s="1224"/>
      <c r="GA19" s="1224"/>
      <c r="GB19" s="1224"/>
      <c r="GC19" s="1224"/>
      <c r="GD19" s="1224"/>
      <c r="GE19" s="1224"/>
      <c r="GF19" s="1224"/>
      <c r="GG19" s="1224"/>
      <c r="GH19" s="1224"/>
      <c r="GI19" s="1224"/>
      <c r="GJ19" s="1224"/>
      <c r="GK19" s="1224"/>
      <c r="GL19" s="1224"/>
      <c r="GM19" s="1224"/>
      <c r="GN19" s="1224"/>
      <c r="GO19" s="1224"/>
      <c r="GP19" s="1224"/>
      <c r="GQ19" s="1224"/>
      <c r="GR19" s="1224"/>
      <c r="GS19" s="1224"/>
      <c r="GT19" s="1224"/>
      <c r="GU19" s="1224"/>
      <c r="GV19" s="1224"/>
      <c r="GW19" s="1224"/>
      <c r="GX19" s="1224"/>
      <c r="GY19" s="1224"/>
      <c r="GZ19" s="1224"/>
      <c r="HA19" s="1224"/>
      <c r="HB19" s="1224"/>
      <c r="HC19" s="1224"/>
      <c r="HD19" s="1224"/>
      <c r="HE19" s="1224"/>
      <c r="HF19" s="1224"/>
      <c r="HG19" s="1224"/>
      <c r="HH19" s="1224"/>
      <c r="HI19" s="1224"/>
      <c r="HJ19" s="1224"/>
      <c r="HK19" s="1224"/>
      <c r="HL19" s="1224"/>
      <c r="HM19" s="1224"/>
      <c r="HN19" s="1224"/>
      <c r="HO19" s="1224"/>
      <c r="HP19" s="1224"/>
      <c r="HQ19" s="1224"/>
      <c r="HR19" s="1224"/>
      <c r="HS19" s="1224"/>
      <c r="HT19" s="1224"/>
      <c r="HU19" s="1224"/>
      <c r="HV19" s="1224"/>
      <c r="HW19" s="1224"/>
      <c r="HX19" s="1224"/>
      <c r="HY19" s="1224"/>
      <c r="HZ19" s="1224"/>
      <c r="IA19" s="1224"/>
      <c r="IB19" s="1224"/>
      <c r="IC19" s="1224"/>
      <c r="ID19" s="1224"/>
      <c r="IE19" s="1224"/>
      <c r="IF19" s="1224"/>
      <c r="IG19" s="1224"/>
      <c r="IH19" s="1224"/>
      <c r="II19" s="1224"/>
      <c r="IJ19" s="1224"/>
      <c r="IK19" s="1224"/>
      <c r="IL19" s="1224"/>
      <c r="IM19" s="1224"/>
      <c r="IN19" s="1224"/>
      <c r="IO19" s="1224"/>
      <c r="IP19" s="1224"/>
      <c r="IQ19" s="1224"/>
      <c r="IR19" s="1224"/>
      <c r="IS19" s="1224"/>
      <c r="IT19" s="1224"/>
      <c r="IU19" s="1224"/>
      <c r="IV19" s="1224"/>
      <c r="IW19" s="1224"/>
      <c r="IX19" s="1224"/>
    </row>
    <row r="20" spans="2:258" s="404" customFormat="1" ht="15" customHeight="1">
      <c r="B20" s="1222"/>
      <c r="C20" s="1760"/>
      <c r="D20" s="1761"/>
      <c r="E20" s="1761"/>
      <c r="F20" s="1761"/>
      <c r="G20" s="1761"/>
      <c r="H20" s="1761"/>
      <c r="I20" s="1762"/>
      <c r="J20" s="5"/>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224"/>
      <c r="AM20" s="1224"/>
      <c r="AN20" s="1224"/>
      <c r="AO20" s="1224"/>
      <c r="AP20" s="1224"/>
      <c r="AQ20" s="1224"/>
      <c r="AR20" s="1224"/>
      <c r="AS20" s="1224"/>
      <c r="AT20" s="1224"/>
      <c r="AU20" s="1224"/>
      <c r="AV20" s="1224"/>
      <c r="AW20" s="1224"/>
      <c r="AX20" s="1224"/>
      <c r="AY20" s="1224"/>
      <c r="AZ20" s="1224"/>
      <c r="BA20" s="1224"/>
      <c r="BB20" s="1224"/>
      <c r="BC20" s="1224"/>
      <c r="BD20" s="1224"/>
      <c r="BE20" s="1224"/>
      <c r="BF20" s="1224"/>
      <c r="BG20" s="1224"/>
      <c r="BH20" s="1224"/>
      <c r="BI20" s="1224"/>
      <c r="BJ20" s="1224"/>
      <c r="BK20" s="1224"/>
      <c r="BL20" s="1224"/>
      <c r="BM20" s="1224"/>
      <c r="BN20" s="1224"/>
      <c r="BO20" s="1224"/>
      <c r="BP20" s="1224"/>
      <c r="BQ20" s="1224"/>
      <c r="BR20" s="1224"/>
      <c r="BS20" s="1224"/>
      <c r="BT20" s="1224"/>
      <c r="BU20" s="1224"/>
      <c r="BV20" s="1224"/>
      <c r="BW20" s="1224"/>
      <c r="BX20" s="1224"/>
      <c r="BY20" s="1224"/>
      <c r="BZ20" s="1224"/>
      <c r="CA20" s="1224"/>
      <c r="CB20" s="1224"/>
      <c r="CC20" s="1224"/>
      <c r="CD20" s="1224"/>
      <c r="CE20" s="1224"/>
      <c r="CF20" s="1224"/>
      <c r="CG20" s="1224"/>
      <c r="CH20" s="1224"/>
      <c r="CI20" s="1224"/>
      <c r="CJ20" s="1224"/>
      <c r="CK20" s="1224"/>
      <c r="CL20" s="1224"/>
      <c r="CM20" s="1224"/>
      <c r="CN20" s="1224"/>
      <c r="CO20" s="1224"/>
      <c r="CP20" s="1224"/>
      <c r="CQ20" s="1224"/>
      <c r="CR20" s="1224"/>
      <c r="CS20" s="1224"/>
      <c r="CT20" s="1224"/>
      <c r="CU20" s="1224"/>
      <c r="CV20" s="1224"/>
      <c r="CW20" s="1224"/>
      <c r="CX20" s="1224"/>
      <c r="CY20" s="1224"/>
      <c r="CZ20" s="1224"/>
      <c r="DA20" s="1224"/>
      <c r="DB20" s="1224"/>
      <c r="DC20" s="1224"/>
      <c r="DD20" s="1224"/>
      <c r="DE20" s="1224"/>
      <c r="DF20" s="1224"/>
      <c r="DG20" s="1224"/>
      <c r="DH20" s="1224"/>
      <c r="DI20" s="1224"/>
      <c r="DJ20" s="1224"/>
      <c r="DK20" s="1224"/>
      <c r="DL20" s="1224"/>
      <c r="DM20" s="1224"/>
      <c r="DN20" s="1224"/>
      <c r="DO20" s="1224"/>
      <c r="DP20" s="1224"/>
      <c r="DQ20" s="1224"/>
      <c r="DR20" s="1224"/>
      <c r="DS20" s="1224"/>
      <c r="DT20" s="1224"/>
      <c r="DU20" s="1224"/>
      <c r="DV20" s="1224"/>
      <c r="DW20" s="1224"/>
      <c r="DX20" s="1224"/>
      <c r="DY20" s="1224"/>
      <c r="DZ20" s="1224"/>
      <c r="EA20" s="1224"/>
      <c r="EB20" s="1224"/>
      <c r="EC20" s="1224"/>
      <c r="ED20" s="1224"/>
      <c r="EE20" s="1224"/>
      <c r="EF20" s="1224"/>
      <c r="EG20" s="1224"/>
      <c r="EH20" s="1224"/>
      <c r="EI20" s="1224"/>
      <c r="EJ20" s="1224"/>
      <c r="EK20" s="1224"/>
      <c r="EL20" s="1224"/>
      <c r="EM20" s="1224"/>
      <c r="EN20" s="1224"/>
      <c r="EO20" s="1224"/>
      <c r="EP20" s="1224"/>
      <c r="EQ20" s="1224"/>
      <c r="ER20" s="1224"/>
      <c r="ES20" s="1224"/>
      <c r="ET20" s="1224"/>
      <c r="EU20" s="1224"/>
      <c r="EV20" s="1224"/>
      <c r="EW20" s="1224"/>
      <c r="EX20" s="1224"/>
      <c r="EY20" s="1224"/>
      <c r="EZ20" s="1224"/>
      <c r="FA20" s="1224"/>
      <c r="FB20" s="1224"/>
      <c r="FC20" s="1224"/>
      <c r="FD20" s="1224"/>
      <c r="FE20" s="1224"/>
      <c r="FF20" s="1224"/>
      <c r="FG20" s="1224"/>
      <c r="FH20" s="1224"/>
      <c r="FI20" s="1224"/>
      <c r="FJ20" s="1224"/>
      <c r="FK20" s="1224"/>
      <c r="FL20" s="1224"/>
      <c r="FM20" s="1224"/>
      <c r="FN20" s="1224"/>
      <c r="FO20" s="1224"/>
      <c r="FP20" s="1224"/>
      <c r="FQ20" s="1224"/>
      <c r="FR20" s="1224"/>
      <c r="FS20" s="1224"/>
      <c r="FT20" s="1224"/>
      <c r="FU20" s="1224"/>
      <c r="FV20" s="1224"/>
      <c r="FW20" s="1224"/>
      <c r="FX20" s="1224"/>
      <c r="FY20" s="1224"/>
      <c r="FZ20" s="1224"/>
      <c r="GA20" s="1224"/>
      <c r="GB20" s="1224"/>
      <c r="GC20" s="1224"/>
      <c r="GD20" s="1224"/>
      <c r="GE20" s="1224"/>
      <c r="GF20" s="1224"/>
      <c r="GG20" s="1224"/>
      <c r="GH20" s="1224"/>
      <c r="GI20" s="1224"/>
      <c r="GJ20" s="1224"/>
      <c r="GK20" s="1224"/>
      <c r="GL20" s="1224"/>
      <c r="GM20" s="1224"/>
      <c r="GN20" s="1224"/>
      <c r="GO20" s="1224"/>
      <c r="GP20" s="1224"/>
      <c r="GQ20" s="1224"/>
      <c r="GR20" s="1224"/>
      <c r="GS20" s="1224"/>
      <c r="GT20" s="1224"/>
      <c r="GU20" s="1224"/>
      <c r="GV20" s="1224"/>
      <c r="GW20" s="1224"/>
      <c r="GX20" s="1224"/>
      <c r="GY20" s="1224"/>
      <c r="GZ20" s="1224"/>
      <c r="HA20" s="1224"/>
      <c r="HB20" s="1224"/>
      <c r="HC20" s="1224"/>
      <c r="HD20" s="1224"/>
      <c r="HE20" s="1224"/>
      <c r="HF20" s="1224"/>
      <c r="HG20" s="1224"/>
      <c r="HH20" s="1224"/>
      <c r="HI20" s="1224"/>
      <c r="HJ20" s="1224"/>
      <c r="HK20" s="1224"/>
      <c r="HL20" s="1224"/>
      <c r="HM20" s="1224"/>
      <c r="HN20" s="1224"/>
      <c r="HO20" s="1224"/>
      <c r="HP20" s="1224"/>
      <c r="HQ20" s="1224"/>
      <c r="HR20" s="1224"/>
      <c r="HS20" s="1224"/>
      <c r="HT20" s="1224"/>
      <c r="HU20" s="1224"/>
      <c r="HV20" s="1224"/>
      <c r="HW20" s="1224"/>
      <c r="HX20" s="1224"/>
      <c r="HY20" s="1224"/>
      <c r="HZ20" s="1224"/>
      <c r="IA20" s="1224"/>
      <c r="IB20" s="1224"/>
      <c r="IC20" s="1224"/>
      <c r="ID20" s="1224"/>
      <c r="IE20" s="1224"/>
      <c r="IF20" s="1224"/>
      <c r="IG20" s="1224"/>
      <c r="IH20" s="1224"/>
      <c r="II20" s="1224"/>
      <c r="IJ20" s="1224"/>
      <c r="IK20" s="1224"/>
      <c r="IL20" s="1224"/>
      <c r="IM20" s="1224"/>
      <c r="IN20" s="1224"/>
      <c r="IO20" s="1224"/>
      <c r="IP20" s="1224"/>
      <c r="IQ20" s="1224"/>
      <c r="IR20" s="1224"/>
      <c r="IS20" s="1224"/>
      <c r="IT20" s="1224"/>
      <c r="IU20" s="1224"/>
      <c r="IV20" s="1224"/>
      <c r="IW20" s="1224"/>
      <c r="IX20" s="1224"/>
    </row>
    <row r="21" spans="2:258">
      <c r="B21" s="1330"/>
      <c r="C21" s="1366"/>
      <c r="D21" s="1366"/>
      <c r="E21" s="1366"/>
      <c r="F21" s="995"/>
      <c r="G21" s="995"/>
      <c r="H21" s="996"/>
      <c r="I21" s="997"/>
      <c r="J21" s="995"/>
    </row>
    <row r="22" spans="2:258">
      <c r="B22" s="1330"/>
      <c r="C22" s="1660" t="s">
        <v>1649</v>
      </c>
      <c r="D22" s="1659" t="s">
        <v>1598</v>
      </c>
      <c r="E22" s="1651"/>
      <c r="F22" s="1651"/>
      <c r="G22" s="1651"/>
      <c r="H22" s="1651"/>
      <c r="I22" s="1651"/>
      <c r="J22" s="995"/>
    </row>
    <row r="23" spans="2:258" ht="15" thickBot="1">
      <c r="B23" s="1195"/>
      <c r="C23" s="1662"/>
      <c r="D23" s="1019" t="s">
        <v>1465</v>
      </c>
      <c r="E23" s="1019" t="s">
        <v>1466</v>
      </c>
      <c r="F23" s="1019" t="s">
        <v>1467</v>
      </c>
      <c r="G23" s="1019" t="s">
        <v>1468</v>
      </c>
      <c r="H23" s="1019" t="s">
        <v>1681</v>
      </c>
      <c r="I23" s="1020" t="s">
        <v>1285</v>
      </c>
      <c r="J23" s="1198"/>
    </row>
    <row r="24" spans="2:258">
      <c r="B24" s="1195"/>
      <c r="C24" s="1754" t="s">
        <v>1529</v>
      </c>
      <c r="D24" s="1763"/>
      <c r="E24" s="1765"/>
      <c r="F24" s="1765"/>
      <c r="G24" s="1765"/>
      <c r="H24" s="1460">
        <f>'3b. Calculator - EEM 1'!G130</f>
        <v>0</v>
      </c>
      <c r="I24" s="1751">
        <f>H24</f>
        <v>0</v>
      </c>
      <c r="J24" s="1198"/>
    </row>
    <row r="25" spans="2:258" ht="13.5" customHeight="1">
      <c r="B25" s="1195"/>
      <c r="C25" s="1755"/>
      <c r="D25" s="1764"/>
      <c r="E25" s="1766"/>
      <c r="F25" s="1766"/>
      <c r="G25" s="1766"/>
      <c r="H25" s="1461" t="str">
        <f>IF('3b. Calculator - EEM 1'!P130&gt;0,"Note 4","")</f>
        <v/>
      </c>
      <c r="I25" s="1752"/>
      <c r="J25" s="1198"/>
    </row>
    <row r="26" spans="2:258">
      <c r="B26" s="1195"/>
      <c r="C26" s="1754" t="s">
        <v>1595</v>
      </c>
      <c r="D26" s="1462">
        <f>'3c. Calculator EEM 2-3'!G82</f>
        <v>0</v>
      </c>
      <c r="E26" s="1463">
        <f>'3c. Calculator EEM 2-3'!I82</f>
        <v>0</v>
      </c>
      <c r="F26" s="1463">
        <f>'3c. Calculator EEM 2-3'!K82</f>
        <v>0</v>
      </c>
      <c r="G26" s="1464">
        <f>'3c. Calculator EEM 2-3'!M82</f>
        <v>0</v>
      </c>
      <c r="H26" s="1749"/>
      <c r="I26" s="1751">
        <f>SUM(D26:G26)</f>
        <v>0</v>
      </c>
      <c r="J26" s="1198"/>
    </row>
    <row r="27" spans="2:258" ht="13.5" customHeight="1">
      <c r="B27" s="1195"/>
      <c r="C27" s="1755"/>
      <c r="D27" s="1465" t="str">
        <f>'3c. Calculator EEM 2-3'!G83</f>
        <v/>
      </c>
      <c r="E27" s="1466" t="str">
        <f>'3c. Calculator EEM 2-3'!I83</f>
        <v/>
      </c>
      <c r="F27" s="1466" t="str">
        <f>'3c. Calculator EEM 2-3'!K83</f>
        <v/>
      </c>
      <c r="G27" s="1466" t="str">
        <f>'3c. Calculator EEM 2-3'!M83</f>
        <v/>
      </c>
      <c r="H27" s="1753"/>
      <c r="I27" s="1752"/>
      <c r="J27" s="1198"/>
    </row>
    <row r="28" spans="2:258">
      <c r="B28" s="1195"/>
      <c r="C28" s="1754" t="s">
        <v>1596</v>
      </c>
      <c r="D28" s="1462">
        <f>'3c. Calculator EEM 2-3'!G84</f>
        <v>0</v>
      </c>
      <c r="E28" s="1463">
        <f>'3c. Calculator EEM 2-3'!I84</f>
        <v>0</v>
      </c>
      <c r="F28" s="1463">
        <f>'3c. Calculator EEM 2-3'!K84</f>
        <v>0</v>
      </c>
      <c r="G28" s="1464">
        <f>'3c. Calculator EEM 2-3'!M84</f>
        <v>0</v>
      </c>
      <c r="H28" s="1749"/>
      <c r="I28" s="1751">
        <f>SUM(D28:G28)</f>
        <v>0</v>
      </c>
      <c r="J28" s="1198"/>
    </row>
    <row r="29" spans="2:258" ht="12" customHeight="1" thickBot="1">
      <c r="B29" s="1195"/>
      <c r="C29" s="1755"/>
      <c r="D29" s="1467" t="str">
        <f>'3c. Calculator EEM 2-3'!G85</f>
        <v/>
      </c>
      <c r="E29" s="1468" t="str">
        <f>'3c. Calculator EEM 2-3'!I85</f>
        <v/>
      </c>
      <c r="F29" s="1468" t="str">
        <f>'3c. Calculator EEM 2-3'!K85</f>
        <v/>
      </c>
      <c r="G29" s="1468" t="str">
        <f>'3c. Calculator EEM 2-3'!M85</f>
        <v/>
      </c>
      <c r="H29" s="1750"/>
      <c r="I29" s="1752"/>
      <c r="J29" s="1198"/>
    </row>
    <row r="30" spans="2:258" ht="17.25" customHeight="1">
      <c r="B30" s="5"/>
      <c r="C30" s="1367" t="s">
        <v>18</v>
      </c>
      <c r="D30" s="1469">
        <f>D26+D28</f>
        <v>0</v>
      </c>
      <c r="E30" s="1469">
        <f>E26+E28</f>
        <v>0</v>
      </c>
      <c r="F30" s="1469">
        <f>F26+F28</f>
        <v>0</v>
      </c>
      <c r="G30" s="1469">
        <f>G26+G28</f>
        <v>0</v>
      </c>
      <c r="H30" s="1469">
        <f>H24</f>
        <v>0</v>
      </c>
      <c r="I30" s="1470">
        <f>I24+I26+I28</f>
        <v>0</v>
      </c>
      <c r="J30" s="5"/>
    </row>
    <row r="31" spans="2:258" ht="6.75" customHeight="1">
      <c r="B31" s="5"/>
      <c r="C31" s="1342" t="s">
        <v>1194</v>
      </c>
      <c r="D31" s="1293"/>
      <c r="E31" s="1337"/>
      <c r="F31" s="1338"/>
      <c r="G31" s="1339"/>
      <c r="H31" s="1339"/>
      <c r="I31" s="1340"/>
      <c r="J31" s="1239"/>
    </row>
    <row r="32" spans="2:258">
      <c r="B32" s="5"/>
      <c r="C32" s="1471" t="str">
        <f>'3c. Calculator EEM 2-3'!D92</f>
        <v>¹  Measure not applicable because the annual number of operating hours is less than 2000 hours/year. Cases that do not meet this criterion can be submitted to Énergir for discussion.</v>
      </c>
      <c r="D32" s="1293"/>
      <c r="E32" s="1293"/>
      <c r="F32" s="1338"/>
      <c r="G32" s="1339"/>
      <c r="H32" s="1339"/>
      <c r="I32" s="1340"/>
      <c r="J32" s="1239"/>
    </row>
    <row r="33" spans="2:10">
      <c r="B33" s="5"/>
      <c r="C33" s="1471" t="s">
        <v>1709</v>
      </c>
      <c r="D33" s="1293"/>
      <c r="E33" s="1293"/>
      <c r="F33" s="1338"/>
      <c r="G33" s="1339"/>
      <c r="H33" s="1339"/>
      <c r="I33" s="1340"/>
      <c r="J33" s="1239"/>
    </row>
    <row r="34" spans="2:10">
      <c r="B34" s="5"/>
      <c r="C34" s="1471" t="s">
        <v>1710</v>
      </c>
      <c r="D34" s="1293"/>
      <c r="E34" s="1337"/>
      <c r="F34" s="1338"/>
      <c r="G34" s="1339"/>
      <c r="H34" s="1339"/>
      <c r="I34" s="1340"/>
      <c r="J34" s="1239"/>
    </row>
    <row r="35" spans="2:10">
      <c r="B35" s="5"/>
      <c r="C35" s="1471" t="s">
        <v>1711</v>
      </c>
      <c r="D35" s="1293"/>
      <c r="E35" s="1293"/>
      <c r="F35" s="1338"/>
      <c r="G35" s="1339"/>
      <c r="H35" s="1339"/>
      <c r="I35" s="1340"/>
      <c r="J35" s="1239"/>
    </row>
    <row r="36" spans="2:10" ht="6.75" customHeight="1">
      <c r="B36" s="5"/>
      <c r="C36" s="1472"/>
      <c r="D36" s="1293"/>
      <c r="E36" s="1337"/>
      <c r="F36" s="1338"/>
      <c r="G36" s="1339"/>
      <c r="H36" s="1339"/>
      <c r="I36" s="1340"/>
      <c r="J36" s="1239"/>
    </row>
    <row r="37" spans="2:10" ht="6.75" customHeight="1">
      <c r="B37" s="1330"/>
      <c r="C37" s="1366"/>
      <c r="D37" s="1366"/>
      <c r="E37" s="1366"/>
      <c r="F37" s="995"/>
      <c r="G37" s="995"/>
      <c r="H37" s="998"/>
      <c r="I37" s="999"/>
      <c r="J37" s="995"/>
    </row>
    <row r="38" spans="2:10">
      <c r="B38" s="1368"/>
      <c r="C38" s="1369"/>
      <c r="D38" s="1369"/>
      <c r="E38" s="1369"/>
      <c r="F38" s="1000"/>
      <c r="G38" s="1000"/>
      <c r="H38" s="1001"/>
      <c r="I38" s="1002"/>
      <c r="J38" s="1000"/>
    </row>
    <row r="39" spans="2:10">
      <c r="B39" s="1034"/>
      <c r="C39" s="1558" t="s">
        <v>1599</v>
      </c>
      <c r="D39" s="1558"/>
      <c r="E39" s="1558"/>
      <c r="F39" s="1558"/>
      <c r="G39" s="1558"/>
      <c r="H39" s="1558"/>
      <c r="I39" s="1558"/>
      <c r="J39" s="1034"/>
    </row>
    <row r="40" spans="2:10" ht="6.75" customHeight="1">
      <c r="B40" s="1370"/>
      <c r="C40" s="1196"/>
      <c r="D40" s="1197"/>
      <c r="E40" s="1197"/>
      <c r="F40" s="1197"/>
      <c r="G40" s="1197"/>
      <c r="H40" s="1197"/>
      <c r="I40" s="1197"/>
      <c r="J40" s="1198"/>
    </row>
    <row r="41" spans="2:10">
      <c r="B41" s="1371" t="s">
        <v>1334</v>
      </c>
      <c r="C41" s="1041" t="s">
        <v>1600</v>
      </c>
      <c r="D41" s="1041"/>
      <c r="E41" s="1041"/>
      <c r="F41" s="1041"/>
      <c r="G41" s="1041"/>
      <c r="H41" s="1041"/>
      <c r="I41" s="1041"/>
      <c r="J41" s="1041"/>
    </row>
    <row r="42" spans="2:10" ht="6.75" customHeight="1">
      <c r="B42" s="1370"/>
      <c r="C42" s="1036"/>
      <c r="D42" s="1036"/>
      <c r="E42" s="1036"/>
      <c r="F42" s="1036"/>
      <c r="G42" s="1036"/>
      <c r="H42" s="1036"/>
      <c r="I42" s="1036"/>
      <c r="J42" s="1036"/>
    </row>
    <row r="43" spans="2:10" ht="15" thickBot="1">
      <c r="B43" s="1370"/>
      <c r="C43" s="1372" t="s">
        <v>1601</v>
      </c>
      <c r="D43" s="1372" t="s">
        <v>1602</v>
      </c>
      <c r="E43" s="1372" t="s">
        <v>1603</v>
      </c>
      <c r="F43" s="1036"/>
      <c r="G43" s="1036"/>
      <c r="H43" s="1036"/>
      <c r="I43" s="1036"/>
      <c r="J43" s="1036"/>
    </row>
    <row r="44" spans="2:10">
      <c r="B44" s="1370"/>
      <c r="C44" s="864"/>
      <c r="D44" s="865"/>
      <c r="E44" s="866"/>
      <c r="F44" s="1036"/>
      <c r="G44" s="1036"/>
      <c r="H44" s="1036"/>
      <c r="I44" s="1036"/>
      <c r="J44" s="1036"/>
    </row>
    <row r="45" spans="2:10">
      <c r="B45" s="1370"/>
      <c r="C45" s="867"/>
      <c r="D45" s="868"/>
      <c r="E45" s="869"/>
      <c r="F45" s="1036"/>
      <c r="G45" s="1036"/>
      <c r="H45" s="1036"/>
      <c r="I45" s="1036"/>
      <c r="J45" s="1036"/>
    </row>
    <row r="46" spans="2:10" ht="15" thickBot="1">
      <c r="B46" s="1370"/>
      <c r="C46" s="870"/>
      <c r="D46" s="871"/>
      <c r="E46" s="872"/>
      <c r="F46" s="1036"/>
      <c r="G46" s="1036"/>
      <c r="H46" s="1036"/>
      <c r="I46" s="1036"/>
      <c r="J46" s="1036"/>
    </row>
    <row r="47" spans="2:10" ht="6.75" customHeight="1">
      <c r="B47" s="1370"/>
      <c r="C47" s="1373"/>
      <c r="D47" s="1373"/>
      <c r="E47" s="1373"/>
      <c r="F47" s="1373"/>
      <c r="G47" s="1374"/>
      <c r="H47" s="1374"/>
      <c r="I47" s="1373"/>
      <c r="J47" s="1373"/>
    </row>
    <row r="48" spans="2:10">
      <c r="B48" s="1370"/>
      <c r="C48" s="1041" t="s">
        <v>1604</v>
      </c>
      <c r="D48" s="1041"/>
      <c r="E48" s="1041"/>
      <c r="F48" s="1041"/>
      <c r="G48" s="1041"/>
      <c r="H48" s="1041"/>
      <c r="I48" s="1041"/>
      <c r="J48" s="1041"/>
    </row>
    <row r="49" spans="2:10" ht="6.75" customHeight="1">
      <c r="B49" s="1370"/>
      <c r="C49" s="1196"/>
      <c r="D49" s="1197"/>
      <c r="E49" s="1197"/>
      <c r="F49" s="1197"/>
      <c r="G49" s="1197"/>
      <c r="H49" s="1197"/>
      <c r="I49" s="1197"/>
      <c r="J49" s="1198"/>
    </row>
    <row r="50" spans="2:10">
      <c r="B50" s="1368"/>
      <c r="C50" s="1369"/>
      <c r="D50" s="1369"/>
      <c r="E50" s="1369"/>
      <c r="F50" s="1000"/>
      <c r="G50" s="1000"/>
      <c r="H50" s="1001"/>
      <c r="I50" s="1002"/>
      <c r="J50" s="1000"/>
    </row>
    <row r="51" spans="2:10" ht="15" customHeight="1">
      <c r="B51" s="1034"/>
      <c r="C51" s="1558" t="s">
        <v>1605</v>
      </c>
      <c r="D51" s="1558"/>
      <c r="E51" s="1558"/>
      <c r="F51" s="1558"/>
      <c r="G51" s="1558"/>
      <c r="H51" s="1558"/>
      <c r="I51" s="1558"/>
      <c r="J51" s="1034"/>
    </row>
    <row r="52" spans="2:10" ht="6.75" customHeight="1" thickBot="1">
      <c r="B52" s="1370"/>
      <c r="C52" s="1196"/>
      <c r="D52" s="1197"/>
      <c r="E52" s="1197"/>
      <c r="F52" s="1197"/>
      <c r="G52" s="1197"/>
      <c r="H52" s="1197"/>
      <c r="I52" s="1197"/>
      <c r="J52" s="1198"/>
    </row>
    <row r="53" spans="2:10" ht="15" thickBot="1">
      <c r="B53" s="1371" t="s">
        <v>1334</v>
      </c>
      <c r="C53" s="1281" t="s">
        <v>1606</v>
      </c>
      <c r="D53" s="1197"/>
      <c r="E53" s="1197"/>
      <c r="F53" s="1197"/>
      <c r="G53" s="1197"/>
      <c r="H53" s="5"/>
      <c r="I53" s="873"/>
      <c r="J53" s="1198"/>
    </row>
    <row r="54" spans="2:10" ht="6.75" customHeight="1">
      <c r="B54" s="1370"/>
      <c r="C54" s="1196"/>
      <c r="D54" s="1197"/>
      <c r="E54" s="1197"/>
      <c r="F54" s="1197"/>
      <c r="G54" s="1197"/>
      <c r="H54" s="1197"/>
      <c r="I54" s="1197"/>
      <c r="J54" s="1198"/>
    </row>
    <row r="55" spans="2:10" ht="26.25" customHeight="1">
      <c r="B55" s="1375"/>
      <c r="C55" s="1745" t="s">
        <v>1607</v>
      </c>
      <c r="D55" s="1745"/>
      <c r="E55" s="1745"/>
      <c r="F55" s="1745"/>
      <c r="G55" s="1745"/>
      <c r="H55" s="1745"/>
      <c r="I55" s="1003"/>
      <c r="J55" s="1004"/>
    </row>
    <row r="56" spans="2:10" ht="6.75" customHeight="1" thickBot="1">
      <c r="B56" s="1375"/>
      <c r="C56" s="1376"/>
      <c r="D56" s="1377"/>
      <c r="E56" s="1377"/>
      <c r="F56" s="1004"/>
      <c r="G56" s="1004"/>
      <c r="H56" s="1005"/>
      <c r="I56" s="1003"/>
      <c r="J56" s="1004"/>
    </row>
    <row r="57" spans="2:10" ht="22.5" customHeight="1">
      <c r="B57" s="1375"/>
      <c r="C57" s="1378" t="s">
        <v>1586</v>
      </c>
      <c r="D57" s="1379" t="s">
        <v>1529</v>
      </c>
      <c r="E57" s="1379" t="s">
        <v>1460</v>
      </c>
      <c r="F57" s="1380" t="s">
        <v>1590</v>
      </c>
      <c r="G57" s="1381" t="s">
        <v>1285</v>
      </c>
      <c r="H57" s="5"/>
      <c r="I57" s="1003"/>
      <c r="J57" s="1059"/>
    </row>
    <row r="58" spans="2:10">
      <c r="B58" s="1375"/>
      <c r="C58" s="1382" t="s">
        <v>1683</v>
      </c>
      <c r="D58" s="1473">
        <f>I24</f>
        <v>0</v>
      </c>
      <c r="E58" s="1473">
        <f>I26</f>
        <v>0</v>
      </c>
      <c r="F58" s="1473">
        <f>I28</f>
        <v>0</v>
      </c>
      <c r="G58" s="1473">
        <f>SUM(D58:F58)</f>
        <v>0</v>
      </c>
      <c r="H58" s="5"/>
      <c r="I58" s="1003"/>
      <c r="J58" s="1059"/>
    </row>
    <row r="59" spans="2:10">
      <c r="B59" s="1375"/>
      <c r="C59" s="1382" t="s">
        <v>1608</v>
      </c>
      <c r="D59" s="1474">
        <f>IF((I53+D58)&gt;Subvention!L20,Subvention!L20-'4. Request for payment'!I53,'4. Request for payment'!D58)</f>
        <v>0</v>
      </c>
      <c r="E59" s="1475"/>
      <c r="F59" s="1475"/>
      <c r="G59" s="1476"/>
      <c r="H59" s="5"/>
      <c r="I59" s="1003"/>
      <c r="J59" s="1059"/>
    </row>
    <row r="60" spans="2:10">
      <c r="B60" s="1375"/>
      <c r="C60" s="1384" t="s">
        <v>1609</v>
      </c>
      <c r="D60" s="1474">
        <f>'2. Detailed report of costs'!$E$141</f>
        <v>0</v>
      </c>
      <c r="E60" s="1474">
        <f>'2. Detailed report of costs'!$F$141</f>
        <v>0</v>
      </c>
      <c r="F60" s="1474">
        <f>'2. Detailed report of costs'!$H$141</f>
        <v>0</v>
      </c>
      <c r="G60" s="1473">
        <f>SUM(D60:F60)</f>
        <v>0</v>
      </c>
      <c r="H60" s="5"/>
      <c r="I60" s="1003"/>
      <c r="J60" s="1003"/>
    </row>
    <row r="61" spans="2:10">
      <c r="B61" s="1375"/>
      <c r="C61" s="1384" t="s">
        <v>1610</v>
      </c>
      <c r="D61" s="1477">
        <f>IF(D59&gt;0.75*D60,D60*0.75,D59)</f>
        <v>0</v>
      </c>
      <c r="E61" s="1477">
        <f>IF(E58&gt;0.75*E60,E60*0.75,E58)</f>
        <v>0</v>
      </c>
      <c r="F61" s="1477">
        <f>IF(F58&gt;0.75*F60,F60*0.75,F58)</f>
        <v>0</v>
      </c>
      <c r="G61" s="1473">
        <f>SUM(D61:F61)</f>
        <v>0</v>
      </c>
      <c r="H61" s="5"/>
      <c r="I61" s="1003"/>
      <c r="J61" s="1003"/>
    </row>
    <row r="62" spans="2:10">
      <c r="B62" s="1375"/>
      <c r="C62" s="1384" t="s">
        <v>1611</v>
      </c>
      <c r="D62" s="1476"/>
      <c r="E62" s="1476"/>
      <c r="F62" s="1476"/>
      <c r="G62" s="1473">
        <f>SUM('4. Request for payment'!E44:E46)</f>
        <v>0</v>
      </c>
      <c r="H62" s="5"/>
      <c r="I62" s="1003"/>
      <c r="J62" s="1003"/>
    </row>
    <row r="63" spans="2:10" ht="26.4">
      <c r="B63" s="1375"/>
      <c r="C63" s="1384" t="s">
        <v>1612</v>
      </c>
      <c r="D63" s="1476"/>
      <c r="E63" s="1476"/>
      <c r="F63" s="1476"/>
      <c r="G63" s="1473">
        <f>IF((G61+G62)&gt;0.75*G60,(G60*0.75)-G62,G61)</f>
        <v>0</v>
      </c>
      <c r="H63" s="5"/>
      <c r="I63" s="1003"/>
      <c r="J63" s="1003"/>
    </row>
    <row r="64" spans="2:10" ht="15" customHeight="1">
      <c r="B64" s="1375"/>
      <c r="C64" s="1375"/>
      <c r="D64" s="1478"/>
      <c r="E64" s="1748" t="s">
        <v>1613</v>
      </c>
      <c r="F64" s="1748"/>
      <c r="G64" s="1479">
        <f>G63</f>
        <v>0</v>
      </c>
      <c r="H64" s="5"/>
      <c r="I64" s="1003"/>
      <c r="J64" s="1003"/>
    </row>
    <row r="65" spans="2:10" ht="6.75" customHeight="1">
      <c r="B65" s="1375"/>
      <c r="C65" s="1385"/>
      <c r="D65" s="1385"/>
      <c r="E65" s="1385"/>
      <c r="F65" s="1385"/>
      <c r="G65" s="1385"/>
      <c r="H65" s="1385"/>
      <c r="I65" s="1385"/>
      <c r="J65" s="1386"/>
    </row>
    <row r="66" spans="2:10">
      <c r="B66" s="1368"/>
      <c r="C66" s="1369"/>
      <c r="D66" s="1369"/>
      <c r="E66" s="1369"/>
      <c r="F66" s="1000"/>
      <c r="G66" s="1000"/>
      <c r="H66" s="1001"/>
      <c r="I66" s="1002"/>
      <c r="J66" s="1000"/>
    </row>
    <row r="67" spans="2:10">
      <c r="B67" s="1034"/>
      <c r="C67" s="1558" t="s">
        <v>1614</v>
      </c>
      <c r="D67" s="1558"/>
      <c r="E67" s="1558"/>
      <c r="F67" s="1558"/>
      <c r="G67" s="1558"/>
      <c r="H67" s="1558"/>
      <c r="I67" s="1558"/>
      <c r="J67" s="1034"/>
    </row>
    <row r="68" spans="2:10" ht="6.75" customHeight="1">
      <c r="B68" s="1059"/>
      <c r="C68" s="1036"/>
      <c r="D68" s="1058"/>
      <c r="E68" s="1058"/>
      <c r="F68" s="1058"/>
      <c r="G68" s="1058"/>
      <c r="H68" s="1058"/>
      <c r="I68" s="1058"/>
      <c r="J68" s="1059"/>
    </row>
    <row r="69" spans="2:10">
      <c r="B69" s="1059"/>
      <c r="C69" s="1387" t="s">
        <v>1615</v>
      </c>
      <c r="D69" s="1388"/>
      <c r="E69" s="1388"/>
      <c r="F69" s="1389"/>
      <c r="G69" s="1389"/>
      <c r="H69" s="1389"/>
      <c r="I69" s="1388"/>
      <c r="J69" s="1059"/>
    </row>
    <row r="70" spans="2:10" ht="6.75" customHeight="1" thickBot="1">
      <c r="B70" s="1059"/>
      <c r="C70" s="1036"/>
      <c r="D70" s="1036"/>
      <c r="E70" s="1036"/>
      <c r="F70" s="1036"/>
      <c r="G70" s="1036"/>
      <c r="H70" s="1036"/>
      <c r="I70" s="1036"/>
      <c r="J70" s="1059"/>
    </row>
    <row r="71" spans="2:10" ht="15.75" customHeight="1" thickBot="1">
      <c r="B71" s="1371" t="s">
        <v>1334</v>
      </c>
      <c r="C71" s="1747" t="s">
        <v>1616</v>
      </c>
      <c r="D71" s="1747"/>
      <c r="E71" s="874"/>
      <c r="F71" s="1059"/>
      <c r="G71" s="1557"/>
      <c r="H71" s="1557"/>
      <c r="I71" s="1557"/>
      <c r="J71" s="1059"/>
    </row>
    <row r="72" spans="2:10">
      <c r="B72" s="1059"/>
      <c r="C72" s="1040"/>
      <c r="D72" s="1040"/>
      <c r="E72" s="1390" t="s">
        <v>1617</v>
      </c>
      <c r="F72" s="1040"/>
      <c r="G72" s="1040"/>
      <c r="H72" s="1040"/>
      <c r="I72" s="1040"/>
      <c r="J72" s="1059"/>
    </row>
    <row r="73" spans="2:10">
      <c r="B73" s="1059"/>
      <c r="C73" s="1204" t="s">
        <v>1618</v>
      </c>
      <c r="D73" s="1041"/>
      <c r="E73" s="1041"/>
      <c r="F73" s="1041"/>
      <c r="G73" s="1041"/>
      <c r="H73" s="1041"/>
      <c r="I73" s="1041"/>
      <c r="J73" s="1059"/>
    </row>
    <row r="74" spans="2:10" ht="6.75" customHeight="1">
      <c r="B74" s="1059"/>
      <c r="C74" s="1040"/>
      <c r="D74" s="1040"/>
      <c r="E74" s="1040"/>
      <c r="F74" s="1040"/>
      <c r="G74" s="1040"/>
      <c r="H74" s="1040"/>
      <c r="I74" s="1040"/>
      <c r="J74" s="1059"/>
    </row>
    <row r="75" spans="2:10">
      <c r="B75" s="1059"/>
      <c r="C75" s="1391" t="s">
        <v>1619</v>
      </c>
      <c r="D75" s="1040"/>
      <c r="E75" s="1040"/>
      <c r="F75" s="1040"/>
      <c r="G75" s="1040"/>
      <c r="H75" s="1040"/>
      <c r="I75" s="1040"/>
      <c r="J75" s="1059"/>
    </row>
    <row r="76" spans="2:10" ht="6.75" customHeight="1">
      <c r="B76" s="1059"/>
      <c r="C76" s="1040"/>
      <c r="D76" s="1040"/>
      <c r="E76" s="1040"/>
      <c r="F76" s="1040"/>
      <c r="G76" s="1040"/>
      <c r="H76" s="1040"/>
      <c r="I76" s="1040"/>
      <c r="J76" s="1059"/>
    </row>
    <row r="77" spans="2:10">
      <c r="B77" s="1059"/>
      <c r="C77" s="1391" t="s">
        <v>1620</v>
      </c>
      <c r="D77" s="1391"/>
      <c r="E77" s="1391"/>
      <c r="F77" s="1391"/>
      <c r="G77" s="1391"/>
      <c r="H77" s="1391"/>
      <c r="I77" s="1391"/>
      <c r="J77" s="1059"/>
    </row>
    <row r="78" spans="2:10" ht="6.75" customHeight="1">
      <c r="B78" s="1059"/>
      <c r="C78" s="1373"/>
      <c r="D78" s="1373"/>
      <c r="E78" s="1373"/>
      <c r="F78" s="1373"/>
      <c r="G78" s="1373"/>
      <c r="H78" s="1373"/>
      <c r="I78" s="1373"/>
      <c r="J78" s="1059"/>
    </row>
    <row r="79" spans="2:10">
      <c r="B79" s="1059"/>
      <c r="C79" s="1391" t="s">
        <v>1621</v>
      </c>
      <c r="D79" s="1391"/>
      <c r="E79" s="1391"/>
      <c r="F79" s="1391"/>
      <c r="G79" s="1391"/>
      <c r="H79" s="1391"/>
      <c r="I79" s="1391"/>
      <c r="J79" s="1059"/>
    </row>
    <row r="80" spans="2:10" ht="6.75" customHeight="1">
      <c r="B80" s="1059"/>
      <c r="C80" s="1373"/>
      <c r="D80" s="1373"/>
      <c r="E80" s="1373"/>
      <c r="F80" s="1373"/>
      <c r="G80" s="1373"/>
      <c r="H80" s="1373"/>
      <c r="I80" s="1373"/>
      <c r="J80" s="1059"/>
    </row>
    <row r="81" spans="2:10">
      <c r="B81" s="1059"/>
      <c r="C81" s="1391" t="s">
        <v>1622</v>
      </c>
      <c r="D81" s="1391"/>
      <c r="E81" s="1391"/>
      <c r="F81" s="1391"/>
      <c r="G81" s="1391"/>
      <c r="H81" s="1391"/>
      <c r="I81" s="1391"/>
      <c r="J81" s="1059"/>
    </row>
    <row r="82" spans="2:10" ht="6.75" customHeight="1">
      <c r="B82" s="1059"/>
      <c r="C82" s="1373"/>
      <c r="D82" s="1373"/>
      <c r="E82" s="1373"/>
      <c r="F82" s="1373"/>
      <c r="G82" s="1373"/>
      <c r="H82" s="1373"/>
      <c r="I82" s="1373"/>
      <c r="J82" s="1059"/>
    </row>
    <row r="83" spans="2:10">
      <c r="B83" s="1059"/>
      <c r="C83" s="1391" t="s">
        <v>1623</v>
      </c>
      <c r="D83" s="1391"/>
      <c r="E83" s="1391"/>
      <c r="F83" s="1391"/>
      <c r="G83" s="1391"/>
      <c r="H83" s="1391"/>
      <c r="I83" s="1391"/>
      <c r="J83" s="1059"/>
    </row>
    <row r="84" spans="2:10">
      <c r="B84" s="1059"/>
      <c r="C84" s="1392" t="s">
        <v>1624</v>
      </c>
      <c r="D84" s="1393"/>
      <c r="E84" s="1394"/>
      <c r="F84" s="1393"/>
      <c r="G84" s="1393"/>
      <c r="H84" s="1393"/>
      <c r="I84" s="1393"/>
      <c r="J84" s="1059"/>
    </row>
    <row r="85" spans="2:10">
      <c r="B85" s="1059"/>
      <c r="C85" s="1392" t="s">
        <v>1625</v>
      </c>
      <c r="D85" s="1393"/>
      <c r="E85" s="1393"/>
      <c r="F85" s="1393"/>
      <c r="G85" s="1393"/>
      <c r="H85" s="1393"/>
      <c r="I85" s="1393"/>
      <c r="J85" s="1059"/>
    </row>
    <row r="86" spans="2:10" ht="6.75" customHeight="1">
      <c r="B86" s="1059"/>
      <c r="C86" s="1395"/>
      <c r="D86" s="1395"/>
      <c r="E86" s="1395"/>
      <c r="F86" s="1395"/>
      <c r="G86" s="1395"/>
      <c r="H86" s="1395"/>
      <c r="I86" s="1395"/>
      <c r="J86" s="1059"/>
    </row>
    <row r="87" spans="2:10">
      <c r="B87" s="1059"/>
      <c r="C87" s="1396" t="s">
        <v>1626</v>
      </c>
      <c r="D87" s="1395"/>
      <c r="E87" s="1395"/>
      <c r="F87" s="1395"/>
      <c r="G87" s="1395"/>
      <c r="H87" s="1395"/>
      <c r="I87" s="1395"/>
      <c r="J87" s="1059"/>
    </row>
    <row r="88" spans="2:10">
      <c r="B88" s="1059"/>
      <c r="C88" s="1397"/>
      <c r="D88" s="1395"/>
      <c r="E88" s="1395"/>
      <c r="F88" s="1395"/>
      <c r="G88" s="1395"/>
      <c r="H88" s="1395"/>
      <c r="I88" s="1395"/>
      <c r="J88" s="1059"/>
    </row>
    <row r="89" spans="2:10">
      <c r="B89" s="1059"/>
      <c r="C89" s="1397"/>
      <c r="D89" s="1018" t="s">
        <v>1627</v>
      </c>
      <c r="E89" s="1398" t="s">
        <v>1346</v>
      </c>
      <c r="F89" s="1398" t="s">
        <v>1684</v>
      </c>
      <c r="G89" s="5"/>
      <c r="H89" s="1395"/>
      <c r="I89" s="1395"/>
      <c r="J89" s="1059"/>
    </row>
    <row r="90" spans="2:10" ht="27" customHeight="1">
      <c r="B90" s="1059"/>
      <c r="C90" s="1397"/>
      <c r="D90" s="1746" t="s">
        <v>1628</v>
      </c>
      <c r="E90" s="1399" t="s">
        <v>1629</v>
      </c>
      <c r="F90" s="1399" t="s">
        <v>1629</v>
      </c>
      <c r="G90" s="5"/>
      <c r="H90" s="1395"/>
      <c r="I90" s="1395"/>
      <c r="J90" s="1059"/>
    </row>
    <row r="91" spans="2:10" ht="26.4">
      <c r="B91" s="1059"/>
      <c r="C91" s="1397"/>
      <c r="D91" s="1746"/>
      <c r="E91" s="1399" t="s">
        <v>1630</v>
      </c>
      <c r="F91" s="1399" t="s">
        <v>1630</v>
      </c>
      <c r="G91" s="5"/>
      <c r="H91" s="1395"/>
      <c r="I91" s="1395"/>
      <c r="J91" s="1059"/>
    </row>
    <row r="92" spans="2:10" ht="26.4">
      <c r="B92" s="1059"/>
      <c r="C92" s="1397"/>
      <c r="D92" s="1746"/>
      <c r="E92" s="1399" t="s">
        <v>1631</v>
      </c>
      <c r="F92" s="1399" t="s">
        <v>1631</v>
      </c>
      <c r="G92" s="5"/>
      <c r="H92" s="1395"/>
      <c r="I92" s="1395"/>
      <c r="J92" s="1059"/>
    </row>
    <row r="93" spans="2:10" ht="26.4">
      <c r="B93" s="1059"/>
      <c r="C93" s="1397"/>
      <c r="D93" s="1746"/>
      <c r="E93" s="1399" t="s">
        <v>1632</v>
      </c>
      <c r="F93" s="1399" t="s">
        <v>1632</v>
      </c>
      <c r="G93" s="5"/>
      <c r="H93" s="1395"/>
      <c r="I93" s="1395"/>
      <c r="J93" s="1059"/>
    </row>
    <row r="94" spans="2:10" ht="52.8">
      <c r="B94" s="1059"/>
      <c r="C94" s="1397"/>
      <c r="D94" s="1746"/>
      <c r="E94" s="1399" t="s">
        <v>1720</v>
      </c>
      <c r="F94" s="1399"/>
      <c r="G94" s="5"/>
      <c r="H94" s="1395"/>
      <c r="I94" s="1395"/>
      <c r="J94" s="1059"/>
    </row>
    <row r="95" spans="2:10" ht="6.75" customHeight="1">
      <c r="B95" s="1059"/>
      <c r="C95" s="1400"/>
      <c r="D95" s="1395"/>
      <c r="E95" s="1059"/>
      <c r="F95" s="1059"/>
      <c r="G95" s="1395"/>
      <c r="H95" s="1395"/>
      <c r="I95" s="1395"/>
      <c r="J95" s="1059"/>
    </row>
    <row r="96" spans="2:10" ht="27.75" customHeight="1">
      <c r="B96" s="1059"/>
      <c r="C96" s="1733" t="s">
        <v>1633</v>
      </c>
      <c r="D96" s="1733"/>
      <c r="E96" s="1733"/>
      <c r="F96" s="1733"/>
      <c r="G96" s="1733"/>
      <c r="H96" s="1733"/>
      <c r="I96" s="1733"/>
      <c r="J96" s="1059"/>
    </row>
    <row r="97" spans="2:10" ht="6.75" customHeight="1">
      <c r="B97" s="1059"/>
      <c r="C97" s="1395"/>
      <c r="D97" s="1395"/>
      <c r="E97" s="1395"/>
      <c r="F97" s="1395"/>
      <c r="G97" s="1395"/>
      <c r="H97" s="1395"/>
      <c r="I97" s="1395"/>
      <c r="J97" s="1059"/>
    </row>
    <row r="98" spans="2:10">
      <c r="B98" s="1368"/>
      <c r="C98" s="1369"/>
      <c r="D98" s="1369"/>
      <c r="E98" s="1369"/>
      <c r="F98" s="1000"/>
      <c r="G98" s="1000"/>
      <c r="H98" s="1001"/>
      <c r="I98" s="1002"/>
      <c r="J98" s="1000"/>
    </row>
    <row r="99" spans="2:10">
      <c r="B99" s="1401"/>
      <c r="C99" s="1191" t="s">
        <v>1685</v>
      </c>
      <c r="D99" s="1401"/>
      <c r="E99" s="1401"/>
      <c r="F99" s="1401"/>
      <c r="G99" s="1401"/>
      <c r="H99" s="1401"/>
      <c r="I99" s="1401"/>
      <c r="J99" s="1401"/>
    </row>
    <row r="100" spans="2:10" ht="6.75" customHeight="1">
      <c r="B100" s="1393"/>
      <c r="C100" s="1393"/>
      <c r="D100" s="1393"/>
      <c r="E100" s="1402"/>
      <c r="F100" s="1393"/>
      <c r="G100" s="1393"/>
      <c r="H100" s="1393"/>
      <c r="I100" s="1393"/>
      <c r="J100" s="1393"/>
    </row>
    <row r="101" spans="2:10" ht="29.25" customHeight="1">
      <c r="B101" s="1393"/>
      <c r="C101" s="1741" t="s">
        <v>1634</v>
      </c>
      <c r="D101" s="1741"/>
      <c r="E101" s="1741"/>
      <c r="F101" s="1741"/>
      <c r="G101" s="1741"/>
      <c r="H101" s="1741"/>
      <c r="I101" s="1741"/>
      <c r="J101" s="1393"/>
    </row>
    <row r="102" spans="2:10" ht="6.75" customHeight="1">
      <c r="B102" s="1393"/>
      <c r="C102" s="1393"/>
      <c r="D102" s="1393"/>
      <c r="E102" s="1402"/>
      <c r="F102" s="1393"/>
      <c r="G102" s="1393"/>
      <c r="H102" s="1393"/>
      <c r="I102" s="1393"/>
      <c r="J102" s="1393"/>
    </row>
    <row r="103" spans="2:10">
      <c r="B103" s="1393"/>
      <c r="C103" s="1403" t="s">
        <v>1635</v>
      </c>
      <c r="D103" s="1040"/>
      <c r="E103" s="1402"/>
      <c r="F103" s="1393"/>
      <c r="G103" s="1393"/>
      <c r="H103" s="1393"/>
      <c r="I103" s="1393"/>
      <c r="J103" s="1393"/>
    </row>
    <row r="104" spans="2:10" ht="6.75" customHeight="1" thickBot="1">
      <c r="B104" s="1393"/>
      <c r="C104" s="1059"/>
      <c r="D104" s="1035"/>
      <c r="E104" s="1402"/>
      <c r="F104" s="1393"/>
      <c r="G104" s="1393"/>
      <c r="H104" s="1393"/>
      <c r="I104" s="1393"/>
      <c r="J104" s="1393"/>
    </row>
    <row r="105" spans="2:10" ht="15" thickBot="1">
      <c r="B105" s="1393"/>
      <c r="C105" s="1742"/>
      <c r="D105" s="1743"/>
      <c r="E105" s="1402"/>
      <c r="F105" s="1393"/>
      <c r="G105" s="1393"/>
      <c r="H105" s="1393"/>
      <c r="I105" s="1393"/>
      <c r="J105" s="1393"/>
    </row>
    <row r="106" spans="2:10" ht="6.75" customHeight="1">
      <c r="B106" s="1393"/>
      <c r="C106" s="1393"/>
      <c r="D106" s="1393"/>
      <c r="E106" s="1402"/>
      <c r="F106" s="1393"/>
      <c r="G106" s="1393"/>
      <c r="H106" s="1393"/>
      <c r="I106" s="1393"/>
      <c r="J106" s="1393"/>
    </row>
    <row r="107" spans="2:10">
      <c r="B107" s="1059"/>
      <c r="C107" s="1557" t="s">
        <v>1636</v>
      </c>
      <c r="D107" s="1557"/>
      <c r="E107" s="1744" t="s">
        <v>1638</v>
      </c>
      <c r="F107" s="1744"/>
      <c r="G107" s="1744"/>
      <c r="H107" s="1744"/>
      <c r="I107" s="1744"/>
      <c r="J107" s="1393"/>
    </row>
    <row r="108" spans="2:10" ht="6.75" customHeight="1" thickBot="1">
      <c r="B108" s="1059"/>
      <c r="C108" s="1040"/>
      <c r="D108" s="1040"/>
      <c r="E108" s="1744"/>
      <c r="F108" s="1744"/>
      <c r="G108" s="1744"/>
      <c r="H108" s="1744"/>
      <c r="I108" s="1744"/>
      <c r="J108" s="1393"/>
    </row>
    <row r="109" spans="2:10" ht="15" thickBot="1">
      <c r="B109" s="1059"/>
      <c r="C109" s="1560"/>
      <c r="D109" s="1562"/>
      <c r="E109" s="1744"/>
      <c r="F109" s="1744"/>
      <c r="G109" s="1744"/>
      <c r="H109" s="1744"/>
      <c r="I109" s="1744"/>
      <c r="J109" s="1393"/>
    </row>
    <row r="110" spans="2:10">
      <c r="B110" s="1059"/>
      <c r="C110" s="1040"/>
      <c r="D110" s="1040"/>
      <c r="E110" s="1744"/>
      <c r="F110" s="1744"/>
      <c r="G110" s="1744"/>
      <c r="H110" s="1744"/>
      <c r="I110" s="1744"/>
      <c r="J110" s="1393"/>
    </row>
    <row r="111" spans="2:10">
      <c r="B111" s="1059"/>
      <c r="C111" s="1557" t="s">
        <v>1637</v>
      </c>
      <c r="D111" s="1557"/>
      <c r="E111" s="1744"/>
      <c r="F111" s="1744"/>
      <c r="G111" s="1744"/>
      <c r="H111" s="1744"/>
      <c r="I111" s="1744"/>
      <c r="J111" s="1393"/>
    </row>
    <row r="112" spans="2:10" ht="6.75" customHeight="1" thickBot="1">
      <c r="B112" s="1059"/>
      <c r="C112" s="1040"/>
      <c r="D112" s="1040"/>
      <c r="E112" s="1744"/>
      <c r="F112" s="1744"/>
      <c r="G112" s="1744"/>
      <c r="H112" s="1744"/>
      <c r="I112" s="1744"/>
      <c r="J112" s="1393"/>
    </row>
    <row r="113" spans="2:10" ht="15" thickBot="1">
      <c r="B113" s="1059"/>
      <c r="C113" s="1560"/>
      <c r="D113" s="1562"/>
      <c r="E113" s="1744"/>
      <c r="F113" s="1744"/>
      <c r="G113" s="1744"/>
      <c r="H113" s="1744"/>
      <c r="I113" s="1744"/>
      <c r="J113" s="1393"/>
    </row>
    <row r="114" spans="2:10" ht="6.75" customHeight="1">
      <c r="B114" s="1393"/>
      <c r="C114" s="1393"/>
      <c r="D114" s="1393"/>
      <c r="E114" s="1402"/>
      <c r="F114" s="1393"/>
      <c r="G114" s="1393"/>
      <c r="H114" s="1393"/>
      <c r="I114" s="1393"/>
      <c r="J114" s="1393"/>
    </row>
    <row r="115" spans="2:10">
      <c r="B115" s="1059"/>
      <c r="C115" s="1557" t="s">
        <v>1335</v>
      </c>
      <c r="D115" s="1557"/>
      <c r="E115" s="1402"/>
      <c r="F115" s="1393"/>
      <c r="G115" s="1393"/>
      <c r="H115" s="1393"/>
      <c r="I115" s="1393"/>
      <c r="J115" s="1393"/>
    </row>
    <row r="116" spans="2:10" ht="6.75" customHeight="1" thickBot="1">
      <c r="B116" s="1059"/>
      <c r="C116" s="1040"/>
      <c r="D116" s="1040"/>
      <c r="E116" s="1402"/>
      <c r="F116" s="1393"/>
      <c r="G116" s="1393"/>
      <c r="H116" s="1393"/>
      <c r="I116" s="1393"/>
      <c r="J116" s="1393"/>
    </row>
    <row r="117" spans="2:10" ht="15" thickBot="1">
      <c r="B117" s="1059"/>
      <c r="C117" s="1738"/>
      <c r="D117" s="1739"/>
      <c r="E117" s="1402"/>
      <c r="F117" s="1393"/>
      <c r="G117" s="1393"/>
      <c r="H117" s="1393"/>
      <c r="I117" s="1393"/>
      <c r="J117" s="1393"/>
    </row>
    <row r="118" spans="2:10">
      <c r="B118" s="1059"/>
      <c r="C118" s="1740" t="s">
        <v>1617</v>
      </c>
      <c r="D118" s="1740"/>
      <c r="E118" s="1402"/>
      <c r="F118" s="1393"/>
      <c r="G118" s="1393"/>
      <c r="H118" s="1393"/>
      <c r="I118" s="1393"/>
      <c r="J118" s="1393"/>
    </row>
    <row r="119" spans="2:10" ht="6.75" customHeight="1">
      <c r="B119" s="1059"/>
      <c r="C119" s="1557"/>
      <c r="D119" s="1557"/>
      <c r="E119" s="1048"/>
      <c r="F119" s="1040"/>
      <c r="G119" s="1040"/>
      <c r="H119" s="1040"/>
      <c r="I119" s="1040"/>
      <c r="J119" s="1393"/>
    </row>
    <row r="120" spans="2:10">
      <c r="B120" s="1404"/>
      <c r="C120" s="1065"/>
      <c r="D120" s="1405"/>
      <c r="E120" s="1405"/>
      <c r="F120" s="1405"/>
      <c r="G120" s="1405"/>
      <c r="H120" s="1406"/>
      <c r="I120" s="1002"/>
      <c r="J120" s="1000"/>
    </row>
    <row r="121" spans="2:10" ht="17.399999999999999">
      <c r="B121" s="1735" t="s">
        <v>1639</v>
      </c>
      <c r="C121" s="1735"/>
      <c r="D121" s="1735"/>
      <c r="E121" s="1735"/>
      <c r="F121" s="1735"/>
      <c r="G121" s="1735"/>
      <c r="H121" s="1735"/>
      <c r="I121" s="1002"/>
      <c r="J121" s="1000"/>
    </row>
    <row r="122" spans="2:10" ht="20.25" customHeight="1">
      <c r="B122" s="1736" t="s">
        <v>1686</v>
      </c>
      <c r="C122" s="1736"/>
      <c r="D122" s="1736"/>
      <c r="E122" s="1736"/>
      <c r="F122" s="1736"/>
      <c r="G122" s="1736"/>
      <c r="H122" s="1736"/>
      <c r="I122" s="1002"/>
      <c r="J122" s="1000"/>
    </row>
    <row r="123" spans="2:10" ht="17.25" customHeight="1">
      <c r="I123" s="1002"/>
      <c r="J123" s="1000"/>
    </row>
    <row r="124" spans="2:10" ht="41.25" customHeight="1">
      <c r="B124" s="1734" t="s">
        <v>1640</v>
      </c>
      <c r="C124" s="1734"/>
      <c r="D124" s="1734"/>
      <c r="E124" s="1734"/>
      <c r="F124" s="1734"/>
      <c r="G124" s="1734"/>
      <c r="H124" s="1734"/>
      <c r="I124" s="1002"/>
      <c r="J124" s="1000"/>
    </row>
    <row r="125" spans="2:10" s="1021" customFormat="1"/>
    <row r="126" spans="2:10" s="1021" customFormat="1"/>
    <row r="127" spans="2:10" s="1021" customFormat="1"/>
    <row r="128" spans="2:10" s="1021" customFormat="1"/>
    <row r="129" s="1021" customFormat="1"/>
    <row r="130" s="1021" customFormat="1"/>
    <row r="131" s="1021" customFormat="1"/>
    <row r="132" s="1021" customFormat="1"/>
    <row r="133" s="1021" customFormat="1"/>
    <row r="134" s="1021" customFormat="1"/>
    <row r="135" s="1021" customFormat="1"/>
    <row r="136" s="1021" customFormat="1"/>
    <row r="137" s="1021" customFormat="1"/>
    <row r="138" s="1021" customFormat="1"/>
    <row r="139" s="1021" customFormat="1"/>
    <row r="140" s="1021" customFormat="1"/>
    <row r="141" s="1021" customFormat="1"/>
    <row r="142" s="1021" customFormat="1"/>
    <row r="143" s="1021" customFormat="1"/>
    <row r="144" s="1021" customFormat="1"/>
    <row r="145" s="1021" customFormat="1"/>
    <row r="146" s="1021" customFormat="1"/>
    <row r="147" s="1021" customFormat="1"/>
    <row r="148" s="1021" customFormat="1"/>
    <row r="149" s="1021" customFormat="1"/>
    <row r="150" s="1021" customFormat="1"/>
    <row r="151" s="1021" customFormat="1"/>
    <row r="152" s="1021" customFormat="1"/>
    <row r="153" s="1021" customFormat="1"/>
    <row r="154" s="1021" customFormat="1"/>
    <row r="155" s="1021" customFormat="1"/>
    <row r="156" s="1021" customFormat="1"/>
    <row r="157" s="1021" customFormat="1"/>
    <row r="158" s="1021" customFormat="1"/>
    <row r="159" s="1021" customFormat="1"/>
    <row r="160" s="1021" customFormat="1"/>
    <row r="161" s="1021" customFormat="1"/>
    <row r="162" s="1021" customFormat="1"/>
    <row r="163" s="1021" customFormat="1"/>
    <row r="164" s="1021" customFormat="1"/>
    <row r="165" s="1021" customFormat="1"/>
    <row r="166" s="1021" customFormat="1"/>
    <row r="167" s="1021" customFormat="1"/>
    <row r="168" s="1021" customFormat="1"/>
    <row r="169" s="1021" customFormat="1"/>
    <row r="170" s="1021" customFormat="1"/>
    <row r="171" s="1021" customFormat="1"/>
    <row r="172" s="1021" customFormat="1"/>
    <row r="173" s="1021" customFormat="1"/>
    <row r="174" s="1021" customFormat="1"/>
    <row r="175" s="1021" customFormat="1"/>
    <row r="176" s="1021" customFormat="1"/>
    <row r="177" s="1021" customFormat="1"/>
    <row r="178" s="1021" customFormat="1"/>
    <row r="179" s="1021" customFormat="1"/>
    <row r="180" s="1021" customFormat="1"/>
    <row r="181" s="1021" customFormat="1"/>
    <row r="182" s="1021" customFormat="1"/>
    <row r="183" s="1021" customFormat="1"/>
    <row r="184" s="1021" customFormat="1"/>
    <row r="185" s="1021" customFormat="1"/>
    <row r="186" s="1021" customFormat="1"/>
    <row r="187" s="1021" customFormat="1"/>
    <row r="188" s="1021" customFormat="1"/>
    <row r="189" s="1021" customFormat="1"/>
    <row r="190" s="1021" customFormat="1"/>
    <row r="191" s="1021" customFormat="1"/>
    <row r="192" s="1021" customFormat="1"/>
    <row r="193" s="1021" customFormat="1"/>
    <row r="194" s="1021" customFormat="1"/>
    <row r="195" s="1021" customFormat="1"/>
    <row r="196" s="1021" customFormat="1"/>
    <row r="197" s="1021" customFormat="1"/>
    <row r="198" s="1021" customFormat="1"/>
    <row r="199" s="1021" customFormat="1"/>
    <row r="200" s="1021" customFormat="1"/>
    <row r="201" s="1021" customFormat="1"/>
    <row r="202" s="1021" customFormat="1"/>
    <row r="203" s="1021" customFormat="1"/>
    <row r="204" s="1021" customFormat="1"/>
    <row r="205" s="1021" customFormat="1"/>
    <row r="206" s="1021" customFormat="1"/>
    <row r="207" s="1021" customFormat="1"/>
    <row r="208" s="1021" customFormat="1"/>
    <row r="209" s="1021" customFormat="1"/>
    <row r="210" s="1021" customFormat="1"/>
    <row r="211" s="1021" customFormat="1"/>
    <row r="212" s="1021" customFormat="1"/>
    <row r="213" s="1021" customFormat="1"/>
    <row r="214" s="1021" customFormat="1"/>
    <row r="215" s="1021" customFormat="1"/>
    <row r="216" s="1021" customFormat="1"/>
    <row r="217" s="1021" customFormat="1"/>
    <row r="218" s="1021" customFormat="1"/>
    <row r="219" s="1021" customFormat="1"/>
    <row r="220" s="1021" customFormat="1"/>
    <row r="221" s="1021" customFormat="1"/>
    <row r="222" s="1021" customFormat="1"/>
    <row r="223" s="1021" customFormat="1"/>
    <row r="224" s="1021" customFormat="1"/>
    <row r="225" s="1021" customFormat="1"/>
    <row r="226" s="1021" customFormat="1"/>
    <row r="227" s="1021" customFormat="1"/>
    <row r="228" s="1021" customFormat="1"/>
    <row r="229" s="1021" customFormat="1"/>
    <row r="230" s="1021" customFormat="1"/>
    <row r="231" s="1021" customFormat="1"/>
    <row r="232" s="1021" customFormat="1"/>
    <row r="233" s="1021" customFormat="1"/>
    <row r="234" s="1021" customFormat="1"/>
    <row r="235" s="1021" customFormat="1"/>
    <row r="236" s="1021" customFormat="1"/>
    <row r="237" s="1021" customFormat="1"/>
    <row r="238" s="1021" customFormat="1"/>
    <row r="239" s="1021" customFormat="1"/>
    <row r="240" s="1021" customFormat="1"/>
    <row r="241" s="1021" customFormat="1"/>
    <row r="242" s="1021" customFormat="1"/>
    <row r="243" s="1021" customFormat="1"/>
    <row r="244" s="1021" customFormat="1"/>
    <row r="245" s="1021" customFormat="1"/>
    <row r="246" s="1021" customFormat="1"/>
    <row r="247" s="1021" customFormat="1"/>
    <row r="248" s="1021" customFormat="1"/>
    <row r="249" s="1021" customFormat="1"/>
    <row r="250" s="1021" customFormat="1"/>
    <row r="251" s="1021" customFormat="1"/>
    <row r="252" s="1021" customFormat="1"/>
    <row r="253" s="1021" customFormat="1"/>
    <row r="254" s="1021" customFormat="1"/>
    <row r="255" s="1021" customFormat="1"/>
    <row r="256" s="1021" customFormat="1"/>
    <row r="257" s="1021" customFormat="1"/>
    <row r="258" s="1021" customFormat="1"/>
    <row r="259" s="1021" customFormat="1"/>
    <row r="260" s="1021" customFormat="1"/>
    <row r="261" s="1021" customFormat="1"/>
    <row r="262" s="1021" customFormat="1"/>
    <row r="263" s="1021" customFormat="1"/>
    <row r="264" s="1021" customFormat="1"/>
    <row r="265" s="1021" customFormat="1"/>
    <row r="266" s="1021" customFormat="1"/>
    <row r="267" s="1021" customFormat="1"/>
    <row r="268" s="1021" customFormat="1"/>
    <row r="269" s="1021" customFormat="1"/>
    <row r="270" s="1021" customFormat="1"/>
    <row r="271" s="1021" customFormat="1"/>
    <row r="272" s="1021" customFormat="1"/>
    <row r="273" s="1021" customFormat="1"/>
    <row r="274" s="1021" customFormat="1"/>
    <row r="275" s="1021" customFormat="1"/>
    <row r="276" s="1021" customFormat="1"/>
    <row r="277" s="1021" customFormat="1"/>
    <row r="278" s="1021" customFormat="1"/>
    <row r="279" s="1021" customFormat="1"/>
    <row r="280" s="1021" customFormat="1"/>
    <row r="281" s="1021" customFormat="1"/>
    <row r="282" s="1021" customFormat="1"/>
    <row r="283" s="1021" customFormat="1"/>
    <row r="284" s="1021" customFormat="1"/>
    <row r="285" s="1021" customFormat="1"/>
    <row r="286" s="1021" customFormat="1"/>
    <row r="287" s="1021" customFormat="1"/>
    <row r="288" s="1021" customFormat="1"/>
    <row r="289" s="1021" customFormat="1"/>
    <row r="290" s="1021" customFormat="1"/>
    <row r="291" s="1021" customFormat="1"/>
    <row r="292" s="1021" customFormat="1"/>
    <row r="293" s="1021" customFormat="1"/>
    <row r="294" s="1021" customFormat="1"/>
    <row r="295" s="1021" customFormat="1"/>
    <row r="296" s="1021" customFormat="1"/>
    <row r="297" s="1021" customFormat="1"/>
    <row r="298" s="1021" customFormat="1"/>
    <row r="299" s="1021" customFormat="1"/>
    <row r="300" s="1021" customFormat="1"/>
    <row r="301" s="1021" customFormat="1"/>
    <row r="302" s="1021" customFormat="1"/>
    <row r="303" s="1021" customFormat="1"/>
    <row r="304" s="1021" customFormat="1"/>
    <row r="305" s="1021" customFormat="1"/>
    <row r="306" s="1021" customFormat="1"/>
    <row r="307" s="1021" customFormat="1"/>
    <row r="308" s="1021" customFormat="1"/>
    <row r="309" s="1021" customFormat="1"/>
    <row r="310" s="1021" customFormat="1"/>
    <row r="311" s="1021" customFormat="1"/>
    <row r="312" s="1021" customFormat="1"/>
    <row r="313" s="1021" customFormat="1"/>
    <row r="314" s="1021" customFormat="1"/>
    <row r="315" s="1021" customFormat="1"/>
    <row r="316" s="1021" customFormat="1"/>
    <row r="317" s="1021" customFormat="1"/>
    <row r="318" s="1021" customFormat="1"/>
    <row r="319" s="1021" customFormat="1"/>
    <row r="320" s="1021" customFormat="1"/>
    <row r="321" s="1021" customFormat="1"/>
    <row r="322" s="1021" customFormat="1"/>
    <row r="323" s="1021" customFormat="1"/>
    <row r="324" s="1021" customFormat="1"/>
    <row r="325" s="1021" customFormat="1"/>
    <row r="326" s="1021" customFormat="1"/>
    <row r="327" s="1021" customFormat="1"/>
    <row r="328" s="1021" customFormat="1"/>
    <row r="329" s="1021" customFormat="1"/>
    <row r="330" s="1021" customFormat="1"/>
    <row r="331" s="1021" customFormat="1"/>
    <row r="332" s="1021" customFormat="1"/>
    <row r="333" s="1021" customFormat="1"/>
    <row r="334" s="1021" customFormat="1"/>
    <row r="335" s="1021" customFormat="1"/>
    <row r="336" s="1021" customFormat="1"/>
    <row r="337" s="1021" customFormat="1"/>
    <row r="338" s="1021" customFormat="1"/>
    <row r="339" s="1021" customFormat="1"/>
    <row r="340" s="1021" customFormat="1"/>
    <row r="341" s="1021" customFormat="1"/>
    <row r="342" s="1021" customFormat="1"/>
    <row r="343" s="1021" customFormat="1"/>
    <row r="344" s="1021" customFormat="1"/>
    <row r="345" s="1021" customFormat="1"/>
    <row r="346" s="1021" customFormat="1"/>
    <row r="347" s="1021" customFormat="1"/>
    <row r="348" s="1021" customFormat="1"/>
    <row r="349" s="1021" customFormat="1"/>
    <row r="350" s="1021" customFormat="1"/>
    <row r="351" s="1021" customFormat="1"/>
    <row r="352" s="1021" customFormat="1"/>
    <row r="353" s="1021" customFormat="1"/>
    <row r="354" s="1021" customFormat="1"/>
    <row r="355" s="1021" customFormat="1"/>
    <row r="356" s="1021" customFormat="1"/>
    <row r="357" s="1021" customFormat="1"/>
    <row r="358" s="1021" customFormat="1"/>
    <row r="359" s="1021" customFormat="1"/>
    <row r="360" s="1021" customFormat="1"/>
    <row r="361" s="1021" customFormat="1"/>
    <row r="362" s="1021" customFormat="1"/>
    <row r="363" s="1021" customFormat="1"/>
    <row r="364" s="1021" customFormat="1"/>
    <row r="365" s="1021" customFormat="1"/>
    <row r="366" s="1021" customFormat="1"/>
    <row r="367" s="1021" customFormat="1"/>
    <row r="368" s="1021" customFormat="1"/>
    <row r="369" s="1021" customFormat="1"/>
    <row r="370" s="1021" customFormat="1"/>
    <row r="371" s="1021" customFormat="1"/>
    <row r="372" s="1021" customFormat="1"/>
    <row r="373" s="1021" customFormat="1"/>
    <row r="374" s="1021" customFormat="1"/>
    <row r="375" s="1021" customFormat="1"/>
    <row r="376" s="1021" customFormat="1"/>
    <row r="377" s="1021" customFormat="1"/>
    <row r="378" s="1021" customFormat="1"/>
    <row r="379" s="1021" customFormat="1"/>
    <row r="380" s="1021" customFormat="1"/>
    <row r="381" s="1021" customFormat="1"/>
    <row r="382" s="1021" customFormat="1"/>
    <row r="383" s="1021" customFormat="1"/>
    <row r="384" s="1021" customFormat="1"/>
    <row r="385" s="1021" customFormat="1"/>
    <row r="386" s="1021" customFormat="1"/>
    <row r="387" s="1021" customFormat="1"/>
    <row r="388" s="1021" customFormat="1"/>
    <row r="389" s="1021" customFormat="1"/>
    <row r="390" s="1021" customFormat="1"/>
    <row r="391" s="1021" customFormat="1"/>
    <row r="392" s="1021" customFormat="1"/>
    <row r="393" s="1021" customFormat="1"/>
    <row r="394" s="1021" customFormat="1"/>
    <row r="395" s="1021" customFormat="1"/>
    <row r="396" s="1021" customFormat="1"/>
    <row r="397" s="1021" customFormat="1"/>
    <row r="398" s="1021" customFormat="1"/>
    <row r="399" s="1021" customFormat="1"/>
    <row r="400" s="1021" customFormat="1"/>
    <row r="401" s="1021" customFormat="1"/>
    <row r="402" s="1021" customFormat="1"/>
    <row r="403" s="1021" customFormat="1"/>
    <row r="404" s="1021" customFormat="1"/>
    <row r="405" s="1021" customFormat="1"/>
    <row r="406" s="1021" customFormat="1"/>
    <row r="407" s="1021" customFormat="1"/>
    <row r="408" s="1021" customFormat="1"/>
    <row r="409" s="1021" customFormat="1"/>
    <row r="410" s="1021" customFormat="1"/>
    <row r="411" s="1021" customFormat="1"/>
    <row r="412" s="1021" customFormat="1"/>
    <row r="413" s="1021" customFormat="1"/>
    <row r="414" s="1021" customFormat="1"/>
    <row r="415" s="1021" customFormat="1"/>
    <row r="416" s="1021" customFormat="1"/>
    <row r="417" s="1021" customFormat="1"/>
    <row r="418" s="1021" customFormat="1"/>
    <row r="419" s="1021" customFormat="1"/>
    <row r="420" s="1021" customFormat="1"/>
    <row r="421" s="1021" customFormat="1"/>
    <row r="422" s="1021" customFormat="1"/>
    <row r="423" s="1021" customFormat="1"/>
    <row r="424" s="1021" customFormat="1"/>
    <row r="425" s="1021" customFormat="1"/>
    <row r="426" s="1021" customFormat="1"/>
    <row r="427" s="1021" customFormat="1"/>
    <row r="428" s="1021" customFormat="1"/>
    <row r="429" s="1021" customFormat="1"/>
    <row r="430" s="1021" customFormat="1"/>
    <row r="431" s="1021" customFormat="1"/>
    <row r="432" s="1021" customFormat="1"/>
    <row r="433" s="1021" customFormat="1"/>
    <row r="434" s="1021" customFormat="1"/>
    <row r="435" s="1021" customFormat="1"/>
    <row r="436" s="1021" customFormat="1"/>
    <row r="437" s="1021" customFormat="1"/>
    <row r="438" s="1021" customFormat="1"/>
    <row r="439" s="1021" customFormat="1"/>
    <row r="440" s="1021" customFormat="1"/>
    <row r="441" s="1021" customFormat="1"/>
    <row r="442" s="1021" customFormat="1"/>
    <row r="443" s="1021" customFormat="1"/>
    <row r="444" s="1021" customFormat="1"/>
    <row r="445" s="1021" customFormat="1"/>
    <row r="446" s="1021" customFormat="1"/>
    <row r="447" s="1021" customFormat="1"/>
    <row r="448" s="1021" customFormat="1"/>
    <row r="449" s="1021" customFormat="1"/>
    <row r="450" s="1021" customFormat="1"/>
    <row r="451" s="1021" customFormat="1"/>
    <row r="452" s="1021" customFormat="1"/>
    <row r="453" s="1021" customFormat="1"/>
    <row r="454" s="1021" customFormat="1"/>
    <row r="455" s="1021" customFormat="1"/>
    <row r="456" s="1021" customFormat="1"/>
    <row r="457" s="1021" customFormat="1"/>
    <row r="458" s="1021" customFormat="1"/>
    <row r="459" s="1021" customFormat="1"/>
    <row r="460" s="1021" customFormat="1"/>
    <row r="461" s="1021" customFormat="1"/>
    <row r="462" s="1021" customFormat="1"/>
    <row r="463" s="1021" customFormat="1"/>
    <row r="464" s="1021" customFormat="1"/>
    <row r="465" s="1021" customFormat="1"/>
    <row r="466" s="1021" customFormat="1"/>
    <row r="467" s="1021" customFormat="1"/>
    <row r="468" s="1021" customFormat="1"/>
    <row r="469" s="1021" customFormat="1"/>
    <row r="470" s="1021" customFormat="1"/>
    <row r="471" s="1021" customFormat="1"/>
    <row r="472" s="1021" customFormat="1"/>
    <row r="473" s="1021" customFormat="1"/>
    <row r="474" s="1021" customFormat="1"/>
    <row r="475" s="1021" customFormat="1"/>
    <row r="476" s="1021" customFormat="1"/>
    <row r="477" s="1021" customFormat="1"/>
    <row r="478" s="1021" customFormat="1"/>
    <row r="479" s="1021" customFormat="1"/>
    <row r="480" s="1021" customFormat="1"/>
    <row r="481" s="1021" customFormat="1"/>
    <row r="482" s="1021" customFormat="1"/>
    <row r="483" s="1021" customFormat="1"/>
    <row r="484" s="1021" customFormat="1"/>
    <row r="485" s="1021" customFormat="1"/>
    <row r="486" s="1021" customFormat="1"/>
    <row r="487" s="1021" customFormat="1"/>
    <row r="488" s="1021" customFormat="1"/>
    <row r="489" s="1021" customFormat="1"/>
    <row r="490" s="1021" customFormat="1"/>
    <row r="491" s="1021" customFormat="1"/>
    <row r="492" s="1021" customFormat="1"/>
    <row r="493" s="1021" customFormat="1"/>
    <row r="494" s="1021" customFormat="1"/>
    <row r="495" s="1021" customFormat="1"/>
    <row r="496" s="1021" customFormat="1"/>
    <row r="497" s="1021" customFormat="1"/>
    <row r="498" s="1021" customFormat="1"/>
    <row r="499" s="1021" customFormat="1"/>
    <row r="500" s="1021" customFormat="1"/>
    <row r="501" s="1021" customFormat="1"/>
    <row r="502" s="1021" customFormat="1"/>
    <row r="503" s="1021" customFormat="1"/>
    <row r="504" s="1021" customFormat="1"/>
    <row r="505" s="1021" customFormat="1"/>
    <row r="506" s="1021" customFormat="1"/>
    <row r="507" s="1021" customFormat="1"/>
    <row r="508" s="1021" customFormat="1"/>
    <row r="509" s="1021" customFormat="1"/>
    <row r="510" s="1021" customFormat="1"/>
    <row r="511" s="1021" customFormat="1"/>
    <row r="512" s="1021" customFormat="1"/>
    <row r="513" s="1021" customFormat="1"/>
    <row r="514" s="1021" customFormat="1"/>
    <row r="515" s="1021" customFormat="1"/>
    <row r="516" s="1021" customFormat="1"/>
    <row r="517" s="1021" customFormat="1"/>
    <row r="518" s="1021" customFormat="1"/>
    <row r="519" s="1021" customFormat="1"/>
    <row r="520" s="1021" customFormat="1"/>
    <row r="521" s="1021" customFormat="1"/>
    <row r="522" s="1021" customFormat="1"/>
    <row r="523" s="1021" customFormat="1"/>
    <row r="524" s="1021" customFormat="1"/>
    <row r="525" s="1021" customFormat="1"/>
    <row r="526" s="1021" customFormat="1"/>
    <row r="527" s="1021" customFormat="1"/>
    <row r="528" s="1021" customFormat="1"/>
    <row r="529" s="1021" customFormat="1"/>
    <row r="530" s="1021" customFormat="1"/>
    <row r="531" s="1021" customFormat="1"/>
    <row r="532" s="1021" customFormat="1"/>
    <row r="533" s="1021" customFormat="1"/>
    <row r="534" s="1021" customFormat="1"/>
    <row r="535" s="1021" customFormat="1"/>
    <row r="536" s="1021" customFormat="1"/>
    <row r="537" s="1021" customFormat="1"/>
    <row r="538" s="1021" customFormat="1"/>
    <row r="539" s="1021" customFormat="1"/>
    <row r="540" s="1021" customFormat="1"/>
    <row r="541" s="1021" customFormat="1"/>
    <row r="542" s="1021" customFormat="1"/>
    <row r="543" s="1021" customFormat="1"/>
    <row r="544" s="1021" customFormat="1"/>
    <row r="545" s="1021" customFormat="1"/>
    <row r="546" s="1021" customFormat="1"/>
    <row r="547" s="1021" customFormat="1"/>
    <row r="548" s="1021" customFormat="1"/>
    <row r="549" s="1021" customFormat="1"/>
    <row r="550" s="1021" customFormat="1"/>
    <row r="551" s="1021" customFormat="1"/>
    <row r="552" s="1021" customFormat="1"/>
    <row r="553" s="1021" customFormat="1"/>
    <row r="554" s="1021" customFormat="1"/>
    <row r="555" s="1021" customFormat="1"/>
    <row r="556" s="1021" customFormat="1"/>
    <row r="557" s="1021" customFormat="1"/>
    <row r="558" s="1021" customFormat="1"/>
    <row r="559" s="1021" customFormat="1"/>
    <row r="560" s="1021" customFormat="1"/>
    <row r="561" s="1021" customFormat="1"/>
    <row r="562" s="1021" customFormat="1"/>
    <row r="563" s="1021" customFormat="1"/>
    <row r="564" s="1021" customFormat="1"/>
    <row r="565" s="1021" customFormat="1"/>
    <row r="566" s="1021" customFormat="1"/>
    <row r="567" s="1021" customFormat="1"/>
    <row r="568" s="1021" customFormat="1"/>
    <row r="569" s="1021" customFormat="1"/>
    <row r="570" s="1021" customFormat="1"/>
    <row r="571" s="1021" customFormat="1"/>
    <row r="572" s="1021" customFormat="1"/>
    <row r="573" s="1021" customFormat="1"/>
    <row r="574" s="1021" customFormat="1"/>
    <row r="575" s="1021" customFormat="1"/>
    <row r="576" s="1021" customFormat="1"/>
    <row r="577" s="1021" customFormat="1"/>
    <row r="578" s="1021" customFormat="1"/>
    <row r="579" s="1021" customFormat="1"/>
    <row r="580" s="1021" customFormat="1"/>
    <row r="581" s="1021" customFormat="1"/>
    <row r="582" s="1021" customFormat="1"/>
    <row r="583" s="1021" customFormat="1"/>
    <row r="584" s="1021" customFormat="1"/>
    <row r="585" s="1021" customFormat="1"/>
    <row r="586" s="1021" customFormat="1"/>
    <row r="587" s="1021" customFormat="1"/>
    <row r="588" s="1021" customFormat="1"/>
    <row r="589" s="1021" customFormat="1"/>
    <row r="590" s="1021" customFormat="1"/>
    <row r="591" s="1021" customFormat="1"/>
    <row r="592" s="1021" customFormat="1"/>
    <row r="593" s="1021" customFormat="1"/>
    <row r="594" s="1021" customFormat="1"/>
    <row r="595" s="1021" customFormat="1"/>
    <row r="596" s="1021" customFormat="1"/>
    <row r="597" s="1021" customFormat="1"/>
    <row r="598" s="1021" customFormat="1"/>
    <row r="599" s="1021" customFormat="1"/>
    <row r="600" s="1021" customFormat="1"/>
    <row r="601" s="1021" customFormat="1"/>
    <row r="602" s="1021" customFormat="1"/>
    <row r="603" s="1021" customFormat="1"/>
    <row r="604" s="1021" customFormat="1"/>
    <row r="605" s="1021" customFormat="1"/>
    <row r="606" s="1021" customFormat="1"/>
    <row r="607" s="1021" customFormat="1"/>
    <row r="608" s="1021" customFormat="1"/>
    <row r="609" s="1021" customFormat="1"/>
    <row r="610" s="1021" customFormat="1"/>
    <row r="611" s="1021" customFormat="1"/>
    <row r="612" s="1021" customFormat="1"/>
    <row r="613" s="1021" customFormat="1"/>
    <row r="614" s="1021" customFormat="1"/>
    <row r="615" s="1021" customFormat="1"/>
    <row r="616" s="1021" customFormat="1"/>
    <row r="617" s="1021" customFormat="1"/>
    <row r="618" s="1021" customFormat="1"/>
    <row r="619" s="1021" customFormat="1"/>
    <row r="620" s="1021" customFormat="1"/>
    <row r="621" s="1021" customFormat="1"/>
    <row r="622" s="1021" customFormat="1"/>
    <row r="623" s="1021" customFormat="1"/>
    <row r="624" s="1021" customFormat="1"/>
    <row r="625" s="1021" customFormat="1"/>
    <row r="626" s="1021" customFormat="1"/>
    <row r="627" s="1021" customFormat="1"/>
    <row r="628" s="1021" customFormat="1"/>
    <row r="629" s="1021" customFormat="1"/>
    <row r="630" s="1021" customFormat="1"/>
    <row r="631" s="1021" customFormat="1"/>
    <row r="632" s="1021" customFormat="1"/>
    <row r="633" s="1021" customFormat="1"/>
    <row r="634" s="1021" customFormat="1"/>
    <row r="635" s="1021" customFormat="1"/>
    <row r="636" s="1021" customFormat="1"/>
    <row r="637" s="1021" customFormat="1"/>
    <row r="638" s="1021" customFormat="1"/>
    <row r="639" s="1021" customFormat="1"/>
    <row r="640" s="1021" customFormat="1"/>
    <row r="641" s="1021" customFormat="1"/>
    <row r="642" s="1021" customFormat="1"/>
    <row r="643" s="1021" customFormat="1"/>
    <row r="644" s="1021" customFormat="1"/>
    <row r="645" s="1021" customFormat="1"/>
    <row r="646" s="1021" customFormat="1"/>
    <row r="647" s="1021" customFormat="1"/>
    <row r="648" s="1021" customFormat="1"/>
    <row r="649" s="1021" customFormat="1"/>
    <row r="650" s="1021" customFormat="1"/>
    <row r="651" s="1021" customFormat="1"/>
    <row r="652" s="1021" customFormat="1"/>
    <row r="653" s="1021" customFormat="1"/>
    <row r="654" s="1021" customFormat="1"/>
    <row r="655" s="1021" customFormat="1"/>
    <row r="656" s="1021" customFormat="1"/>
    <row r="657" s="1021" customFormat="1"/>
    <row r="658" s="1021" customFormat="1"/>
    <row r="659" s="1021" customFormat="1"/>
    <row r="660" s="1021" customFormat="1"/>
    <row r="661" s="1021" customFormat="1"/>
    <row r="662" s="1021" customFormat="1"/>
    <row r="663" s="1021" customFormat="1"/>
    <row r="664" s="1021" customFormat="1"/>
    <row r="665" s="1021" customFormat="1"/>
    <row r="666" s="1021" customFormat="1"/>
    <row r="667" s="1021" customFormat="1"/>
    <row r="668" s="1021" customFormat="1"/>
    <row r="669" s="1021" customFormat="1"/>
    <row r="670" s="1021" customFormat="1"/>
    <row r="671" s="1021" customFormat="1"/>
    <row r="672" s="1021" customFormat="1"/>
    <row r="673" s="1021" customFormat="1"/>
    <row r="674" s="1021" customFormat="1"/>
    <row r="675" s="1021" customFormat="1"/>
    <row r="676" s="1021" customFormat="1"/>
    <row r="677" s="1021" customFormat="1"/>
    <row r="678" s="1021" customFormat="1"/>
    <row r="679" s="1021" customFormat="1"/>
    <row r="680" s="1021" customFormat="1"/>
    <row r="681" s="1021" customFormat="1"/>
    <row r="682" s="1021" customFormat="1"/>
    <row r="683" s="1021" customFormat="1"/>
    <row r="684" s="1021" customFormat="1"/>
    <row r="685" s="1021" customFormat="1"/>
    <row r="686" s="1021" customFormat="1"/>
    <row r="687" s="1021" customFormat="1"/>
    <row r="688" s="1021" customFormat="1"/>
    <row r="689" s="1021" customFormat="1"/>
    <row r="690" s="1021" customFormat="1"/>
    <row r="691" s="1021" customFormat="1"/>
    <row r="692" s="1021" customFormat="1"/>
    <row r="693" s="1021" customFormat="1"/>
    <row r="694" s="1021" customFormat="1"/>
    <row r="695" s="1021" customFormat="1"/>
    <row r="696" s="1021" customFormat="1"/>
    <row r="697" s="1021" customFormat="1"/>
    <row r="698" s="1021" customFormat="1"/>
    <row r="699" s="1021" customFormat="1"/>
    <row r="700" s="1021" customFormat="1"/>
    <row r="701" s="1021" customFormat="1"/>
    <row r="702" s="1021" customFormat="1"/>
    <row r="703" s="1021" customFormat="1"/>
    <row r="704" s="1021" customFormat="1"/>
    <row r="705" s="1021" customFormat="1"/>
    <row r="706" s="1021" customFormat="1"/>
    <row r="707" s="1021" customFormat="1"/>
    <row r="708" s="1021" customFormat="1"/>
    <row r="709" s="1021" customFormat="1"/>
    <row r="710" s="1021" customFormat="1"/>
    <row r="711" s="1021" customFormat="1"/>
    <row r="712" s="1021" customFormat="1"/>
    <row r="713" s="1021" customFormat="1"/>
    <row r="714" s="1021" customFormat="1"/>
    <row r="715" s="1021" customFormat="1"/>
    <row r="716" s="1021" customFormat="1"/>
    <row r="717" s="1021" customFormat="1"/>
    <row r="718" s="1021" customFormat="1"/>
    <row r="719" s="1021" customFormat="1"/>
    <row r="720" s="1021" customFormat="1"/>
    <row r="721" s="1021" customFormat="1"/>
    <row r="722" s="1021" customFormat="1"/>
    <row r="723" s="1021" customFormat="1"/>
    <row r="724" s="1021" customFormat="1"/>
    <row r="725" s="1021" customFormat="1"/>
    <row r="726" s="1021" customFormat="1"/>
    <row r="727" s="1021" customFormat="1"/>
    <row r="728" s="1021" customFormat="1"/>
    <row r="729" s="1021" customFormat="1"/>
    <row r="730" s="1021" customFormat="1"/>
    <row r="731" s="1021" customFormat="1"/>
    <row r="732" s="1021" customFormat="1"/>
    <row r="733" s="1021" customFormat="1"/>
    <row r="734" s="1021" customFormat="1"/>
    <row r="735" s="1021" customFormat="1"/>
    <row r="736" s="1021" customFormat="1"/>
    <row r="737" s="1021" customFormat="1"/>
    <row r="738" s="1021" customFormat="1"/>
    <row r="739" s="1021" customFormat="1"/>
    <row r="740" s="1021" customFormat="1"/>
    <row r="741" s="1021" customFormat="1"/>
    <row r="742" s="1021" customFormat="1"/>
    <row r="743" s="1021" customFormat="1"/>
    <row r="744" s="1021" customFormat="1"/>
    <row r="745" s="1021" customFormat="1"/>
    <row r="746" s="1021" customFormat="1"/>
    <row r="747" s="1021" customFormat="1"/>
    <row r="748" s="1021" customFormat="1"/>
    <row r="749" s="1021" customFormat="1"/>
    <row r="750" s="1021" customFormat="1"/>
    <row r="751" s="1021" customFormat="1"/>
    <row r="752" s="1021" customFormat="1"/>
    <row r="753" s="1021" customFormat="1"/>
    <row r="754" s="1021" customFormat="1"/>
    <row r="755" s="1021" customFormat="1"/>
    <row r="756" s="1021" customFormat="1"/>
    <row r="757" s="1021" customFormat="1"/>
    <row r="758" s="1021" customFormat="1"/>
    <row r="759" s="1021" customFormat="1"/>
    <row r="760" s="1021" customFormat="1"/>
    <row r="761" s="1021" customFormat="1"/>
    <row r="762" s="1021" customFormat="1"/>
    <row r="763" s="1021" customFormat="1"/>
    <row r="764" s="1021" customFormat="1"/>
    <row r="765" s="1021" customFormat="1"/>
    <row r="766" s="1021" customFormat="1"/>
    <row r="767" s="1021" customFormat="1"/>
    <row r="768" s="1021" customFormat="1"/>
    <row r="769" s="1021" customFormat="1"/>
    <row r="770" s="1021" customFormat="1"/>
    <row r="771" s="1021" customFormat="1"/>
    <row r="772" s="1021" customFormat="1"/>
    <row r="773" s="1021" customFormat="1"/>
    <row r="774" s="1021" customFormat="1"/>
    <row r="775" s="1021" customFormat="1"/>
    <row r="776" s="1021" customFormat="1"/>
    <row r="777" s="1021" customFormat="1"/>
    <row r="778" s="1021" customFormat="1"/>
    <row r="779" s="1021" customFormat="1"/>
    <row r="780" s="1021" customFormat="1"/>
    <row r="781" s="1021" customFormat="1"/>
    <row r="782" s="1021" customFormat="1"/>
    <row r="783" s="1021" customFormat="1"/>
    <row r="784" s="1021" customFormat="1"/>
    <row r="785" s="1021" customFormat="1"/>
    <row r="786" s="1021" customFormat="1"/>
    <row r="787" s="1021" customFormat="1"/>
    <row r="788" s="1021" customFormat="1"/>
    <row r="789" s="1021" customFormat="1"/>
    <row r="790" s="1021" customFormat="1"/>
    <row r="791" s="1021" customFormat="1"/>
    <row r="792" s="1021" customFormat="1"/>
    <row r="793" s="1021" customFormat="1"/>
    <row r="794" s="1021" customFormat="1"/>
    <row r="795" s="1021" customFormat="1"/>
    <row r="796" s="1021" customFormat="1"/>
    <row r="797" s="1021" customFormat="1"/>
    <row r="798" s="1021" customFormat="1"/>
    <row r="799" s="1021" customFormat="1"/>
    <row r="800" s="1021" customFormat="1"/>
    <row r="801" s="1021" customFormat="1"/>
    <row r="802" s="1021" customFormat="1"/>
    <row r="803" s="1021" customFormat="1"/>
    <row r="804" s="1021" customFormat="1"/>
    <row r="805" s="1021" customFormat="1"/>
    <row r="806" s="1021" customFormat="1"/>
    <row r="807" s="1021" customFormat="1"/>
    <row r="808" s="1021" customFormat="1"/>
    <row r="809" s="1021" customFormat="1"/>
    <row r="810" s="1021" customFormat="1"/>
    <row r="811" s="1021" customFormat="1"/>
    <row r="812" s="1021" customFormat="1"/>
    <row r="813" s="1021" customFormat="1"/>
    <row r="814" s="1021" customFormat="1"/>
    <row r="815" s="1021" customFormat="1"/>
    <row r="816" s="1021" customFormat="1"/>
    <row r="817" s="1021" customFormat="1"/>
    <row r="818" s="1021" customFormat="1"/>
    <row r="819" s="1021" customFormat="1"/>
    <row r="820" s="1021" customFormat="1"/>
    <row r="821" s="1021" customFormat="1"/>
    <row r="822" s="1021" customFormat="1"/>
    <row r="823" s="1021" customFormat="1"/>
    <row r="824" s="1021" customFormat="1"/>
    <row r="825" s="1021" customFormat="1"/>
    <row r="826" s="1021" customFormat="1"/>
    <row r="827" s="1021" customFormat="1"/>
    <row r="828" s="1021" customFormat="1"/>
    <row r="829" s="1021" customFormat="1"/>
    <row r="830" s="1021" customFormat="1"/>
    <row r="831" s="1021" customFormat="1"/>
    <row r="832" s="1021" customFormat="1"/>
    <row r="833" s="1021" customFormat="1"/>
    <row r="834" s="1021" customFormat="1"/>
    <row r="835" s="1021" customFormat="1"/>
    <row r="836" s="1021" customFormat="1"/>
    <row r="837" s="1021" customFormat="1"/>
    <row r="838" s="1021" customFormat="1"/>
    <row r="839" s="1021" customFormat="1"/>
    <row r="840" s="1021" customFormat="1"/>
    <row r="841" s="1021" customFormat="1"/>
    <row r="842" s="1021" customFormat="1"/>
    <row r="843" s="1021" customFormat="1"/>
    <row r="844" s="1021" customFormat="1"/>
    <row r="845" s="1021" customFormat="1"/>
    <row r="846" s="1021" customFormat="1"/>
    <row r="847" s="1021" customFormat="1"/>
    <row r="848" s="1021" customFormat="1"/>
    <row r="849" s="1021" customFormat="1"/>
    <row r="850" s="1021" customFormat="1"/>
    <row r="851" s="1021" customFormat="1"/>
    <row r="852" s="1021" customFormat="1"/>
    <row r="853" s="1021" customFormat="1"/>
    <row r="854" s="1021" customFormat="1"/>
    <row r="855" s="1021" customFormat="1"/>
    <row r="856" s="1021" customFormat="1"/>
    <row r="857" s="1021" customFormat="1"/>
    <row r="858" s="1021" customFormat="1"/>
    <row r="859" s="1021" customFormat="1"/>
    <row r="860" s="1021" customFormat="1"/>
    <row r="861" s="1021" customFormat="1"/>
    <row r="862" s="1021" customFormat="1"/>
    <row r="863" s="1021" customFormat="1"/>
    <row r="864" s="1021" customFormat="1"/>
    <row r="865" s="1021" customFormat="1"/>
    <row r="866" s="1021" customFormat="1"/>
    <row r="867" s="1021" customFormat="1"/>
    <row r="868" s="1021" customFormat="1"/>
    <row r="869" s="1021" customFormat="1"/>
    <row r="870" s="1021" customFormat="1"/>
    <row r="871" s="1021" customFormat="1"/>
    <row r="872" s="1021" customFormat="1"/>
    <row r="873" s="1021" customFormat="1"/>
    <row r="874" s="1021" customFormat="1"/>
    <row r="875" s="1021" customFormat="1"/>
    <row r="876" s="1021" customFormat="1"/>
    <row r="877" s="1021" customFormat="1"/>
    <row r="878" s="1021" customFormat="1"/>
    <row r="879" s="1021" customFormat="1"/>
    <row r="880" s="1021" customFormat="1"/>
    <row r="881" s="1021" customFormat="1"/>
    <row r="882" s="1021" customFormat="1"/>
    <row r="883" s="1021" customFormat="1"/>
    <row r="884" s="1021" customFormat="1"/>
    <row r="885" s="1021" customFormat="1"/>
    <row r="886" s="1021" customFormat="1"/>
    <row r="887" s="1021" customFormat="1"/>
    <row r="888" s="1021" customFormat="1"/>
    <row r="889" s="1021" customFormat="1"/>
    <row r="890" s="1021" customFormat="1"/>
    <row r="891" s="1021" customFormat="1"/>
    <row r="892" s="1021" customFormat="1"/>
    <row r="893" s="1021" customFormat="1"/>
    <row r="894" s="1021" customFormat="1"/>
    <row r="895" s="1021" customFormat="1"/>
    <row r="896" s="1021" customFormat="1"/>
    <row r="897" s="1021" customFormat="1"/>
    <row r="898" s="1021" customFormat="1"/>
    <row r="899" s="1021" customFormat="1"/>
    <row r="900" s="1021" customFormat="1"/>
    <row r="901" s="1021" customFormat="1"/>
    <row r="902" s="1021" customFormat="1"/>
    <row r="903" s="1021" customFormat="1"/>
    <row r="904" s="1021" customFormat="1"/>
    <row r="905" s="1021" customFormat="1"/>
    <row r="906" s="1021" customFormat="1"/>
    <row r="907" s="1021" customFormat="1"/>
    <row r="908" s="1021" customFormat="1"/>
    <row r="909" s="1021" customFormat="1"/>
    <row r="910" s="1021" customFormat="1"/>
    <row r="911" s="1021" customFormat="1"/>
    <row r="912" s="1021" customFormat="1"/>
    <row r="913" s="1021" customFormat="1"/>
    <row r="914" s="1021" customFormat="1"/>
    <row r="915" s="1021" customFormat="1"/>
    <row r="916" s="1021" customFormat="1"/>
    <row r="917" s="1021" customFormat="1"/>
    <row r="918" s="1021" customFormat="1"/>
    <row r="919" s="1021" customFormat="1"/>
    <row r="920" s="1021" customFormat="1"/>
    <row r="921" s="1021" customFormat="1"/>
    <row r="922" s="1021" customFormat="1"/>
    <row r="923" s="1021" customFormat="1"/>
    <row r="924" s="1021" customFormat="1"/>
    <row r="925" s="1021" customFormat="1"/>
    <row r="926" s="1021" customFormat="1"/>
    <row r="927" s="1021" customFormat="1"/>
    <row r="928" s="1021" customFormat="1"/>
    <row r="929" s="1021" customFormat="1"/>
    <row r="930" s="1021" customFormat="1"/>
    <row r="931" s="1021" customFormat="1"/>
    <row r="932" s="1021" customFormat="1"/>
    <row r="933" s="1021" customFormat="1"/>
    <row r="934" s="1021" customFormat="1"/>
    <row r="935" s="1021" customFormat="1"/>
    <row r="936" s="1021" customFormat="1"/>
    <row r="937" s="1021" customFormat="1"/>
    <row r="938" s="1021" customFormat="1"/>
    <row r="939" s="1021" customFormat="1"/>
    <row r="940" s="1021" customFormat="1"/>
    <row r="941" s="1021" customFormat="1"/>
    <row r="942" s="1021" customFormat="1"/>
    <row r="943" s="1021" customFormat="1"/>
    <row r="944" s="1021" customFormat="1"/>
    <row r="945" s="1021" customFormat="1"/>
    <row r="946" s="1021" customFormat="1"/>
    <row r="947" s="1021" customFormat="1"/>
    <row r="948" s="1021" customFormat="1"/>
    <row r="949" s="1021" customFormat="1"/>
    <row r="950" s="1021" customFormat="1"/>
    <row r="951" s="1021" customFormat="1"/>
    <row r="952" s="1021" customFormat="1"/>
    <row r="953" s="1021" customFormat="1"/>
    <row r="954" s="1021" customFormat="1"/>
    <row r="955" s="1021" customFormat="1"/>
    <row r="956" s="1021" customFormat="1"/>
    <row r="957" s="1021" customFormat="1"/>
    <row r="958" s="1021" customFormat="1"/>
    <row r="959" s="1021" customFormat="1"/>
    <row r="960" s="1021" customFormat="1"/>
    <row r="961" s="1021" customFormat="1"/>
    <row r="962" s="1021" customFormat="1"/>
    <row r="963" s="1021" customFormat="1"/>
    <row r="964" s="1021" customFormat="1"/>
    <row r="965" s="1021" customFormat="1"/>
    <row r="966" s="1021" customFormat="1"/>
    <row r="967" s="1021" customFormat="1"/>
    <row r="968" s="1021" customFormat="1"/>
    <row r="969" s="1021" customFormat="1"/>
    <row r="970" s="1021" customFormat="1"/>
    <row r="971" s="1021" customFormat="1"/>
    <row r="972" s="1021" customFormat="1"/>
    <row r="973" s="1021" customFormat="1"/>
    <row r="974" s="1021" customFormat="1"/>
    <row r="975" s="1021" customFormat="1"/>
    <row r="976" s="1021" customFormat="1"/>
    <row r="977" s="1021" customFormat="1"/>
    <row r="978" s="1021" customFormat="1"/>
    <row r="979" s="1021" customFormat="1"/>
    <row r="980" s="1021" customFormat="1"/>
    <row r="981" s="1021" customFormat="1"/>
    <row r="982" s="1021" customFormat="1"/>
    <row r="983" s="1021" customFormat="1"/>
    <row r="984" s="1021" customFormat="1"/>
    <row r="985" s="1021" customFormat="1"/>
    <row r="986" s="1021" customFormat="1"/>
    <row r="987" s="1021" customFormat="1"/>
    <row r="988" s="1021" customFormat="1"/>
    <row r="989" s="1021" customFormat="1"/>
    <row r="990" s="1021" customFormat="1"/>
    <row r="991" s="1021" customFormat="1"/>
    <row r="992" s="1021" customFormat="1"/>
    <row r="993" s="1021" customFormat="1"/>
    <row r="994" s="1021" customFormat="1"/>
    <row r="995" s="1021" customFormat="1"/>
    <row r="996" s="1021" customFormat="1"/>
    <row r="997" s="1021" customFormat="1"/>
    <row r="998" s="1021" customFormat="1"/>
    <row r="999" s="1021" customFormat="1"/>
    <row r="1000" s="1021" customFormat="1"/>
    <row r="1001" s="1021" customFormat="1"/>
    <row r="1002" s="1021" customFormat="1"/>
    <row r="1003" s="1021" customFormat="1"/>
    <row r="1004" s="1021" customFormat="1"/>
    <row r="1005" s="1021" customFormat="1"/>
    <row r="1006" s="1021" customFormat="1"/>
    <row r="1007" s="1021" customFormat="1"/>
    <row r="1008" s="1021" customFormat="1"/>
    <row r="1009" s="1021" customFormat="1"/>
    <row r="1010" s="1021" customFormat="1"/>
    <row r="1011" s="1021" customFormat="1"/>
    <row r="1012" s="1021" customFormat="1"/>
    <row r="1013" s="1021" customFormat="1"/>
    <row r="1014" s="1021" customFormat="1"/>
    <row r="1015" s="1021" customFormat="1"/>
    <row r="1016" s="1021" customFormat="1"/>
    <row r="1017" s="1021" customFormat="1"/>
    <row r="1018" s="1021" customFormat="1"/>
    <row r="1019" s="1021" customFormat="1"/>
    <row r="1020" s="1021" customFormat="1"/>
    <row r="1021" s="1021" customFormat="1"/>
    <row r="1022" s="1021" customFormat="1"/>
    <row r="1023" s="1021" customFormat="1"/>
    <row r="1024" s="1021" customFormat="1"/>
    <row r="1025" s="1021" customFormat="1"/>
    <row r="1026" s="1021" customFormat="1"/>
    <row r="1027" s="1021" customFormat="1"/>
    <row r="1028" s="1021" customFormat="1"/>
    <row r="1029" s="1021" customFormat="1"/>
    <row r="1030" s="1021" customFormat="1"/>
    <row r="1031" s="1021" customFormat="1"/>
    <row r="1032" s="1021" customFormat="1"/>
    <row r="1033" s="1021" customFormat="1"/>
    <row r="1034" s="1021" customFormat="1"/>
    <row r="1035" s="1021" customFormat="1"/>
    <row r="1036" s="1021" customFormat="1"/>
    <row r="1037" s="1021" customFormat="1"/>
    <row r="1038" s="1021" customFormat="1"/>
    <row r="1039" s="1021" customFormat="1"/>
    <row r="1040" s="1021" customFormat="1"/>
    <row r="1041" s="1021" customFormat="1"/>
    <row r="1042" s="1021" customFormat="1"/>
    <row r="1043" s="1021" customFormat="1"/>
    <row r="1044" s="1021" customFormat="1"/>
    <row r="1045" s="1021" customFormat="1"/>
    <row r="1046" s="1021" customFormat="1"/>
    <row r="1047" s="1021" customFormat="1"/>
    <row r="1048" s="1021" customFormat="1"/>
    <row r="1049" s="1021" customFormat="1"/>
    <row r="1050" s="1021" customFormat="1"/>
    <row r="1051" s="1021" customFormat="1"/>
    <row r="1052" s="1021" customFormat="1"/>
    <row r="1053" s="1021" customFormat="1"/>
    <row r="1054" s="1021" customFormat="1"/>
    <row r="1055" s="1021" customFormat="1"/>
    <row r="1056" s="1021" customFormat="1"/>
    <row r="1057" s="1021" customFormat="1"/>
    <row r="1058" s="1021" customFormat="1"/>
    <row r="1059" s="1021" customFormat="1"/>
    <row r="1060" s="1021" customFormat="1"/>
    <row r="1061" s="1021" customFormat="1"/>
    <row r="1062" s="1021" customFormat="1"/>
    <row r="1063" s="1021" customFormat="1"/>
    <row r="1064" s="1021" customFormat="1"/>
    <row r="1065" s="1021" customFormat="1"/>
    <row r="1066" s="1021" customFormat="1"/>
    <row r="1067" s="1021" customFormat="1"/>
    <row r="1068" s="1021" customFormat="1"/>
    <row r="1069" s="1021" customFormat="1"/>
    <row r="1070" s="1021" customFormat="1"/>
    <row r="1071" s="1021" customFormat="1"/>
    <row r="1072" s="1021" customFormat="1"/>
    <row r="1073" s="1021" customFormat="1"/>
    <row r="1074" s="1021" customFormat="1"/>
    <row r="1075" s="1021" customFormat="1"/>
    <row r="1076" s="1021" customFormat="1"/>
    <row r="1077" s="1021" customFormat="1"/>
    <row r="1078" s="1021" customFormat="1"/>
    <row r="1079" s="1021" customFormat="1"/>
    <row r="1080" s="1021" customFormat="1"/>
    <row r="1081" s="1021" customFormat="1"/>
    <row r="1082" s="1021" customFormat="1"/>
    <row r="1083" s="1021" customFormat="1"/>
    <row r="1084" s="1021" customFormat="1"/>
    <row r="1085" s="1021" customFormat="1"/>
    <row r="1086" s="1021" customFormat="1"/>
    <row r="1087" s="1021" customFormat="1"/>
    <row r="1088" s="1021" customFormat="1"/>
    <row r="1089" s="1021" customFormat="1"/>
    <row r="1090" s="1021" customFormat="1"/>
    <row r="1091" s="1021" customFormat="1"/>
    <row r="1092" s="1021" customFormat="1"/>
    <row r="1093" s="1021" customFormat="1"/>
    <row r="1094" s="1021" customFormat="1"/>
    <row r="1095" s="1021" customFormat="1"/>
    <row r="1096" s="1021" customFormat="1"/>
    <row r="1097" s="1021" customFormat="1"/>
    <row r="1098" s="1021" customFormat="1"/>
    <row r="1099" s="1021" customFormat="1"/>
    <row r="1100" s="1021" customFormat="1"/>
    <row r="1101" s="1021" customFormat="1"/>
    <row r="1102" s="1021" customFormat="1"/>
    <row r="1103" s="1021" customFormat="1"/>
    <row r="1104" s="1021" customFormat="1"/>
    <row r="1105" s="1021" customFormat="1"/>
    <row r="1106" s="1021" customFormat="1"/>
    <row r="1107" s="1021" customFormat="1"/>
    <row r="1108" s="1021" customFormat="1"/>
    <row r="1109" s="1021" customFormat="1"/>
    <row r="1110" s="1021" customFormat="1"/>
    <row r="1111" s="1021" customFormat="1"/>
    <row r="1112" s="1021" customFormat="1"/>
    <row r="1113" s="1021" customFormat="1"/>
    <row r="1114" s="1021" customFormat="1"/>
    <row r="1115" s="1021" customFormat="1"/>
    <row r="1116" s="1021" customFormat="1"/>
    <row r="1117" s="1021" customFormat="1"/>
    <row r="1118" s="1021" customFormat="1"/>
    <row r="1119" s="1021" customFormat="1"/>
    <row r="1120" s="1021" customFormat="1"/>
    <row r="1121" s="1021" customFormat="1"/>
    <row r="1122" s="1021" customFormat="1"/>
    <row r="1123" s="1021" customFormat="1"/>
    <row r="1124" s="1021" customFormat="1"/>
    <row r="1125" s="1021" customFormat="1"/>
    <row r="1126" s="1021" customFormat="1"/>
    <row r="1127" s="1021" customFormat="1"/>
    <row r="1128" s="1021" customFormat="1"/>
    <row r="1129" s="1021" customFormat="1"/>
    <row r="1130" s="1021" customFormat="1"/>
    <row r="1131" s="1021" customFormat="1"/>
    <row r="1132" s="1021" customFormat="1"/>
    <row r="1133" s="1021" customFormat="1"/>
    <row r="1134" s="1021" customFormat="1"/>
    <row r="1135" s="1021" customFormat="1"/>
    <row r="1136" s="1021" customFormat="1"/>
    <row r="1137" s="1021" customFormat="1"/>
    <row r="1138" s="1021" customFormat="1"/>
    <row r="1139" s="1021" customFormat="1"/>
    <row r="1140" s="1021" customFormat="1"/>
    <row r="1141" s="1021" customFormat="1"/>
    <row r="1142" s="1021" customFormat="1"/>
    <row r="1143" s="1021" customFormat="1"/>
    <row r="1144" s="1021" customFormat="1"/>
    <row r="1145" s="1021" customFormat="1"/>
    <row r="1146" s="1021" customFormat="1"/>
    <row r="1147" s="1021" customFormat="1"/>
    <row r="1148" s="1021" customFormat="1"/>
    <row r="1149" s="1021" customFormat="1"/>
    <row r="1150" s="1021" customFormat="1"/>
    <row r="1151" s="1021" customFormat="1"/>
    <row r="1152" s="1021" customFormat="1"/>
    <row r="1153" s="1021" customFormat="1"/>
    <row r="1154" s="1021" customFormat="1"/>
    <row r="1155" s="1021" customFormat="1"/>
    <row r="1156" s="1021" customFormat="1"/>
    <row r="1157" s="1021" customFormat="1"/>
    <row r="1158" s="1021" customFormat="1"/>
    <row r="1159" s="1021" customFormat="1"/>
    <row r="1160" s="1021" customFormat="1"/>
    <row r="1161" s="1021" customFormat="1"/>
    <row r="1162" s="1021" customFormat="1"/>
    <row r="1163" s="1021" customFormat="1"/>
    <row r="1164" s="1021" customFormat="1"/>
    <row r="1165" s="1021" customFormat="1"/>
    <row r="1166" s="1021" customFormat="1"/>
    <row r="1167" s="1021" customFormat="1"/>
    <row r="1168" s="1021" customFormat="1"/>
    <row r="1169" s="1021" customFormat="1"/>
    <row r="1170" s="1021" customFormat="1"/>
    <row r="1171" s="1021" customFormat="1"/>
    <row r="1172" s="1021" customFormat="1"/>
    <row r="1173" s="1021" customFormat="1"/>
    <row r="1174" s="1021" customFormat="1"/>
    <row r="1175" s="1021" customFormat="1"/>
    <row r="1176" s="1021" customFormat="1"/>
    <row r="1177" s="1021" customFormat="1"/>
    <row r="1178" s="1021" customFormat="1"/>
    <row r="1179" s="1021" customFormat="1"/>
    <row r="1180" s="1021" customFormat="1"/>
    <row r="1181" s="1021" customFormat="1"/>
    <row r="1182" s="1021" customFormat="1"/>
    <row r="1183" s="1021" customFormat="1"/>
    <row r="1184" s="1021" customFormat="1"/>
    <row r="1185" s="1021" customFormat="1"/>
    <row r="1186" s="1021" customFormat="1"/>
    <row r="1187" s="1021" customFormat="1"/>
    <row r="1188" s="1021" customFormat="1"/>
    <row r="1189" s="1021" customFormat="1"/>
    <row r="1190" s="1021" customFormat="1"/>
    <row r="1191" s="1021" customFormat="1"/>
    <row r="1192" s="1021" customFormat="1"/>
    <row r="1193" s="1021" customFormat="1"/>
    <row r="1194" s="1021" customFormat="1"/>
    <row r="1195" s="1021" customFormat="1"/>
    <row r="1196" s="1021" customFormat="1"/>
    <row r="1197" s="1021" customFormat="1"/>
    <row r="1198" s="1021" customFormat="1"/>
    <row r="1199" s="1021" customFormat="1"/>
    <row r="1200" s="1021" customFormat="1"/>
    <row r="1201" s="1021" customFormat="1"/>
    <row r="1202" s="1021" customFormat="1"/>
    <row r="1203" s="1021" customFormat="1"/>
    <row r="1204" s="1021" customFormat="1"/>
    <row r="1205" s="1021" customFormat="1"/>
    <row r="1206" s="1021" customFormat="1"/>
    <row r="1207" s="1021" customFormat="1"/>
    <row r="1208" s="1021" customFormat="1"/>
    <row r="1209" s="1021" customFormat="1"/>
    <row r="1210" s="1021" customFormat="1"/>
    <row r="1211" s="1021" customFormat="1"/>
    <row r="1212" s="1021" customFormat="1"/>
    <row r="1213" s="1021" customFormat="1"/>
    <row r="1214" s="1021" customFormat="1"/>
    <row r="1215" s="1021" customFormat="1"/>
    <row r="1216" s="1021" customFormat="1"/>
    <row r="1217" s="1021" customFormat="1"/>
    <row r="1218" s="1021" customFormat="1"/>
    <row r="1219" s="1021" customFormat="1"/>
    <row r="1220" s="1021" customFormat="1"/>
    <row r="1221" s="1021" customFormat="1"/>
    <row r="1222" s="1021" customFormat="1"/>
    <row r="1223" s="1021" customFormat="1"/>
    <row r="1224" s="1021" customFormat="1"/>
    <row r="1225" s="1021" customFormat="1"/>
    <row r="1226" s="1021" customFormat="1"/>
    <row r="1227" s="1021" customFormat="1"/>
    <row r="1228" s="1021" customFormat="1"/>
    <row r="1229" s="1021" customFormat="1"/>
    <row r="1230" s="1021" customFormat="1"/>
    <row r="1231" s="1021" customFormat="1"/>
    <row r="1232" s="1021" customFormat="1"/>
    <row r="1233" s="1021" customFormat="1"/>
    <row r="1234" s="1021" customFormat="1"/>
    <row r="1235" s="1021" customFormat="1"/>
    <row r="1236" s="1021" customFormat="1"/>
    <row r="1237" s="1021" customFormat="1"/>
    <row r="1238" s="1021" customFormat="1"/>
    <row r="1239" s="1021" customFormat="1"/>
    <row r="1240" s="1021" customFormat="1"/>
    <row r="1241" s="1021" customFormat="1"/>
    <row r="1242" s="1021" customFormat="1"/>
    <row r="1243" s="1021" customFormat="1"/>
    <row r="1244" s="1021" customFormat="1"/>
    <row r="1245" s="1021" customFormat="1"/>
    <row r="1246" s="1021" customFormat="1"/>
    <row r="1247" s="1021" customFormat="1"/>
    <row r="1248" s="1021" customFormat="1"/>
    <row r="1249" s="1021" customFormat="1"/>
    <row r="1250" s="1021" customFormat="1"/>
    <row r="1251" s="1021" customFormat="1"/>
    <row r="1252" s="1021" customFormat="1"/>
    <row r="1253" s="1021" customFormat="1"/>
    <row r="1254" s="1021" customFormat="1"/>
    <row r="1255" s="1021" customFormat="1"/>
    <row r="1256" s="1021" customFormat="1"/>
    <row r="1257" s="1021" customFormat="1"/>
    <row r="1258" s="1021" customFormat="1"/>
    <row r="1259" s="1021" customFormat="1"/>
    <row r="1260" s="1021" customFormat="1"/>
    <row r="1261" s="1021" customFormat="1"/>
    <row r="1262" s="1021" customFormat="1"/>
    <row r="1263" s="1021" customFormat="1"/>
    <row r="1264" s="1021" customFormat="1"/>
    <row r="1265" s="1021" customFormat="1"/>
    <row r="1266" s="1021" customFormat="1"/>
    <row r="1267" s="1021" customFormat="1"/>
    <row r="1268" s="1021" customFormat="1"/>
    <row r="1269" s="1021" customFormat="1"/>
    <row r="1270" s="1021" customFormat="1"/>
    <row r="1271" s="1021" customFormat="1"/>
    <row r="1272" s="1021" customFormat="1"/>
    <row r="1273" s="1021" customFormat="1"/>
    <row r="1274" s="1021" customFormat="1"/>
    <row r="1275" s="1021" customFormat="1"/>
    <row r="1276" s="1021" customFormat="1"/>
    <row r="1277" s="1021" customFormat="1"/>
    <row r="1278" s="1021" customFormat="1"/>
    <row r="1279" s="1021" customFormat="1"/>
    <row r="1280" s="1021" customFormat="1"/>
    <row r="1281" s="1021" customFormat="1"/>
    <row r="1282" s="1021" customFormat="1"/>
    <row r="1283" s="1021" customFormat="1"/>
    <row r="1284" s="1021" customFormat="1"/>
    <row r="1285" s="1021" customFormat="1"/>
    <row r="1286" s="1021" customFormat="1"/>
    <row r="1287" s="1021" customFormat="1"/>
    <row r="1288" s="1021" customFormat="1"/>
    <row r="1289" s="1021" customFormat="1"/>
    <row r="1290" s="1021" customFormat="1"/>
    <row r="1291" s="1021" customFormat="1"/>
    <row r="1292" s="1021" customFormat="1"/>
    <row r="1293" s="1021" customFormat="1"/>
    <row r="1294" s="1021" customFormat="1"/>
    <row r="1295" s="1021" customFormat="1"/>
    <row r="1296" s="1021" customFormat="1"/>
    <row r="1297" s="1021" customFormat="1"/>
    <row r="1298" s="1021" customFormat="1"/>
    <row r="1299" s="1021" customFormat="1"/>
    <row r="1300" s="1021" customFormat="1"/>
    <row r="1301" s="1021" customFormat="1"/>
    <row r="1302" s="1021" customFormat="1"/>
    <row r="1303" s="1021" customFormat="1"/>
    <row r="1304" s="1021" customFormat="1"/>
    <row r="1305" s="1021" customFormat="1"/>
    <row r="1306" s="1021" customFormat="1"/>
    <row r="1307" s="1021" customFormat="1"/>
    <row r="1308" s="1021" customFormat="1"/>
    <row r="1309" s="1021" customFormat="1"/>
    <row r="1310" s="1021" customFormat="1"/>
    <row r="1311" s="1021" customFormat="1"/>
    <row r="1312" s="1021" customFormat="1"/>
    <row r="1313" s="1021" customFormat="1"/>
    <row r="1314" s="1021" customFormat="1"/>
    <row r="1315" s="1021" customFormat="1"/>
    <row r="1316" s="1021" customFormat="1"/>
    <row r="1317" s="1021" customFormat="1"/>
    <row r="1318" s="1021" customFormat="1"/>
    <row r="1319" s="1021" customFormat="1"/>
    <row r="1320" s="1021" customFormat="1"/>
    <row r="1321" s="1021" customFormat="1"/>
    <row r="1322" s="1021" customFormat="1"/>
    <row r="1323" s="1021" customFormat="1"/>
    <row r="1324" s="1021" customFormat="1"/>
    <row r="1325" s="1021" customFormat="1"/>
    <row r="1326" s="1021" customFormat="1"/>
    <row r="1327" s="1021" customFormat="1"/>
    <row r="1328" s="1021" customFormat="1"/>
    <row r="1329" s="1021" customFormat="1"/>
    <row r="1330" s="1021" customFormat="1"/>
    <row r="1331" s="1021" customFormat="1"/>
    <row r="1332" s="1021" customFormat="1"/>
    <row r="1333" s="1021" customFormat="1"/>
    <row r="1334" s="1021" customFormat="1"/>
    <row r="1335" s="1021" customFormat="1"/>
    <row r="1336" s="1021" customFormat="1"/>
    <row r="1337" s="1021" customFormat="1"/>
    <row r="1338" s="1021" customFormat="1"/>
    <row r="1339" s="1021" customFormat="1"/>
    <row r="1340" s="1021" customFormat="1"/>
    <row r="1341" s="1021" customFormat="1"/>
    <row r="1342" s="1021" customFormat="1"/>
    <row r="1343" s="1021" customFormat="1"/>
    <row r="1344" s="1021" customFormat="1"/>
    <row r="1345" s="1021" customFormat="1"/>
    <row r="1346" s="1021" customFormat="1"/>
    <row r="1347" s="1021" customFormat="1"/>
    <row r="1348" s="1021" customFormat="1"/>
    <row r="1349" s="1021" customFormat="1"/>
    <row r="1350" s="1021" customFormat="1"/>
    <row r="1351" s="1021" customFormat="1"/>
    <row r="1352" s="1021" customFormat="1"/>
    <row r="1353" s="1021" customFormat="1"/>
    <row r="1354" s="1021" customFormat="1"/>
    <row r="1355" s="1021" customFormat="1"/>
    <row r="1356" s="1021" customFormat="1"/>
    <row r="1357" s="1021" customFormat="1"/>
    <row r="1358" s="1021" customFormat="1"/>
    <row r="1359" s="1021" customFormat="1"/>
    <row r="1360" s="1021" customFormat="1"/>
    <row r="1361" s="1021" customFormat="1"/>
    <row r="1362" s="1021" customFormat="1"/>
    <row r="1363" s="1021" customFormat="1"/>
    <row r="1364" s="1021" customFormat="1"/>
    <row r="1365" s="1021" customFormat="1"/>
    <row r="1366" s="1021" customFormat="1"/>
    <row r="1367" s="1021" customFormat="1"/>
    <row r="1368" s="1021" customFormat="1"/>
    <row r="1369" s="1021" customFormat="1"/>
    <row r="1370" s="1021" customFormat="1"/>
    <row r="1371" s="1021" customFormat="1"/>
    <row r="1372" s="1021" customFormat="1"/>
    <row r="1373" s="1021" customFormat="1"/>
    <row r="1374" s="1021" customFormat="1"/>
    <row r="1375" s="1021" customFormat="1"/>
    <row r="1376" s="1021" customFormat="1"/>
    <row r="1377" s="1021" customFormat="1"/>
    <row r="1378" s="1021" customFormat="1"/>
    <row r="1379" s="1021" customFormat="1"/>
    <row r="1380" s="1021" customFormat="1"/>
    <row r="1381" s="1021" customFormat="1"/>
    <row r="1382" s="1021" customFormat="1"/>
    <row r="1383" s="1021" customFormat="1"/>
    <row r="1384" s="1021" customFormat="1"/>
    <row r="1385" s="1021" customFormat="1"/>
    <row r="1386" s="1021" customFormat="1"/>
    <row r="1387" s="1021" customFormat="1"/>
    <row r="1388" s="1021" customFormat="1"/>
    <row r="1389" s="1021" customFormat="1"/>
    <row r="1390" s="1021" customFormat="1"/>
    <row r="1391" s="1021" customFormat="1"/>
    <row r="1392" s="1021" customFormat="1"/>
    <row r="1393" s="1021" customFormat="1"/>
    <row r="1394" s="1021" customFormat="1"/>
    <row r="1395" s="1021" customFormat="1"/>
    <row r="1396" s="1021" customFormat="1"/>
    <row r="1397" s="1021" customFormat="1"/>
    <row r="1398" s="1021" customFormat="1"/>
    <row r="1399" s="1021" customFormat="1"/>
    <row r="1400" s="1021" customFormat="1"/>
    <row r="1401" s="1021" customFormat="1"/>
    <row r="1402" s="1021" customFormat="1"/>
    <row r="1403" s="1021" customFormat="1"/>
    <row r="1404" s="1021" customFormat="1"/>
    <row r="1405" s="1021" customFormat="1"/>
    <row r="1406" s="1021" customFormat="1"/>
    <row r="1407" s="1021" customFormat="1"/>
    <row r="1408" s="1021" customFormat="1"/>
    <row r="1409" s="1021" customFormat="1"/>
    <row r="1410" s="1021" customFormat="1"/>
    <row r="1411" s="1021" customFormat="1"/>
    <row r="1412" s="1021" customFormat="1"/>
    <row r="1413" s="1021" customFormat="1"/>
    <row r="1414" s="1021" customFormat="1"/>
    <row r="1415" s="1021" customFormat="1"/>
    <row r="1416" s="1021" customFormat="1"/>
    <row r="1417" s="1021" customFormat="1"/>
    <row r="1418" s="1021" customFormat="1"/>
    <row r="1419" s="1021" customFormat="1"/>
    <row r="1420" s="1021" customFormat="1"/>
    <row r="1421" s="1021" customFormat="1"/>
    <row r="1422" s="1021" customFormat="1"/>
    <row r="1423" s="1021" customFormat="1"/>
    <row r="1424" s="1021" customFormat="1"/>
    <row r="1425" s="1021" customFormat="1"/>
    <row r="1426" s="1021" customFormat="1"/>
    <row r="1427" s="1021" customFormat="1"/>
    <row r="1428" s="1021" customFormat="1"/>
    <row r="1429" s="1021" customFormat="1"/>
    <row r="1430" s="1021" customFormat="1"/>
    <row r="1431" s="1021" customFormat="1"/>
    <row r="1432" s="1021" customFormat="1"/>
    <row r="1433" s="1021" customFormat="1"/>
    <row r="1434" s="1021" customFormat="1"/>
    <row r="1435" s="1021" customFormat="1"/>
    <row r="1436" s="1021" customFormat="1"/>
    <row r="1437" s="1021" customFormat="1"/>
    <row r="1438" s="1021" customFormat="1"/>
    <row r="1439" s="1021" customFormat="1"/>
    <row r="1440" s="1021" customFormat="1"/>
    <row r="1441" s="1021" customFormat="1"/>
    <row r="1442" s="1021" customFormat="1"/>
    <row r="1443" s="1021" customFormat="1"/>
    <row r="1444" s="1021" customFormat="1"/>
    <row r="1445" s="1021" customFormat="1"/>
    <row r="1446" s="1021" customFormat="1"/>
    <row r="1447" s="1021" customFormat="1"/>
    <row r="1448" s="1021" customFormat="1"/>
    <row r="1449" s="1021" customFormat="1"/>
    <row r="1450" s="1021" customFormat="1"/>
    <row r="1451" s="1021" customFormat="1"/>
    <row r="1452" s="1021" customFormat="1"/>
    <row r="1453" s="1021" customFormat="1"/>
    <row r="1454" s="1021" customFormat="1"/>
    <row r="1455" s="1021" customFormat="1"/>
    <row r="1456" s="1021" customFormat="1"/>
    <row r="1457" s="1021" customFormat="1"/>
    <row r="1458" s="1021" customFormat="1"/>
    <row r="1459" s="1021" customFormat="1"/>
    <row r="1460" s="1021" customFormat="1"/>
    <row r="1461" s="1021" customFormat="1"/>
    <row r="1462" s="1021" customFormat="1"/>
    <row r="1463" s="1021" customFormat="1"/>
    <row r="1464" s="1021" customFormat="1"/>
    <row r="1465" s="1021" customFormat="1"/>
    <row r="1466" s="1021" customFormat="1"/>
    <row r="1467" s="1021" customFormat="1"/>
    <row r="1468" s="1021" customFormat="1"/>
    <row r="1469" s="1021" customFormat="1"/>
    <row r="1470" s="1021" customFormat="1"/>
    <row r="1471" s="1021" customFormat="1"/>
    <row r="1472" s="1021" customFormat="1"/>
    <row r="1473" s="1021" customFormat="1"/>
    <row r="1474" s="1021" customFormat="1"/>
    <row r="1475" s="1021" customFormat="1"/>
    <row r="1476" s="1021" customFormat="1"/>
    <row r="1477" s="1021" customFormat="1"/>
    <row r="1478" s="1021" customFormat="1"/>
    <row r="1479" s="1021" customFormat="1"/>
    <row r="1480" s="1021" customFormat="1"/>
    <row r="1481" s="1021" customFormat="1"/>
    <row r="1482" s="1021" customFormat="1"/>
    <row r="1483" s="1021" customFormat="1"/>
    <row r="1484" s="1021" customFormat="1"/>
    <row r="1485" s="1021" customFormat="1"/>
    <row r="1486" s="1021" customFormat="1"/>
    <row r="1487" s="1021" customFormat="1"/>
    <row r="1488" s="1021" customFormat="1"/>
    <row r="1489" s="1021" customFormat="1"/>
    <row r="1490" s="1021" customFormat="1"/>
    <row r="1491" s="1021" customFormat="1"/>
    <row r="1492" s="1021" customFormat="1"/>
    <row r="1493" s="1021" customFormat="1"/>
    <row r="1494" s="1021" customFormat="1"/>
    <row r="1495" s="1021" customFormat="1"/>
    <row r="1496" s="1021" customFormat="1"/>
    <row r="1497" s="1021" customFormat="1"/>
    <row r="1498" s="1021" customFormat="1"/>
    <row r="1499" s="1021" customFormat="1"/>
    <row r="1500" s="1021" customFormat="1"/>
    <row r="1501" s="1021" customFormat="1"/>
    <row r="1502" s="1021" customFormat="1"/>
    <row r="1503" s="1021" customFormat="1"/>
    <row r="1504" s="1021" customFormat="1"/>
    <row r="1505" s="1021" customFormat="1"/>
    <row r="1506" s="1021" customFormat="1"/>
    <row r="1507" s="1021" customFormat="1"/>
    <row r="1508" s="1021" customFormat="1"/>
    <row r="1509" s="1021" customFormat="1"/>
    <row r="1510" s="1021" customFormat="1"/>
    <row r="1511" s="1021" customFormat="1"/>
    <row r="1512" s="1021" customFormat="1"/>
    <row r="1513" s="1021" customFormat="1"/>
    <row r="1514" s="1021" customFormat="1"/>
    <row r="1515" s="1021" customFormat="1"/>
    <row r="1516" s="1021" customFormat="1"/>
    <row r="1517" s="1021" customFormat="1"/>
    <row r="1518" s="1021" customFormat="1"/>
    <row r="1519" s="1021" customFormat="1"/>
    <row r="1520" s="1021" customFormat="1"/>
    <row r="1521" s="1021" customFormat="1"/>
    <row r="1522" s="1021" customFormat="1"/>
    <row r="1523" s="1021" customFormat="1"/>
    <row r="1524" s="1021" customFormat="1"/>
    <row r="1525" s="1021" customFormat="1"/>
    <row r="1526" s="1021" customFormat="1"/>
    <row r="1527" s="1021" customFormat="1"/>
    <row r="1528" s="1021" customFormat="1"/>
    <row r="1529" s="1021" customFormat="1"/>
    <row r="1530" s="1021" customFormat="1"/>
    <row r="1531" s="1021" customFormat="1"/>
    <row r="1532" s="1021" customFormat="1"/>
    <row r="1533" s="1021" customFormat="1"/>
    <row r="1534" s="1021" customFormat="1"/>
    <row r="1535" s="1021" customFormat="1"/>
    <row r="1536" s="1021" customFormat="1"/>
    <row r="1537" s="1021" customFormat="1"/>
    <row r="1538" s="1021" customFormat="1"/>
    <row r="1539" s="1021" customFormat="1"/>
    <row r="1540" s="1021" customFormat="1"/>
    <row r="1541" s="1021" customFormat="1"/>
    <row r="1542" s="1021" customFormat="1"/>
    <row r="1543" s="1021" customFormat="1"/>
    <row r="1544" s="1021" customFormat="1"/>
    <row r="1545" s="1021" customFormat="1"/>
    <row r="1546" s="1021" customFormat="1"/>
    <row r="1547" s="1021" customFormat="1"/>
    <row r="1548" s="1021" customFormat="1"/>
    <row r="1549" s="1021" customFormat="1"/>
    <row r="1550" s="1021" customFormat="1"/>
    <row r="1551" s="1021" customFormat="1"/>
    <row r="1552" s="1021" customFormat="1"/>
    <row r="1553" s="1021" customFormat="1"/>
    <row r="1554" s="1021" customFormat="1"/>
    <row r="1555" s="1021" customFormat="1"/>
    <row r="1556" s="1021" customFormat="1"/>
    <row r="1557" s="1021" customFormat="1"/>
    <row r="1558" s="1021" customFormat="1"/>
    <row r="1559" s="1021" customFormat="1"/>
    <row r="1560" s="1021" customFormat="1"/>
    <row r="1561" s="1021" customFormat="1"/>
    <row r="1562" s="1021" customFormat="1"/>
    <row r="1563" s="1021" customFormat="1"/>
    <row r="1564" s="1021" customFormat="1"/>
    <row r="1565" s="1021" customFormat="1"/>
    <row r="1566" s="1021" customFormat="1"/>
    <row r="1567" s="1021" customFormat="1"/>
    <row r="1568" s="1021" customFormat="1"/>
    <row r="1569" s="1021" customFormat="1"/>
    <row r="1570" s="1021" customFormat="1"/>
    <row r="1571" s="1021" customFormat="1"/>
    <row r="1572" s="1021" customFormat="1"/>
    <row r="1573" s="1021" customFormat="1"/>
    <row r="1574" s="1021" customFormat="1"/>
    <row r="1575" s="1021" customFormat="1"/>
    <row r="1576" s="1021" customFormat="1"/>
    <row r="1577" s="1021" customFormat="1"/>
    <row r="1578" s="1021" customFormat="1"/>
    <row r="1579" s="1021" customFormat="1"/>
    <row r="1580" s="1021" customFormat="1"/>
    <row r="1581" s="1021" customFormat="1"/>
    <row r="1582" s="1021" customFormat="1"/>
    <row r="1583" s="1021" customFormat="1"/>
    <row r="1584" s="1021" customFormat="1"/>
    <row r="1585" s="1021" customFormat="1"/>
    <row r="1586" s="1021" customFormat="1"/>
    <row r="1587" s="1021" customFormat="1"/>
    <row r="1588" s="1021" customFormat="1"/>
    <row r="1589" s="1021" customFormat="1"/>
    <row r="1590" s="1021" customFormat="1"/>
    <row r="1591" s="1021" customFormat="1"/>
    <row r="1592" s="1021" customFormat="1"/>
    <row r="1593" s="1021" customFormat="1"/>
    <row r="1594" s="1021" customFormat="1"/>
    <row r="1595" s="1021" customFormat="1"/>
    <row r="1596" s="1021" customFormat="1"/>
    <row r="1597" s="1021" customFormat="1"/>
    <row r="1598" s="1021" customFormat="1"/>
    <row r="1599" s="1021" customFormat="1"/>
    <row r="1600" s="1021" customFormat="1"/>
    <row r="1601" s="1021" customFormat="1"/>
    <row r="1602" s="1021" customFormat="1"/>
    <row r="1603" s="1021" customFormat="1"/>
    <row r="1604" s="1021" customFormat="1"/>
    <row r="1605" s="1021" customFormat="1"/>
    <row r="1606" s="1021" customFormat="1"/>
    <row r="1607" s="1021" customFormat="1"/>
    <row r="1608" s="1021" customFormat="1"/>
    <row r="1609" s="1021" customFormat="1"/>
    <row r="1610" s="1021" customFormat="1"/>
    <row r="1611" s="1021" customFormat="1"/>
    <row r="1612" s="1021" customFormat="1"/>
    <row r="1613" s="1021" customFormat="1"/>
    <row r="1614" s="1021" customFormat="1"/>
    <row r="1615" s="1021" customFormat="1"/>
    <row r="1616" s="1021" customFormat="1"/>
    <row r="1617" s="1021" customFormat="1"/>
    <row r="1618" s="1021" customFormat="1"/>
    <row r="1619" s="1021" customFormat="1"/>
    <row r="1620" s="1021" customFormat="1"/>
    <row r="1621" s="1021" customFormat="1"/>
    <row r="1622" s="1021" customFormat="1"/>
    <row r="1623" s="1021" customFormat="1"/>
    <row r="1624" s="1021" customFormat="1"/>
    <row r="1625" s="1021" customFormat="1"/>
    <row r="1626" s="1021" customFormat="1"/>
    <row r="1627" s="1021" customFormat="1"/>
    <row r="1628" s="1021" customFormat="1"/>
    <row r="1629" s="1021" customFormat="1"/>
    <row r="1630" s="1021" customFormat="1"/>
    <row r="1631" s="1021" customFormat="1"/>
    <row r="1632" s="1021" customFormat="1"/>
    <row r="1633" s="1021" customFormat="1"/>
    <row r="1634" s="1021" customFormat="1"/>
    <row r="1635" s="1021" customFormat="1"/>
    <row r="1636" s="1021" customFormat="1"/>
    <row r="1637" s="1021" customFormat="1"/>
    <row r="1638" s="1021" customFormat="1"/>
    <row r="1639" s="1021" customFormat="1"/>
    <row r="1640" s="1021" customFormat="1"/>
    <row r="1641" s="1021" customFormat="1"/>
    <row r="1642" s="1021" customFormat="1"/>
    <row r="1643" s="1021" customFormat="1"/>
    <row r="1644" s="1021" customFormat="1"/>
    <row r="1645" s="1021" customFormat="1"/>
    <row r="1646" s="1021" customFormat="1"/>
    <row r="1647" s="1021" customFormat="1"/>
    <row r="1648" s="1021" customFormat="1"/>
    <row r="1649" s="1021" customFormat="1"/>
    <row r="1650" s="1021" customFormat="1"/>
    <row r="1651" s="1021" customFormat="1"/>
    <row r="1652" s="1021" customFormat="1"/>
    <row r="1653" s="1021" customFormat="1"/>
    <row r="1654" s="1021" customFormat="1"/>
    <row r="1655" s="1021" customFormat="1"/>
    <row r="1656" s="1021" customFormat="1"/>
    <row r="1657" s="1021" customFormat="1"/>
    <row r="1658" s="1021" customFormat="1"/>
    <row r="1659" s="1021" customFormat="1"/>
    <row r="1660" s="1021" customFormat="1"/>
    <row r="1661" s="1021" customFormat="1"/>
    <row r="1662" s="1021" customFormat="1"/>
    <row r="1663" s="1021" customFormat="1"/>
    <row r="1664" s="1021" customFormat="1"/>
    <row r="1665" s="1021" customFormat="1"/>
    <row r="1666" s="1021" customFormat="1"/>
    <row r="1667" s="1021" customFormat="1"/>
    <row r="1668" s="1021" customFormat="1"/>
    <row r="1669" s="1021" customFormat="1"/>
    <row r="1670" s="1021" customFormat="1"/>
    <row r="1671" s="1021" customFormat="1"/>
    <row r="1672" s="1021" customFormat="1"/>
    <row r="1673" s="1021" customFormat="1"/>
    <row r="1674" s="1021" customFormat="1"/>
    <row r="1675" s="1021" customFormat="1"/>
    <row r="1676" s="1021" customFormat="1"/>
    <row r="1677" s="1021" customFormat="1"/>
    <row r="1678" s="1021" customFormat="1"/>
    <row r="1679" s="1021" customFormat="1"/>
    <row r="1680" s="1021" customFormat="1"/>
    <row r="1681" s="1021" customFormat="1"/>
    <row r="1682" s="1021" customFormat="1"/>
    <row r="1683" s="1021" customFormat="1"/>
    <row r="1684" s="1021" customFormat="1"/>
    <row r="1685" s="1021" customFormat="1"/>
    <row r="1686" s="1021" customFormat="1"/>
    <row r="1687" s="1021" customFormat="1"/>
    <row r="1688" s="1021" customFormat="1"/>
    <row r="1689" s="1021" customFormat="1"/>
    <row r="1690" s="1021" customFormat="1"/>
    <row r="1691" s="1021" customFormat="1"/>
    <row r="1692" s="1021" customFormat="1"/>
    <row r="1693" s="1021" customFormat="1"/>
    <row r="1694" s="1021" customFormat="1"/>
    <row r="1695" s="1021" customFormat="1"/>
    <row r="1696" s="1021" customFormat="1"/>
    <row r="1697" s="1021" customFormat="1"/>
    <row r="1698" s="1021" customFormat="1"/>
    <row r="1699" s="1021" customFormat="1"/>
    <row r="1700" s="1021" customFormat="1"/>
    <row r="1701" s="1021" customFormat="1"/>
    <row r="1702" s="1021" customFormat="1"/>
    <row r="1703" s="1021" customFormat="1"/>
    <row r="1704" s="1021" customFormat="1"/>
    <row r="1705" s="1021" customFormat="1"/>
    <row r="1706" s="1021" customFormat="1"/>
    <row r="1707" s="1021" customFormat="1"/>
    <row r="1708" s="1021" customFormat="1"/>
    <row r="1709" s="1021" customFormat="1"/>
    <row r="1710" s="1021" customFormat="1"/>
    <row r="1711" s="1021" customFormat="1"/>
    <row r="1712" s="1021" customFormat="1"/>
    <row r="1713" s="1021" customFormat="1"/>
    <row r="1714" s="1021" customFormat="1"/>
    <row r="1715" s="1021" customFormat="1"/>
    <row r="1716" s="1021" customFormat="1"/>
    <row r="1717" s="1021" customFormat="1"/>
    <row r="1718" s="1021" customFormat="1"/>
    <row r="1719" s="1021" customFormat="1"/>
    <row r="1720" s="1021" customFormat="1"/>
    <row r="1721" s="1021" customFormat="1"/>
    <row r="1722" s="1021" customFormat="1"/>
    <row r="1723" s="1021" customFormat="1"/>
    <row r="1724" s="1021" customFormat="1"/>
    <row r="1725" s="1021" customFormat="1"/>
    <row r="1726" s="1021" customFormat="1"/>
    <row r="1727" s="1021" customFormat="1"/>
    <row r="1728" s="1021" customFormat="1"/>
    <row r="1729" s="1021" customFormat="1"/>
    <row r="1730" s="1021" customFormat="1"/>
    <row r="1731" s="1021" customFormat="1"/>
    <row r="1732" s="1021" customFormat="1"/>
    <row r="1733" s="1021" customFormat="1"/>
    <row r="1734" s="1021" customFormat="1"/>
    <row r="1735" s="1021" customFormat="1"/>
    <row r="1736" s="1021" customFormat="1"/>
    <row r="1737" s="1021" customFormat="1"/>
    <row r="1738" s="1021" customFormat="1"/>
    <row r="1739" s="1021" customFormat="1"/>
    <row r="1740" s="1021" customFormat="1"/>
    <row r="1741" s="1021" customFormat="1"/>
    <row r="1742" s="1021" customFormat="1"/>
    <row r="1743" s="1021" customFormat="1"/>
    <row r="1744" s="1021" customFormat="1"/>
    <row r="1745" s="1021" customFormat="1"/>
    <row r="1746" s="1021" customFormat="1"/>
    <row r="1747" s="1021" customFormat="1"/>
    <row r="1748" s="1021" customFormat="1"/>
    <row r="1749" s="1021" customFormat="1"/>
    <row r="1750" s="1021" customFormat="1"/>
    <row r="1751" s="1021" customFormat="1"/>
    <row r="1752" s="1021" customFormat="1"/>
    <row r="1753" s="1021" customFormat="1"/>
    <row r="1754" s="1021" customFormat="1"/>
    <row r="1755" s="1021" customFormat="1"/>
    <row r="1756" s="1021" customFormat="1"/>
    <row r="1757" s="1021" customFormat="1"/>
    <row r="1758" s="1021" customFormat="1"/>
    <row r="1759" s="1021" customFormat="1"/>
    <row r="1760" s="1021" customFormat="1"/>
    <row r="1761" s="1021" customFormat="1"/>
    <row r="1762" s="1021" customFormat="1"/>
    <row r="1763" s="1021" customFormat="1"/>
    <row r="1764" s="1021" customFormat="1"/>
    <row r="1765" s="1021" customFormat="1"/>
    <row r="1766" s="1021" customFormat="1"/>
    <row r="1767" s="1021" customFormat="1"/>
    <row r="1768" s="1021" customFormat="1"/>
    <row r="1769" s="1021" customFormat="1"/>
    <row r="1770" s="1021" customFormat="1"/>
    <row r="1771" s="1021" customFormat="1"/>
    <row r="1772" s="1021" customFormat="1"/>
    <row r="1773" s="1021" customFormat="1"/>
    <row r="1774" s="1021" customFormat="1"/>
    <row r="1775" s="1021" customFormat="1"/>
    <row r="1776" s="1021" customFormat="1"/>
    <row r="1777" s="1021" customFormat="1"/>
    <row r="1778" s="1021" customFormat="1"/>
    <row r="1779" s="1021" customFormat="1"/>
    <row r="1780" s="1021" customFormat="1"/>
    <row r="1781" s="1021" customFormat="1"/>
    <row r="1782" s="1021" customFormat="1"/>
    <row r="1783" s="1021" customFormat="1"/>
    <row r="1784" s="1021" customFormat="1"/>
    <row r="1785" s="1021" customFormat="1"/>
    <row r="1786" s="1021" customFormat="1"/>
    <row r="1787" s="1021" customFormat="1"/>
    <row r="1788" s="1021" customFormat="1"/>
    <row r="1789" s="1021" customFormat="1"/>
    <row r="1790" s="1021" customFormat="1"/>
    <row r="1791" s="1021" customFormat="1"/>
    <row r="1792" s="1021" customFormat="1"/>
    <row r="1793" s="1021" customFormat="1"/>
    <row r="1794" s="1021" customFormat="1"/>
    <row r="1795" s="1021" customFormat="1"/>
    <row r="1796" s="1021" customFormat="1"/>
    <row r="1797" s="1021" customFormat="1"/>
    <row r="1798" s="1021" customFormat="1"/>
    <row r="1799" s="1021" customFormat="1"/>
    <row r="1800" s="1021" customFormat="1"/>
    <row r="1801" s="1021" customFormat="1"/>
    <row r="1802" s="1021" customFormat="1"/>
    <row r="1803" s="1021" customFormat="1"/>
    <row r="1804" s="1021" customFormat="1"/>
    <row r="1805" s="1021" customFormat="1"/>
    <row r="1806" s="1021" customFormat="1"/>
    <row r="1807" s="1021" customFormat="1"/>
    <row r="1808" s="1021" customFormat="1"/>
    <row r="1809" s="1021" customFormat="1"/>
    <row r="1810" s="1021" customFormat="1"/>
    <row r="1811" s="1021" customFormat="1"/>
    <row r="1812" s="1021" customFormat="1"/>
    <row r="1813" s="1021" customFormat="1"/>
    <row r="1814" s="1021" customFormat="1"/>
    <row r="1815" s="1021" customFormat="1"/>
    <row r="1816" s="1021" customFormat="1"/>
    <row r="1817" s="1021" customFormat="1"/>
    <row r="1818" s="1021" customFormat="1"/>
    <row r="1819" s="1021" customFormat="1"/>
    <row r="1820" s="1021" customFormat="1"/>
    <row r="1821" s="1021" customFormat="1"/>
    <row r="1822" s="1021" customFormat="1"/>
    <row r="1823" s="1021" customFormat="1"/>
    <row r="1824" s="1021" customFormat="1"/>
    <row r="1825" s="1021" customFormat="1"/>
    <row r="1826" s="1021" customFormat="1"/>
    <row r="1827" s="1021" customFormat="1"/>
    <row r="1828" s="1021" customFormat="1"/>
    <row r="1829" s="1021" customFormat="1"/>
    <row r="1830" s="1021" customFormat="1"/>
    <row r="1831" s="1021" customFormat="1"/>
    <row r="1832" s="1021" customFormat="1"/>
    <row r="1833" s="1021" customFormat="1"/>
    <row r="1834" s="1021" customFormat="1"/>
    <row r="1835" s="1021" customFormat="1"/>
    <row r="1836" s="1021" customFormat="1"/>
    <row r="1837" s="1021" customFormat="1"/>
    <row r="1838" s="1021" customFormat="1"/>
    <row r="1839" s="1021" customFormat="1"/>
    <row r="1840" s="1021" customFormat="1"/>
    <row r="1841" s="1021" customFormat="1"/>
    <row r="1842" s="1021" customFormat="1"/>
    <row r="1843" s="1021" customFormat="1"/>
    <row r="1844" s="1021" customFormat="1"/>
    <row r="1845" s="1021" customFormat="1"/>
    <row r="1846" s="1021" customFormat="1"/>
    <row r="1847" s="1021" customFormat="1"/>
    <row r="1848" s="1021" customFormat="1"/>
    <row r="1849" s="1021" customFormat="1"/>
    <row r="1850" s="1021" customFormat="1"/>
    <row r="1851" s="1021" customFormat="1"/>
    <row r="1852" s="1021" customFormat="1"/>
    <row r="1853" s="1021" customFormat="1"/>
    <row r="1854" s="1021" customFormat="1"/>
    <row r="1855" s="1021" customFormat="1"/>
    <row r="1856" s="1021" customFormat="1"/>
    <row r="1857" s="1021" customFormat="1"/>
    <row r="1858" s="1021" customFormat="1"/>
    <row r="1859" s="1021" customFormat="1"/>
    <row r="1860" s="1021" customFormat="1"/>
    <row r="1861" s="1021" customFormat="1"/>
    <row r="1862" s="1021" customFormat="1"/>
    <row r="1863" s="1021" customFormat="1"/>
    <row r="1864" s="1021" customFormat="1"/>
    <row r="1865" s="1021" customFormat="1"/>
    <row r="1866" s="1021" customFormat="1"/>
    <row r="1867" s="1021" customFormat="1"/>
    <row r="1868" s="1021" customFormat="1"/>
    <row r="1869" s="1021" customFormat="1"/>
    <row r="1870" s="1021" customFormat="1"/>
    <row r="1871" s="1021" customFormat="1"/>
    <row r="1872" s="1021" customFormat="1"/>
    <row r="1873" s="1021" customFormat="1"/>
    <row r="1874" s="1021" customFormat="1"/>
    <row r="1875" s="1021" customFormat="1"/>
    <row r="1876" s="1021" customFormat="1"/>
    <row r="1877" s="1021" customFormat="1"/>
    <row r="1878" s="1021" customFormat="1"/>
    <row r="1879" s="1021" customFormat="1"/>
    <row r="1880" s="1021" customFormat="1"/>
    <row r="1881" s="1021" customFormat="1"/>
    <row r="1882" s="1021" customFormat="1"/>
    <row r="1883" s="1021" customFormat="1"/>
    <row r="1884" s="1021" customFormat="1"/>
    <row r="1885" s="1021" customFormat="1"/>
    <row r="1886" s="1021" customFormat="1"/>
    <row r="1887" s="1021" customFormat="1"/>
    <row r="1888" s="1021" customFormat="1"/>
    <row r="1889" s="1021" customFormat="1"/>
    <row r="1890" s="1021" customFormat="1"/>
    <row r="1891" s="1021" customFormat="1"/>
    <row r="1892" s="1021" customFormat="1"/>
    <row r="1893" s="1021" customFormat="1"/>
    <row r="1894" s="1021" customFormat="1"/>
    <row r="1895" s="1021" customFormat="1"/>
    <row r="1896" s="1021" customFormat="1"/>
    <row r="1897" s="1021" customFormat="1"/>
    <row r="1898" s="1021" customFormat="1"/>
    <row r="1899" s="1021" customFormat="1"/>
    <row r="1900" s="1021" customFormat="1"/>
    <row r="1901" s="1021" customFormat="1"/>
    <row r="1902" s="1021" customFormat="1"/>
    <row r="1903" s="1021" customFormat="1"/>
    <row r="1904" s="1021" customFormat="1"/>
    <row r="1905" s="1021" customFormat="1"/>
    <row r="1906" s="1021" customFormat="1"/>
    <row r="1907" s="1021" customFormat="1"/>
    <row r="1908" s="1021" customFormat="1"/>
    <row r="1909" s="1021" customFormat="1"/>
    <row r="1910" s="1021" customFormat="1"/>
    <row r="1911" s="1021" customFormat="1"/>
    <row r="1912" s="1021" customFormat="1"/>
    <row r="1913" s="1021" customFormat="1"/>
    <row r="1914" s="1021" customFormat="1"/>
    <row r="1915" s="1021" customFormat="1"/>
    <row r="1916" s="1021" customFormat="1"/>
    <row r="1917" s="1021" customFormat="1"/>
    <row r="1918" s="1021" customFormat="1"/>
    <row r="1919" s="1021" customFormat="1"/>
    <row r="1920" s="1021" customFormat="1"/>
    <row r="1921" s="1021" customFormat="1"/>
    <row r="1922" s="1021" customFormat="1"/>
    <row r="1923" s="1021" customFormat="1"/>
    <row r="1924" s="1021" customFormat="1"/>
    <row r="1925" s="1021" customFormat="1"/>
    <row r="1926" s="1021" customFormat="1"/>
    <row r="1927" s="1021" customFormat="1"/>
    <row r="1928" s="1021" customFormat="1"/>
    <row r="1929" s="1021" customFormat="1"/>
    <row r="1930" s="1021" customFormat="1"/>
    <row r="1931" s="1021" customFormat="1"/>
    <row r="1932" s="1021" customFormat="1"/>
    <row r="1933" s="1021" customFormat="1"/>
    <row r="1934" s="1021" customFormat="1"/>
    <row r="1935" s="1021" customFormat="1"/>
    <row r="1936" s="1021" customFormat="1"/>
    <row r="1937" s="1021" customFormat="1"/>
    <row r="1938" s="1021" customFormat="1"/>
    <row r="1939" s="1021" customFormat="1"/>
    <row r="1940" s="1021" customFormat="1"/>
    <row r="1941" s="1021" customFormat="1"/>
    <row r="1942" s="1021" customFormat="1"/>
    <row r="1943" s="1021" customFormat="1"/>
    <row r="1944" s="1021" customFormat="1"/>
    <row r="1945" s="1021" customFormat="1"/>
    <row r="1946" s="1021" customFormat="1"/>
    <row r="1947" s="1021" customFormat="1"/>
    <row r="1948" s="1021" customFormat="1"/>
    <row r="1949" s="1021" customFormat="1"/>
    <row r="1950" s="1021" customFormat="1"/>
    <row r="1951" s="1021" customFormat="1"/>
    <row r="1952" s="1021" customFormat="1"/>
    <row r="1953" s="1021" customFormat="1"/>
    <row r="1954" s="1021" customFormat="1"/>
    <row r="1955" s="1021" customFormat="1"/>
    <row r="1956" s="1021" customFormat="1"/>
    <row r="1957" s="1021" customFormat="1"/>
    <row r="1958" s="1021" customFormat="1"/>
    <row r="1959" s="1021" customFormat="1"/>
    <row r="1960" s="1021" customFormat="1"/>
    <row r="1961" s="1021" customFormat="1"/>
    <row r="1962" s="1021" customFormat="1"/>
    <row r="1963" s="1021" customFormat="1"/>
    <row r="1964" s="1021" customFormat="1"/>
    <row r="1965" s="1021" customFormat="1"/>
    <row r="1966" s="1021" customFormat="1"/>
    <row r="1967" s="1021" customFormat="1"/>
    <row r="1968" s="1021" customFormat="1"/>
    <row r="1969" s="1021" customFormat="1"/>
    <row r="1970" s="1021" customFormat="1"/>
    <row r="1971" s="1021" customFormat="1"/>
    <row r="1972" s="1021" customFormat="1"/>
    <row r="1973" s="1021" customFormat="1"/>
    <row r="1974" s="1021" customFormat="1"/>
    <row r="1975" s="1021" customFormat="1"/>
    <row r="1976" s="1021" customFormat="1"/>
    <row r="1977" s="1021" customFormat="1"/>
    <row r="1978" s="1021" customFormat="1"/>
    <row r="1979" s="1021" customFormat="1"/>
    <row r="1980" s="1021" customFormat="1"/>
    <row r="1981" s="1021" customFormat="1"/>
    <row r="1982" s="1021" customFormat="1"/>
    <row r="1983" s="1021" customFormat="1"/>
    <row r="1984" s="1021" customFormat="1"/>
    <row r="1985" s="1021" customFormat="1"/>
    <row r="1986" s="1021" customFormat="1"/>
    <row r="1987" s="1021" customFormat="1"/>
    <row r="1988" s="1021" customFormat="1"/>
    <row r="1989" s="1021" customFormat="1"/>
    <row r="1990" s="1021" customFormat="1"/>
    <row r="1991" s="1021" customFormat="1"/>
    <row r="1992" s="1021" customFormat="1"/>
    <row r="1993" s="1021" customFormat="1"/>
    <row r="1994" s="1021" customFormat="1"/>
    <row r="1995" s="1021" customFormat="1"/>
    <row r="1996" s="1021" customFormat="1"/>
    <row r="1997" s="1021" customFormat="1"/>
    <row r="1998" s="1021" customFormat="1"/>
    <row r="1999" s="1021" customFormat="1"/>
    <row r="2000" s="1021" customFormat="1"/>
    <row r="2001" s="1021" customFormat="1"/>
    <row r="2002" s="1021" customFormat="1"/>
    <row r="2003" s="1021" customFormat="1"/>
    <row r="2004" s="1021" customFormat="1"/>
    <row r="2005" s="1021" customFormat="1"/>
    <row r="2006" s="1021" customFormat="1"/>
    <row r="2007" s="1021" customFormat="1"/>
    <row r="2008" s="1021" customFormat="1"/>
    <row r="2009" s="1021" customFormat="1"/>
    <row r="2010" s="1021" customFormat="1"/>
    <row r="2011" s="1021" customFormat="1"/>
    <row r="2012" s="1021" customFormat="1"/>
    <row r="2013" s="1021" customFormat="1"/>
    <row r="2014" s="1021" customFormat="1"/>
    <row r="2015" s="1021" customFormat="1"/>
    <row r="2016" s="1021" customFormat="1"/>
    <row r="2017" s="1021" customFormat="1"/>
    <row r="2018" s="1021" customFormat="1"/>
    <row r="2019" s="1021" customFormat="1"/>
    <row r="2020" s="1021" customFormat="1"/>
    <row r="2021" s="1021" customFormat="1"/>
    <row r="2022" s="1021" customFormat="1"/>
    <row r="2023" s="1021" customFormat="1"/>
    <row r="2024" s="1021" customFormat="1"/>
    <row r="2025" s="1021" customFormat="1"/>
    <row r="2026" s="1021" customFormat="1"/>
    <row r="2027" s="1021" customFormat="1"/>
    <row r="2028" s="1021" customFormat="1"/>
    <row r="2029" s="1021" customFormat="1"/>
    <row r="2030" s="1021" customFormat="1"/>
    <row r="2031" s="1021" customFormat="1"/>
    <row r="2032" s="1021" customFormat="1"/>
    <row r="2033" s="1021" customFormat="1"/>
    <row r="2034" s="1021" customFormat="1"/>
    <row r="2035" s="1021" customFormat="1"/>
    <row r="2036" s="1021" customFormat="1"/>
    <row r="2037" s="1021" customFormat="1"/>
    <row r="2038" s="1021" customFormat="1"/>
    <row r="2039" s="1021" customFormat="1"/>
    <row r="2040" s="1021" customFormat="1"/>
    <row r="2041" s="1021" customFormat="1"/>
    <row r="2042" s="1021" customFormat="1"/>
    <row r="2043" s="1021" customFormat="1"/>
    <row r="2044" s="1021" customFormat="1"/>
    <row r="2045" s="1021" customFormat="1"/>
    <row r="2046" s="1021" customFormat="1"/>
    <row r="2047" s="1021" customFormat="1"/>
    <row r="2048" s="1021" customFormat="1"/>
    <row r="2049" s="1021" customFormat="1"/>
    <row r="2050" s="1021" customFormat="1"/>
    <row r="2051" s="1021" customFormat="1"/>
    <row r="2052" s="1021" customFormat="1"/>
    <row r="2053" s="1021" customFormat="1"/>
    <row r="2054" s="1021" customFormat="1"/>
    <row r="2055" s="1021" customFormat="1"/>
    <row r="2056" s="1021" customFormat="1"/>
    <row r="2057" s="1021" customFormat="1"/>
    <row r="2058" s="1021" customFormat="1"/>
    <row r="2059" s="1021" customFormat="1"/>
    <row r="2060" s="1021" customFormat="1"/>
    <row r="2061" s="1021" customFormat="1"/>
    <row r="2062" s="1021" customFormat="1"/>
    <row r="2063" s="1021" customFormat="1"/>
    <row r="2064" s="1021" customFormat="1"/>
    <row r="2065" s="1021" customFormat="1"/>
    <row r="2066" s="1021" customFormat="1"/>
    <row r="2067" s="1021" customFormat="1"/>
    <row r="2068" s="1021" customFormat="1"/>
    <row r="2069" s="1021" customFormat="1"/>
    <row r="2070" s="1021" customFormat="1"/>
    <row r="2071" s="1021" customFormat="1"/>
    <row r="2072" s="1021" customFormat="1"/>
    <row r="2073" s="1021" customFormat="1"/>
    <row r="2074" s="1021" customFormat="1"/>
    <row r="2075" s="1021" customFormat="1"/>
    <row r="2076" s="1021" customFormat="1"/>
    <row r="2077" s="1021" customFormat="1"/>
    <row r="2078" s="1021" customFormat="1"/>
    <row r="2079" s="1021" customFormat="1"/>
    <row r="2080" s="1021" customFormat="1"/>
    <row r="2081" s="1021" customFormat="1"/>
    <row r="2082" s="1021" customFormat="1"/>
    <row r="2083" s="1021" customFormat="1"/>
    <row r="2084" s="1021" customFormat="1"/>
    <row r="2085" s="1021" customFormat="1"/>
    <row r="2086" s="1021" customFormat="1"/>
    <row r="2087" s="1021" customFormat="1"/>
    <row r="2088" s="1021" customFormat="1"/>
    <row r="2089" s="1021" customFormat="1"/>
    <row r="2090" s="1021" customFormat="1"/>
    <row r="2091" s="1021" customFormat="1"/>
    <row r="2092" s="1021" customFormat="1"/>
    <row r="2093" s="1021" customFormat="1"/>
    <row r="2094" s="1021" customFormat="1"/>
    <row r="2095" s="1021" customFormat="1"/>
    <row r="2096" s="1021" customFormat="1"/>
    <row r="2097" s="1021" customFormat="1"/>
    <row r="2098" s="1021" customFormat="1"/>
    <row r="2099" s="1021" customFormat="1"/>
    <row r="2100" s="1021" customFormat="1"/>
    <row r="2101" s="1021" customFormat="1"/>
    <row r="2102" s="1021" customFormat="1"/>
    <row r="2103" s="1021" customFormat="1"/>
    <row r="2104" s="1021" customFormat="1"/>
    <row r="2105" s="1021" customFormat="1"/>
    <row r="2106" s="1021" customFormat="1"/>
    <row r="2107" s="1021" customFormat="1"/>
    <row r="2108" s="1021" customFormat="1"/>
    <row r="2109" s="1021" customFormat="1"/>
    <row r="2110" s="1021" customFormat="1"/>
    <row r="2111" s="1021" customFormat="1"/>
    <row r="2112" s="1021" customFormat="1"/>
    <row r="2113" s="1021" customFormat="1"/>
    <row r="2114" s="1021" customFormat="1"/>
    <row r="2115" s="1021" customFormat="1"/>
    <row r="2116" s="1021" customFormat="1"/>
    <row r="2117" s="1021" customFormat="1"/>
    <row r="2118" s="1021" customFormat="1"/>
    <row r="2119" s="1021" customFormat="1"/>
    <row r="2120" s="1021" customFormat="1"/>
    <row r="2121" s="1021" customFormat="1"/>
    <row r="2122" s="1021" customFormat="1"/>
    <row r="2123" s="1021" customFormat="1"/>
    <row r="2124" s="1021" customFormat="1"/>
    <row r="2125" s="1021" customFormat="1"/>
    <row r="2126" s="1021" customFormat="1"/>
    <row r="2127" s="1021" customFormat="1"/>
    <row r="2128" s="1021" customFormat="1"/>
    <row r="2129" s="1021" customFormat="1"/>
    <row r="2130" s="1021" customFormat="1"/>
    <row r="2131" s="1021" customFormat="1"/>
    <row r="2132" s="1021" customFormat="1"/>
    <row r="2133" s="1021" customFormat="1"/>
    <row r="2134" s="1021" customFormat="1"/>
    <row r="2135" s="1021" customFormat="1"/>
    <row r="2136" s="1021" customFormat="1"/>
    <row r="2137" s="1021" customFormat="1"/>
    <row r="2138" s="1021" customFormat="1"/>
    <row r="2139" s="1021" customFormat="1"/>
    <row r="2140" s="1021" customFormat="1"/>
    <row r="2141" s="1021" customFormat="1"/>
    <row r="2142" s="1021" customFormat="1"/>
    <row r="2143" s="1021" customFormat="1"/>
    <row r="2144" s="1021" customFormat="1"/>
    <row r="2145" s="1021" customFormat="1"/>
    <row r="2146" s="1021" customFormat="1"/>
    <row r="2147" s="1021" customFormat="1"/>
    <row r="2148" s="1021" customFormat="1"/>
    <row r="2149" s="1021" customFormat="1"/>
    <row r="2150" s="1021" customFormat="1"/>
    <row r="2151" s="1021" customFormat="1"/>
    <row r="2152" s="1021" customFormat="1"/>
    <row r="2153" s="1021" customFormat="1"/>
    <row r="2154" s="1021" customFormat="1"/>
    <row r="2155" s="1021" customFormat="1"/>
    <row r="2156" s="1021" customFormat="1"/>
    <row r="2157" s="1021" customFormat="1"/>
    <row r="2158" s="1021" customFormat="1"/>
    <row r="2159" s="1021" customFormat="1"/>
    <row r="2160" s="1021" customFormat="1"/>
    <row r="2161" s="1021" customFormat="1"/>
    <row r="2162" s="1021" customFormat="1"/>
    <row r="2163" s="1021" customFormat="1"/>
    <row r="2164" s="1021" customFormat="1"/>
    <row r="2165" s="1021" customFormat="1"/>
    <row r="2166" s="1021" customFormat="1"/>
    <row r="2167" s="1021" customFormat="1"/>
    <row r="2168" s="1021" customFormat="1"/>
    <row r="2169" s="1021" customFormat="1"/>
    <row r="2170" s="1021" customFormat="1"/>
    <row r="2171" s="1021" customFormat="1"/>
    <row r="2172" s="1021" customFormat="1"/>
    <row r="2173" s="1021" customFormat="1"/>
    <row r="2174" s="1021" customFormat="1"/>
    <row r="2175" s="1021" customFormat="1"/>
    <row r="2176" s="1021" customFormat="1"/>
    <row r="2177" s="1021" customFormat="1"/>
    <row r="2178" s="1021" customFormat="1"/>
    <row r="2179" s="1021" customFormat="1"/>
    <row r="2180" s="1021" customFormat="1"/>
    <row r="2181" s="1021" customFormat="1"/>
    <row r="2182" s="1021" customFormat="1"/>
    <row r="2183" s="1021" customFormat="1"/>
    <row r="2184" s="1021" customFormat="1"/>
    <row r="2185" s="1021" customFormat="1"/>
    <row r="2186" s="1021" customFormat="1"/>
    <row r="2187" s="1021" customFormat="1"/>
    <row r="2188" s="1021" customFormat="1"/>
    <row r="2189" s="1021" customFormat="1"/>
    <row r="2190" s="1021" customFormat="1"/>
    <row r="2191" s="1021" customFormat="1"/>
    <row r="2192" s="1021" customFormat="1"/>
    <row r="2193" s="1021" customFormat="1"/>
    <row r="2194" s="1021" customFormat="1"/>
    <row r="2195" s="1021" customFormat="1"/>
    <row r="2196" s="1021" customFormat="1"/>
    <row r="2197" s="1021" customFormat="1"/>
    <row r="2198" s="1021" customFormat="1"/>
    <row r="2199" s="1021" customFormat="1"/>
    <row r="2200" s="1021" customFormat="1"/>
    <row r="2201" s="1021" customFormat="1"/>
    <row r="2202" s="1021" customFormat="1"/>
    <row r="2203" s="1021" customFormat="1"/>
    <row r="2204" s="1021" customFormat="1"/>
    <row r="2205" s="1021" customFormat="1"/>
    <row r="2206" s="1021" customFormat="1"/>
    <row r="2207" s="1021" customFormat="1"/>
    <row r="2208" s="1021" customFormat="1"/>
    <row r="2209" s="1021" customFormat="1"/>
    <row r="2210" s="1021" customFormat="1"/>
    <row r="2211" s="1021" customFormat="1"/>
    <row r="2212" s="1021" customFormat="1"/>
    <row r="2213" s="1021" customFormat="1"/>
    <row r="2214" s="1021" customFormat="1"/>
    <row r="2215" s="1021" customFormat="1"/>
    <row r="2216" s="1021" customFormat="1"/>
    <row r="2217" s="1021" customFormat="1"/>
    <row r="2218" s="1021" customFormat="1"/>
    <row r="2219" s="1021" customFormat="1"/>
    <row r="2220" s="1021" customFormat="1"/>
    <row r="2221" s="1021" customFormat="1"/>
    <row r="2222" s="1021" customFormat="1"/>
    <row r="2223" s="1021" customFormat="1"/>
    <row r="2224" s="1021" customFormat="1"/>
    <row r="2225" s="1021" customFormat="1"/>
    <row r="2226" s="1021" customFormat="1"/>
    <row r="2227" s="1021" customFormat="1"/>
    <row r="2228" s="1021" customFormat="1"/>
    <row r="2229" s="1021" customFormat="1"/>
    <row r="2230" s="1021" customFormat="1"/>
    <row r="2231" s="1021" customFormat="1"/>
    <row r="2232" s="1021" customFormat="1"/>
    <row r="2233" s="1021" customFormat="1"/>
    <row r="2234" s="1021" customFormat="1"/>
    <row r="2235" s="1021" customFormat="1"/>
    <row r="2236" s="1021" customFormat="1"/>
    <row r="2237" s="1021" customFormat="1"/>
    <row r="2238" s="1021" customFormat="1"/>
    <row r="2239" s="1021" customFormat="1"/>
  </sheetData>
  <sheetProtection algorithmName="SHA-512" hashValue="RkUTZITHYaMdS5erH3FUy0kTAc50p+ujoEOlc5bpGCdoFJbhGy4UB/+bcth5vqmwkjwlhiNf3z6dPHPdhFto8A==" saltValue="TR5Ne09x4ARsV1Q3wayA6g==" spinCount="100000" sheet="1" objects="1" scenarios="1"/>
  <mergeCells count="40">
    <mergeCell ref="C14:H14"/>
    <mergeCell ref="C19:I20"/>
    <mergeCell ref="D24:D25"/>
    <mergeCell ref="E24:E25"/>
    <mergeCell ref="F24:F25"/>
    <mergeCell ref="G24:G25"/>
    <mergeCell ref="I24:I25"/>
    <mergeCell ref="H28:H29"/>
    <mergeCell ref="I28:I29"/>
    <mergeCell ref="D22:I22"/>
    <mergeCell ref="C22:C23"/>
    <mergeCell ref="H26:H27"/>
    <mergeCell ref="I26:I27"/>
    <mergeCell ref="C28:C29"/>
    <mergeCell ref="C24:C25"/>
    <mergeCell ref="C26:C27"/>
    <mergeCell ref="C39:I39"/>
    <mergeCell ref="C51:I51"/>
    <mergeCell ref="C55:H55"/>
    <mergeCell ref="D90:D94"/>
    <mergeCell ref="C67:I67"/>
    <mergeCell ref="C71:D71"/>
    <mergeCell ref="G71:I71"/>
    <mergeCell ref="E64:F64"/>
    <mergeCell ref="C96:I96"/>
    <mergeCell ref="B124:H124"/>
    <mergeCell ref="B121:H121"/>
    <mergeCell ref="B122:H122"/>
    <mergeCell ref="L7:O7"/>
    <mergeCell ref="C115:D115"/>
    <mergeCell ref="C117:D117"/>
    <mergeCell ref="C118:D118"/>
    <mergeCell ref="C119:D119"/>
    <mergeCell ref="C101:I101"/>
    <mergeCell ref="C105:D105"/>
    <mergeCell ref="C107:D107"/>
    <mergeCell ref="E107:I113"/>
    <mergeCell ref="C109:D109"/>
    <mergeCell ref="C111:D111"/>
    <mergeCell ref="C113:D113"/>
  </mergeCells>
  <conditionalFormatting sqref="C14:H14">
    <cfRule type="containsText" dxfId="17" priority="9" operator="containsText" text="Not validated">
      <formula>NOT(ISERROR(SEARCH("Not validated",C14)))</formula>
    </cfRule>
    <cfRule type="containsText" dxfId="16" priority="11" operator="containsText" text="The user">
      <formula>NOT(ISERROR(SEARCH("The user",C14)))</formula>
    </cfRule>
  </conditionalFormatting>
  <conditionalFormatting sqref="D11:G12 J11:J12 L11:L12 N11:N12">
    <cfRule type="cellIs" dxfId="15" priority="31" operator="notEqual">
      <formula>0</formula>
    </cfRule>
  </conditionalFormatting>
  <conditionalFormatting sqref="D26:G26">
    <cfRule type="expression" dxfId="14" priority="97">
      <formula>MID(D11,1,1)="X"</formula>
    </cfRule>
  </conditionalFormatting>
  <conditionalFormatting sqref="D27:G28">
    <cfRule type="expression" dxfId="13" priority="98">
      <formula>MID(D11,1,1)="X"</formula>
    </cfRule>
  </conditionalFormatting>
  <conditionalFormatting sqref="D29:G29">
    <cfRule type="expression" dxfId="12" priority="99">
      <formula>MID(D12,1,1)="X"</formula>
    </cfRule>
  </conditionalFormatting>
  <conditionalFormatting sqref="D58:G58 D59 G60:G61">
    <cfRule type="cellIs" dxfId="11" priority="7" operator="equal">
      <formula>"OUI"</formula>
    </cfRule>
    <cfRule type="cellIs" dxfId="10" priority="8" operator="equal">
      <formula>"NON"</formula>
    </cfRule>
  </conditionalFormatting>
  <conditionalFormatting sqref="D24:H29">
    <cfRule type="containsText" dxfId="9" priority="20" operator="containsText" text="Note">
      <formula>NOT(ISERROR(SEARCH("Note",D24)))</formula>
    </cfRule>
  </conditionalFormatting>
  <conditionalFormatting sqref="H10">
    <cfRule type="cellIs" dxfId="8" priority="1" operator="notEqual">
      <formula>0</formula>
    </cfRule>
  </conditionalFormatting>
  <conditionalFormatting sqref="H24:H25">
    <cfRule type="expression" dxfId="7" priority="96">
      <formula>MID(H10,1,1)="X"</formula>
    </cfRule>
  </conditionalFormatting>
  <conditionalFormatting sqref="O10:O11">
    <cfRule type="cellIs" dxfId="6" priority="10" operator="equal">
      <formula>"Oui"</formula>
    </cfRule>
  </conditionalFormatting>
  <hyperlinks>
    <hyperlink ref="B121:H121" r:id="rId1" display="Faire parvenir ce formulaire en format Excel à : efficaciteenergetique@energir.com" xr:uid="{F10A57BF-A4A6-4DD8-84AA-E3BFE65E0E94}"/>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5829" r:id="rId4" name="Check Box 5">
              <controlPr defaultSize="0" autoFill="0" autoLine="0" autoPict="0">
                <anchor moveWithCells="1">
                  <from>
                    <xdr:col>1</xdr:col>
                    <xdr:colOff>190500</xdr:colOff>
                    <xdr:row>80</xdr:row>
                    <xdr:rowOff>0</xdr:rowOff>
                  </from>
                  <to>
                    <xdr:col>2</xdr:col>
                    <xdr:colOff>1051560</xdr:colOff>
                    <xdr:row>81</xdr:row>
                    <xdr:rowOff>0</xdr:rowOff>
                  </to>
                </anchor>
              </controlPr>
            </control>
          </mc:Choice>
        </mc:AlternateContent>
        <mc:AlternateContent xmlns:mc="http://schemas.openxmlformats.org/markup-compatibility/2006">
          <mc:Choice Requires="x14">
            <control shapeId="205830" r:id="rId5" name="Check Box 6">
              <controlPr defaultSize="0" autoFill="0" autoLine="0" autoPict="0">
                <anchor moveWithCells="1">
                  <from>
                    <xdr:col>1</xdr:col>
                    <xdr:colOff>190500</xdr:colOff>
                    <xdr:row>82</xdr:row>
                    <xdr:rowOff>0</xdr:rowOff>
                  </from>
                  <to>
                    <xdr:col>2</xdr:col>
                    <xdr:colOff>1051560</xdr:colOff>
                    <xdr:row>83</xdr:row>
                    <xdr:rowOff>0</xdr:rowOff>
                  </to>
                </anchor>
              </controlPr>
            </control>
          </mc:Choice>
        </mc:AlternateContent>
        <mc:AlternateContent xmlns:mc="http://schemas.openxmlformats.org/markup-compatibility/2006">
          <mc:Choice Requires="x14">
            <control shapeId="205831" r:id="rId6" name="Check Box 7">
              <controlPr defaultSize="0" autoFill="0" autoLine="0" autoPict="0">
                <anchor moveWithCells="1">
                  <from>
                    <xdr:col>1</xdr:col>
                    <xdr:colOff>182880</xdr:colOff>
                    <xdr:row>76</xdr:row>
                    <xdr:rowOff>0</xdr:rowOff>
                  </from>
                  <to>
                    <xdr:col>2</xdr:col>
                    <xdr:colOff>1043940</xdr:colOff>
                    <xdr:row>77</xdr:row>
                    <xdr:rowOff>15240</xdr:rowOff>
                  </to>
                </anchor>
              </controlPr>
            </control>
          </mc:Choice>
        </mc:AlternateContent>
        <mc:AlternateContent xmlns:mc="http://schemas.openxmlformats.org/markup-compatibility/2006">
          <mc:Choice Requires="x14">
            <control shapeId="205832" r:id="rId7" name="Check Box 8">
              <controlPr defaultSize="0" autoFill="0" autoLine="0" autoPict="0">
                <anchor moveWithCells="1">
                  <from>
                    <xdr:col>1</xdr:col>
                    <xdr:colOff>190500</xdr:colOff>
                    <xdr:row>78</xdr:row>
                    <xdr:rowOff>0</xdr:rowOff>
                  </from>
                  <to>
                    <xdr:col>2</xdr:col>
                    <xdr:colOff>1051560</xdr:colOff>
                    <xdr:row>79</xdr:row>
                    <xdr:rowOff>0</xdr:rowOff>
                  </to>
                </anchor>
              </controlPr>
            </control>
          </mc:Choice>
        </mc:AlternateContent>
        <mc:AlternateContent xmlns:mc="http://schemas.openxmlformats.org/markup-compatibility/2006">
          <mc:Choice Requires="x14">
            <control shapeId="205834" r:id="rId8" name="Check Box 10">
              <controlPr defaultSize="0" autoFill="0" autoLine="0" autoPict="0">
                <anchor moveWithCells="1">
                  <from>
                    <xdr:col>1</xdr:col>
                    <xdr:colOff>182880</xdr:colOff>
                    <xdr:row>74</xdr:row>
                    <xdr:rowOff>0</xdr:rowOff>
                  </from>
                  <to>
                    <xdr:col>2</xdr:col>
                    <xdr:colOff>1043940</xdr:colOff>
                    <xdr:row>75</xdr:row>
                    <xdr:rowOff>22860</xdr:rowOff>
                  </to>
                </anchor>
              </controlPr>
            </control>
          </mc:Choice>
        </mc:AlternateContent>
        <mc:AlternateContent xmlns:mc="http://schemas.openxmlformats.org/markup-compatibility/2006">
          <mc:Choice Requires="x14">
            <control shapeId="205837" r:id="rId9" name="Check Box 13">
              <controlPr defaultSize="0" autoFill="0" autoLine="0" autoPict="0">
                <anchor moveWithCells="1">
                  <from>
                    <xdr:col>1</xdr:col>
                    <xdr:colOff>213360</xdr:colOff>
                    <xdr:row>85</xdr:row>
                    <xdr:rowOff>60960</xdr:rowOff>
                  </from>
                  <to>
                    <xdr:col>2</xdr:col>
                    <xdr:colOff>982980</xdr:colOff>
                    <xdr:row>86</xdr:row>
                    <xdr:rowOff>182880</xdr:rowOff>
                  </to>
                </anchor>
              </controlPr>
            </control>
          </mc:Choice>
        </mc:AlternateContent>
        <mc:AlternateContent xmlns:mc="http://schemas.openxmlformats.org/markup-compatibility/2006">
          <mc:Choice Requires="x14">
            <control shapeId="205841" r:id="rId10" name="Check Box 17">
              <controlPr defaultSize="0" autoFill="0" autoLine="0" autoPict="0">
                <anchor moveWithCells="1">
                  <from>
                    <xdr:col>1</xdr:col>
                    <xdr:colOff>190500</xdr:colOff>
                    <xdr:row>80</xdr:row>
                    <xdr:rowOff>0</xdr:rowOff>
                  </from>
                  <to>
                    <xdr:col>2</xdr:col>
                    <xdr:colOff>1051560</xdr:colOff>
                    <xdr:row>81</xdr:row>
                    <xdr:rowOff>0</xdr:rowOff>
                  </to>
                </anchor>
              </controlPr>
            </control>
          </mc:Choice>
        </mc:AlternateContent>
        <mc:AlternateContent xmlns:mc="http://schemas.openxmlformats.org/markup-compatibility/2006">
          <mc:Choice Requires="x14">
            <control shapeId="205842" r:id="rId11" name="Check Box 18">
              <controlPr defaultSize="0" autoFill="0" autoLine="0" autoPict="0">
                <anchor moveWithCells="1">
                  <from>
                    <xdr:col>1</xdr:col>
                    <xdr:colOff>190500</xdr:colOff>
                    <xdr:row>82</xdr:row>
                    <xdr:rowOff>0</xdr:rowOff>
                  </from>
                  <to>
                    <xdr:col>2</xdr:col>
                    <xdr:colOff>1051560</xdr:colOff>
                    <xdr:row>83</xdr:row>
                    <xdr:rowOff>0</xdr:rowOff>
                  </to>
                </anchor>
              </controlPr>
            </control>
          </mc:Choice>
        </mc:AlternateContent>
        <mc:AlternateContent xmlns:mc="http://schemas.openxmlformats.org/markup-compatibility/2006">
          <mc:Choice Requires="x14">
            <control shapeId="205843" r:id="rId12" name="Check Box 19">
              <controlPr defaultSize="0" autoFill="0" autoLine="0" autoPict="0">
                <anchor moveWithCells="1">
                  <from>
                    <xdr:col>1</xdr:col>
                    <xdr:colOff>182880</xdr:colOff>
                    <xdr:row>76</xdr:row>
                    <xdr:rowOff>0</xdr:rowOff>
                  </from>
                  <to>
                    <xdr:col>2</xdr:col>
                    <xdr:colOff>1043940</xdr:colOff>
                    <xdr:row>77</xdr:row>
                    <xdr:rowOff>15240</xdr:rowOff>
                  </to>
                </anchor>
              </controlPr>
            </control>
          </mc:Choice>
        </mc:AlternateContent>
        <mc:AlternateContent xmlns:mc="http://schemas.openxmlformats.org/markup-compatibility/2006">
          <mc:Choice Requires="x14">
            <control shapeId="205844" r:id="rId13" name="Check Box 20">
              <controlPr defaultSize="0" autoFill="0" autoLine="0" autoPict="0">
                <anchor moveWithCells="1">
                  <from>
                    <xdr:col>1</xdr:col>
                    <xdr:colOff>190500</xdr:colOff>
                    <xdr:row>78</xdr:row>
                    <xdr:rowOff>0</xdr:rowOff>
                  </from>
                  <to>
                    <xdr:col>2</xdr:col>
                    <xdr:colOff>1051560</xdr:colOff>
                    <xdr:row>79</xdr:row>
                    <xdr:rowOff>0</xdr:rowOff>
                  </to>
                </anchor>
              </controlPr>
            </control>
          </mc:Choice>
        </mc:AlternateContent>
        <mc:AlternateContent xmlns:mc="http://schemas.openxmlformats.org/markup-compatibility/2006">
          <mc:Choice Requires="x14">
            <control shapeId="205845" r:id="rId14" name="Check Box 21">
              <controlPr defaultSize="0" autoFill="0" autoLine="0" autoPict="0">
                <anchor moveWithCells="1">
                  <from>
                    <xdr:col>1</xdr:col>
                    <xdr:colOff>182880</xdr:colOff>
                    <xdr:row>74</xdr:row>
                    <xdr:rowOff>0</xdr:rowOff>
                  </from>
                  <to>
                    <xdr:col>2</xdr:col>
                    <xdr:colOff>1043940</xdr:colOff>
                    <xdr:row>75</xdr:row>
                    <xdr:rowOff>22860</xdr:rowOff>
                  </to>
                </anchor>
              </controlPr>
            </control>
          </mc:Choice>
        </mc:AlternateContent>
        <mc:AlternateContent xmlns:mc="http://schemas.openxmlformats.org/markup-compatibility/2006">
          <mc:Choice Requires="x14">
            <control shapeId="205846" r:id="rId15" name="Check Box 22">
              <controlPr defaultSize="0" autoFill="0" autoLine="0" autoPict="0">
                <anchor moveWithCells="1">
                  <from>
                    <xdr:col>1</xdr:col>
                    <xdr:colOff>213360</xdr:colOff>
                    <xdr:row>85</xdr:row>
                    <xdr:rowOff>60960</xdr:rowOff>
                  </from>
                  <to>
                    <xdr:col>2</xdr:col>
                    <xdr:colOff>982980</xdr:colOff>
                    <xdr:row>86</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132C-20D5-4402-8A3A-99131A05BA86}">
  <sheetPr codeName="Feuil91">
    <tabColor theme="0"/>
  </sheetPr>
  <dimension ref="A1:AQ103"/>
  <sheetViews>
    <sheetView workbookViewId="0">
      <selection activeCell="E14" sqref="E14:I14"/>
    </sheetView>
  </sheetViews>
  <sheetFormatPr baseColWidth="10" defaultColWidth="11.44140625" defaultRowHeight="14.4"/>
  <cols>
    <col min="1" max="1" width="5.21875" style="6" customWidth="1"/>
    <col min="2" max="2" width="50.21875" customWidth="1"/>
    <col min="3" max="3" width="23.77734375" customWidth="1"/>
    <col min="4" max="4" width="23" customWidth="1"/>
    <col min="5" max="5" width="18.77734375" customWidth="1"/>
    <col min="7" max="7" width="19.77734375" customWidth="1"/>
    <col min="8" max="8" width="16.77734375" customWidth="1"/>
    <col min="9" max="9" width="20.21875" customWidth="1"/>
    <col min="10" max="10" width="14.77734375" customWidth="1"/>
    <col min="11" max="11" width="23" customWidth="1"/>
    <col min="12" max="12" width="16" customWidth="1"/>
    <col min="13" max="13" width="17.77734375" customWidth="1"/>
    <col min="14" max="28" width="11.44140625" style="6"/>
  </cols>
  <sheetData>
    <row r="1" spans="1:13" s="6" customFormat="1">
      <c r="A1" s="425"/>
    </row>
    <row r="2" spans="1:13" s="6" customFormat="1" ht="36.6">
      <c r="B2" s="395" t="s">
        <v>1147</v>
      </c>
    </row>
    <row r="3" spans="1:13" s="6" customFormat="1" ht="19.5" customHeight="1">
      <c r="B3" s="395"/>
    </row>
    <row r="4" spans="1:13">
      <c r="A4" s="742"/>
      <c r="B4" s="1767" t="s">
        <v>1027</v>
      </c>
      <c r="C4" s="1768"/>
      <c r="D4" s="1768"/>
      <c r="E4" s="1768"/>
      <c r="F4" s="1768"/>
      <c r="G4" s="1768"/>
      <c r="H4" s="1768"/>
      <c r="I4" s="1768"/>
      <c r="J4" s="1768"/>
      <c r="K4" s="1768"/>
      <c r="L4" s="1768"/>
      <c r="M4" s="1769"/>
    </row>
    <row r="5" spans="1:13">
      <c r="B5" s="1654" t="s">
        <v>19</v>
      </c>
      <c r="C5" s="1656" t="s">
        <v>198</v>
      </c>
      <c r="D5" s="1658"/>
      <c r="E5" s="1656" t="s">
        <v>199</v>
      </c>
      <c r="F5" s="1657"/>
      <c r="G5" s="1657"/>
      <c r="H5" s="1657"/>
      <c r="I5" s="1658"/>
      <c r="J5" s="1686" t="s">
        <v>200</v>
      </c>
      <c r="K5" s="1653" t="s">
        <v>1349</v>
      </c>
      <c r="L5" s="1820" t="s">
        <v>201</v>
      </c>
      <c r="M5" s="1821"/>
    </row>
    <row r="6" spans="1:13">
      <c r="B6" s="1655"/>
      <c r="C6" s="1661"/>
      <c r="D6" s="1662"/>
      <c r="E6" s="1661"/>
      <c r="F6" s="1652"/>
      <c r="G6" s="1652"/>
      <c r="H6" s="1652"/>
      <c r="I6" s="1662"/>
      <c r="J6" s="1824"/>
      <c r="K6" s="1655"/>
      <c r="L6" s="1822"/>
      <c r="M6" s="1823"/>
    </row>
    <row r="7" spans="1:13">
      <c r="B7" s="1825" t="s">
        <v>202</v>
      </c>
      <c r="C7" s="1826"/>
      <c r="D7" s="1826"/>
      <c r="E7" s="1826"/>
      <c r="F7" s="1826"/>
      <c r="G7" s="1826"/>
      <c r="H7" s="1826"/>
      <c r="I7" s="1826"/>
      <c r="J7" s="1826"/>
      <c r="K7" s="1826"/>
      <c r="L7" s="1826"/>
      <c r="M7" s="1827"/>
    </row>
    <row r="8" spans="1:13">
      <c r="B8" s="1790" t="s">
        <v>203</v>
      </c>
      <c r="C8" s="1829" t="s">
        <v>204</v>
      </c>
      <c r="D8" s="1829"/>
      <c r="E8" s="1830" t="s">
        <v>205</v>
      </c>
      <c r="F8" s="1830"/>
      <c r="G8" s="1830"/>
      <c r="H8" s="1831" t="s">
        <v>206</v>
      </c>
      <c r="I8" s="1832"/>
      <c r="J8" s="164"/>
      <c r="K8" s="165"/>
      <c r="L8" s="1833" t="s">
        <v>207</v>
      </c>
      <c r="M8" s="1833" t="s">
        <v>208</v>
      </c>
    </row>
    <row r="9" spans="1:13">
      <c r="B9" s="1828"/>
      <c r="C9" s="1829"/>
      <c r="D9" s="1829"/>
      <c r="E9" s="1813" t="s">
        <v>209</v>
      </c>
      <c r="F9" s="1813"/>
      <c r="G9" s="167" t="s">
        <v>210</v>
      </c>
      <c r="H9" s="1814" t="s">
        <v>209</v>
      </c>
      <c r="I9" s="1815"/>
      <c r="J9" s="168"/>
      <c r="K9" s="166"/>
      <c r="L9" s="1834"/>
      <c r="M9" s="1834"/>
    </row>
    <row r="10" spans="1:13">
      <c r="B10" s="1828"/>
      <c r="C10" s="1792" t="s">
        <v>1351</v>
      </c>
      <c r="D10" s="1792"/>
      <c r="E10" s="1793">
        <v>200</v>
      </c>
      <c r="F10" s="1793"/>
      <c r="G10" s="726">
        <v>300</v>
      </c>
      <c r="H10" s="1784">
        <v>70</v>
      </c>
      <c r="I10" s="1786"/>
      <c r="J10" s="1779" t="s">
        <v>1350</v>
      </c>
      <c r="K10" s="1794">
        <v>0.75</v>
      </c>
      <c r="L10" s="9" t="s">
        <v>212</v>
      </c>
      <c r="M10" s="9" t="s">
        <v>212</v>
      </c>
    </row>
    <row r="11" spans="1:13">
      <c r="B11" s="1828"/>
      <c r="C11" s="1792" t="s">
        <v>1352</v>
      </c>
      <c r="D11" s="1792"/>
      <c r="E11" s="1793">
        <v>150</v>
      </c>
      <c r="F11" s="1793"/>
      <c r="G11" s="726">
        <v>250</v>
      </c>
      <c r="H11" s="1784">
        <v>50</v>
      </c>
      <c r="I11" s="1786"/>
      <c r="J11" s="1801"/>
      <c r="K11" s="1802"/>
      <c r="L11" s="9" t="s">
        <v>212</v>
      </c>
      <c r="M11" s="9" t="s">
        <v>212</v>
      </c>
    </row>
    <row r="12" spans="1:13">
      <c r="B12" s="1828"/>
      <c r="C12" s="1792" t="s">
        <v>1353</v>
      </c>
      <c r="D12" s="1792"/>
      <c r="E12" s="1793">
        <v>100</v>
      </c>
      <c r="F12" s="1793"/>
      <c r="G12" s="726">
        <v>200</v>
      </c>
      <c r="H12" s="1784">
        <v>30</v>
      </c>
      <c r="I12" s="1786"/>
      <c r="J12" s="1801"/>
      <c r="K12" s="1802"/>
      <c r="L12" s="172">
        <v>300000</v>
      </c>
      <c r="M12" s="172">
        <v>150000</v>
      </c>
    </row>
    <row r="13" spans="1:13">
      <c r="B13" s="1787" t="s">
        <v>213</v>
      </c>
      <c r="C13" s="1788"/>
      <c r="D13" s="1788"/>
      <c r="E13" s="1788"/>
      <c r="F13" s="1788"/>
      <c r="G13" s="1788"/>
      <c r="H13" s="1788"/>
      <c r="I13" s="1788"/>
      <c r="J13" s="1788"/>
      <c r="K13" s="1788"/>
      <c r="L13" s="1788"/>
      <c r="M13" s="1789"/>
    </row>
    <row r="14" spans="1:13">
      <c r="B14" s="1809" t="s">
        <v>14</v>
      </c>
      <c r="C14" s="1811" t="s">
        <v>215</v>
      </c>
      <c r="D14" s="1812"/>
      <c r="E14" s="1793">
        <v>30000</v>
      </c>
      <c r="F14" s="1793"/>
      <c r="G14" s="1793"/>
      <c r="H14" s="1793"/>
      <c r="I14" s="1793"/>
      <c r="J14" s="1779" t="s">
        <v>216</v>
      </c>
      <c r="K14" s="1794">
        <v>0.75</v>
      </c>
      <c r="L14" s="1796" t="s">
        <v>212</v>
      </c>
      <c r="M14" s="1797"/>
    </row>
    <row r="15" spans="1:13">
      <c r="B15" s="1810"/>
      <c r="C15" s="1771" t="s">
        <v>217</v>
      </c>
      <c r="D15" s="1771"/>
      <c r="E15" s="1800" t="s">
        <v>218</v>
      </c>
      <c r="F15" s="1800"/>
      <c r="G15" s="1800"/>
      <c r="H15" s="1800"/>
      <c r="I15" s="1800"/>
      <c r="J15" s="1780"/>
      <c r="K15" s="1795"/>
      <c r="L15" s="1798"/>
      <c r="M15" s="1799"/>
    </row>
    <row r="16" spans="1:13">
      <c r="B16" s="1787" t="s">
        <v>213</v>
      </c>
      <c r="C16" s="1788"/>
      <c r="D16" s="1788"/>
      <c r="E16" s="1788"/>
      <c r="F16" s="1788"/>
      <c r="G16" s="1788"/>
      <c r="H16" s="1788"/>
      <c r="I16" s="1788"/>
      <c r="J16" s="1788"/>
      <c r="K16" s="1788"/>
      <c r="L16" s="1788"/>
      <c r="M16" s="1789"/>
    </row>
    <row r="17" spans="2:13">
      <c r="B17" s="1790" t="s">
        <v>219</v>
      </c>
      <c r="C17" s="1792" t="s">
        <v>220</v>
      </c>
      <c r="D17" s="1792"/>
      <c r="E17" s="1793">
        <v>10000</v>
      </c>
      <c r="F17" s="1793"/>
      <c r="G17" s="1793"/>
      <c r="H17" s="1793"/>
      <c r="I17" s="1793"/>
      <c r="J17" s="1779" t="s">
        <v>216</v>
      </c>
      <c r="K17" s="1794">
        <v>0.75</v>
      </c>
      <c r="L17" s="1796" t="s">
        <v>212</v>
      </c>
      <c r="M17" s="1797"/>
    </row>
    <row r="18" spans="2:13">
      <c r="B18" s="1791"/>
      <c r="C18" s="1771" t="s">
        <v>217</v>
      </c>
      <c r="D18" s="1771"/>
      <c r="E18" s="1800" t="s">
        <v>218</v>
      </c>
      <c r="F18" s="1800"/>
      <c r="G18" s="1800"/>
      <c r="H18" s="1800"/>
      <c r="I18" s="1800"/>
      <c r="J18" s="1780"/>
      <c r="K18" s="1795"/>
      <c r="L18" s="1798"/>
      <c r="M18" s="1799"/>
    </row>
    <row r="19" spans="2:13">
      <c r="B19" s="1773" t="s">
        <v>211</v>
      </c>
      <c r="C19" s="1774"/>
      <c r="D19" s="1774"/>
      <c r="E19" s="1774"/>
      <c r="F19" s="1774"/>
      <c r="G19" s="1774"/>
      <c r="H19" s="1774"/>
      <c r="I19" s="1774"/>
      <c r="J19" s="1774"/>
      <c r="K19" s="1774"/>
      <c r="L19" s="1774"/>
      <c r="M19" s="1775"/>
    </row>
    <row r="20" spans="2:13">
      <c r="B20" s="1776" t="s">
        <v>22</v>
      </c>
      <c r="C20" s="1777" t="s">
        <v>1354</v>
      </c>
      <c r="D20" s="1778"/>
      <c r="E20" s="169" t="s">
        <v>221</v>
      </c>
      <c r="F20" s="163" t="s">
        <v>222</v>
      </c>
      <c r="G20" s="165" t="s">
        <v>1355</v>
      </c>
      <c r="H20" s="165" t="s">
        <v>1356</v>
      </c>
      <c r="I20" s="170" t="s">
        <v>223</v>
      </c>
      <c r="J20" s="165"/>
      <c r="K20" s="1794">
        <v>0.75</v>
      </c>
      <c r="L20" s="1803">
        <v>100000</v>
      </c>
      <c r="M20" s="1804"/>
    </row>
    <row r="21" spans="2:13" ht="15" customHeight="1">
      <c r="B21" s="1776"/>
      <c r="C21" s="1771" t="s">
        <v>224</v>
      </c>
      <c r="D21" s="1771"/>
      <c r="E21" s="726">
        <v>200</v>
      </c>
      <c r="F21" s="726">
        <v>300</v>
      </c>
      <c r="G21" s="726">
        <v>550</v>
      </c>
      <c r="H21" s="726">
        <v>1000</v>
      </c>
      <c r="I21" s="726">
        <v>1300</v>
      </c>
      <c r="J21" s="1779" t="s">
        <v>225</v>
      </c>
      <c r="K21" s="1802"/>
      <c r="L21" s="1805"/>
      <c r="M21" s="1806"/>
    </row>
    <row r="22" spans="2:13">
      <c r="B22" s="1776"/>
      <c r="C22" s="1771" t="s">
        <v>226</v>
      </c>
      <c r="D22" s="1771"/>
      <c r="E22" s="726">
        <v>200</v>
      </c>
      <c r="F22" s="726">
        <v>300</v>
      </c>
      <c r="G22" s="726">
        <v>550</v>
      </c>
      <c r="H22" s="726">
        <v>1000</v>
      </c>
      <c r="I22" s="726">
        <v>1300</v>
      </c>
      <c r="J22" s="1801"/>
      <c r="K22" s="1802"/>
      <c r="L22" s="1805"/>
      <c r="M22" s="1806"/>
    </row>
    <row r="23" spans="2:13">
      <c r="B23" s="1776"/>
      <c r="C23" s="1771" t="s">
        <v>227</v>
      </c>
      <c r="D23" s="1771"/>
      <c r="E23" s="726">
        <v>60</v>
      </c>
      <c r="F23" s="726">
        <v>200</v>
      </c>
      <c r="G23" s="726">
        <v>550</v>
      </c>
      <c r="H23" s="726">
        <v>1100</v>
      </c>
      <c r="I23" s="726">
        <v>1550</v>
      </c>
      <c r="J23" s="1801"/>
      <c r="K23" s="1802"/>
      <c r="L23" s="1805"/>
      <c r="M23" s="1806"/>
    </row>
    <row r="24" spans="2:13">
      <c r="B24" s="1776"/>
      <c r="C24" s="1771" t="s">
        <v>228</v>
      </c>
      <c r="D24" s="1771"/>
      <c r="E24" s="726">
        <v>100</v>
      </c>
      <c r="F24" s="726">
        <v>400</v>
      </c>
      <c r="G24" s="726">
        <v>1000</v>
      </c>
      <c r="H24" s="726">
        <v>1500</v>
      </c>
      <c r="I24" s="726">
        <v>2200</v>
      </c>
      <c r="J24" s="1801"/>
      <c r="K24" s="1802"/>
      <c r="L24" s="1805"/>
      <c r="M24" s="1806"/>
    </row>
    <row r="25" spans="2:13">
      <c r="B25" s="1776"/>
      <c r="C25" s="1771" t="s">
        <v>229</v>
      </c>
      <c r="D25" s="1771"/>
      <c r="E25" s="726">
        <v>300</v>
      </c>
      <c r="F25" s="726">
        <v>500</v>
      </c>
      <c r="G25" s="726">
        <v>900</v>
      </c>
      <c r="H25" s="726">
        <v>1550</v>
      </c>
      <c r="I25" s="726">
        <v>2000</v>
      </c>
      <c r="J25" s="1801"/>
      <c r="K25" s="1802"/>
      <c r="L25" s="1805"/>
      <c r="M25" s="1806"/>
    </row>
    <row r="26" spans="2:13">
      <c r="B26" s="1776"/>
      <c r="C26" s="1771" t="s">
        <v>230</v>
      </c>
      <c r="D26" s="1771"/>
      <c r="E26" s="726">
        <v>30</v>
      </c>
      <c r="F26" s="726">
        <v>150</v>
      </c>
      <c r="G26" s="726">
        <v>400</v>
      </c>
      <c r="H26" s="726">
        <v>800</v>
      </c>
      <c r="I26" s="726">
        <v>1100</v>
      </c>
      <c r="J26" s="1780"/>
      <c r="K26" s="1802"/>
      <c r="L26" s="1805"/>
      <c r="M26" s="1806"/>
    </row>
    <row r="27" spans="2:13">
      <c r="B27" s="1776"/>
      <c r="C27" s="1772"/>
      <c r="D27" s="1772"/>
      <c r="E27" s="1781" t="s">
        <v>231</v>
      </c>
      <c r="F27" s="1782"/>
      <c r="G27" s="1782"/>
      <c r="H27" s="1782"/>
      <c r="I27" s="1783"/>
      <c r="J27" s="171"/>
      <c r="K27" s="1802"/>
      <c r="L27" s="1805"/>
      <c r="M27" s="1806"/>
    </row>
    <row r="28" spans="2:13" ht="15" customHeight="1">
      <c r="B28" s="1776"/>
      <c r="C28" s="1771" t="s">
        <v>232</v>
      </c>
      <c r="D28" s="1771"/>
      <c r="E28" s="1784">
        <v>1500</v>
      </c>
      <c r="F28" s="1785"/>
      <c r="G28" s="1785"/>
      <c r="H28" s="1785"/>
      <c r="I28" s="1786"/>
      <c r="J28" s="1779" t="s">
        <v>225</v>
      </c>
      <c r="K28" s="1802"/>
      <c r="L28" s="1805"/>
      <c r="M28" s="1806"/>
    </row>
    <row r="29" spans="2:13">
      <c r="B29" s="1776"/>
      <c r="C29" s="1771" t="s">
        <v>25</v>
      </c>
      <c r="D29" s="1771"/>
      <c r="E29" s="1784">
        <v>2000</v>
      </c>
      <c r="F29" s="1785"/>
      <c r="G29" s="1785"/>
      <c r="H29" s="1785"/>
      <c r="I29" s="1786"/>
      <c r="J29" s="1780"/>
      <c r="K29" s="1802"/>
      <c r="L29" s="1805"/>
      <c r="M29" s="1806"/>
    </row>
    <row r="30" spans="2:13" ht="16.2">
      <c r="B30" s="1776"/>
      <c r="C30" s="1772"/>
      <c r="D30" s="1772"/>
      <c r="E30" s="1781" t="s">
        <v>233</v>
      </c>
      <c r="F30" s="1782"/>
      <c r="G30" s="1782"/>
      <c r="H30" s="1782"/>
      <c r="I30" s="1783"/>
      <c r="J30" s="171"/>
      <c r="K30" s="1802"/>
      <c r="L30" s="1805"/>
      <c r="M30" s="1806"/>
    </row>
    <row r="31" spans="2:13">
      <c r="B31" s="1776"/>
      <c r="C31" s="1771" t="s">
        <v>26</v>
      </c>
      <c r="D31" s="1771"/>
      <c r="E31" s="1784">
        <v>25</v>
      </c>
      <c r="F31" s="1785"/>
      <c r="G31" s="1785"/>
      <c r="H31" s="1785"/>
      <c r="I31" s="1786"/>
      <c r="J31" s="1779" t="s">
        <v>234</v>
      </c>
      <c r="K31" s="1802"/>
      <c r="L31" s="1805"/>
      <c r="M31" s="1806"/>
    </row>
    <row r="32" spans="2:13">
      <c r="B32" s="1776"/>
      <c r="C32" s="1771" t="s">
        <v>235</v>
      </c>
      <c r="D32" s="1771"/>
      <c r="E32" s="1784">
        <v>25</v>
      </c>
      <c r="F32" s="1785"/>
      <c r="G32" s="1785"/>
      <c r="H32" s="1785"/>
      <c r="I32" s="1786"/>
      <c r="J32" s="1780"/>
      <c r="K32" s="1795"/>
      <c r="L32" s="1807"/>
      <c r="M32" s="1808"/>
    </row>
    <row r="33" spans="1:43" s="6" customFormat="1">
      <c r="K33" s="459"/>
    </row>
    <row r="34" spans="1:43">
      <c r="A34" s="742"/>
      <c r="B34" s="1770" t="s">
        <v>935</v>
      </c>
      <c r="C34" s="1770"/>
      <c r="D34" s="1770"/>
      <c r="E34" s="1770"/>
      <c r="F34" s="1770"/>
      <c r="G34" s="1770"/>
      <c r="H34" s="1770"/>
      <c r="I34" s="1770"/>
      <c r="J34" s="1770"/>
      <c r="K34" s="1770"/>
      <c r="L34" s="1770"/>
      <c r="M34" s="1770"/>
    </row>
    <row r="35" spans="1:43" ht="15" thickBot="1">
      <c r="B35" s="1818" t="s">
        <v>341</v>
      </c>
      <c r="C35" s="1819"/>
      <c r="D35" s="6"/>
      <c r="E35" s="6"/>
      <c r="F35" s="6"/>
      <c r="G35" s="6"/>
      <c r="H35" s="6"/>
      <c r="I35" s="6"/>
      <c r="J35" s="6"/>
      <c r="K35" s="6"/>
      <c r="L35" s="6"/>
      <c r="M35" s="6"/>
      <c r="AC35" s="6"/>
      <c r="AD35" s="6"/>
      <c r="AE35" s="6"/>
      <c r="AF35" s="6"/>
      <c r="AG35" s="6"/>
      <c r="AH35" s="6"/>
      <c r="AI35" s="6"/>
      <c r="AJ35" s="6"/>
      <c r="AK35" s="6"/>
      <c r="AL35" s="6"/>
      <c r="AM35" s="6"/>
      <c r="AN35" s="6"/>
      <c r="AO35" s="6"/>
      <c r="AP35" s="6"/>
      <c r="AQ35" s="6"/>
    </row>
    <row r="36" spans="1:43" ht="28.8">
      <c r="B36" s="727" t="s">
        <v>1090</v>
      </c>
      <c r="C36" s="728" t="s">
        <v>1103</v>
      </c>
      <c r="D36" s="6"/>
      <c r="E36" s="6"/>
      <c r="F36" s="6"/>
      <c r="G36" s="6"/>
      <c r="H36" s="6"/>
      <c r="I36" s="6"/>
      <c r="J36" s="6"/>
      <c r="K36" s="6"/>
      <c r="L36" s="6"/>
      <c r="M36" s="6"/>
      <c r="AC36" s="6"/>
      <c r="AD36" s="6"/>
      <c r="AE36" s="6"/>
      <c r="AF36" s="6"/>
      <c r="AG36" s="6"/>
      <c r="AH36" s="6"/>
      <c r="AI36" s="6"/>
      <c r="AJ36" s="6"/>
      <c r="AK36" s="6"/>
      <c r="AL36" s="6"/>
      <c r="AM36" s="6"/>
      <c r="AN36" s="6"/>
      <c r="AO36" s="6"/>
      <c r="AP36" s="6"/>
      <c r="AQ36" s="6"/>
    </row>
    <row r="37" spans="1:43">
      <c r="B37" s="729" t="s">
        <v>1091</v>
      </c>
      <c r="C37" s="730">
        <f>E10</f>
        <v>200</v>
      </c>
      <c r="D37" s="6"/>
      <c r="E37" s="6"/>
      <c r="F37" s="6"/>
      <c r="G37" s="6"/>
      <c r="H37" s="6"/>
      <c r="I37" s="6"/>
      <c r="J37" s="6"/>
      <c r="K37" s="6"/>
      <c r="L37" s="6"/>
      <c r="M37" s="6"/>
      <c r="AC37" s="6"/>
      <c r="AD37" s="6"/>
      <c r="AE37" s="6"/>
      <c r="AF37" s="6"/>
      <c r="AG37" s="6"/>
      <c r="AH37" s="6"/>
      <c r="AI37" s="6"/>
      <c r="AJ37" s="6"/>
      <c r="AK37" s="6"/>
      <c r="AL37" s="6"/>
      <c r="AM37" s="6"/>
      <c r="AN37" s="6"/>
      <c r="AO37" s="6"/>
      <c r="AP37" s="6"/>
      <c r="AQ37" s="6"/>
    </row>
    <row r="38" spans="1:43">
      <c r="B38" s="729" t="s">
        <v>1094</v>
      </c>
      <c r="C38" s="730">
        <f t="shared" ref="C38:C39" si="0">E11</f>
        <v>150</v>
      </c>
      <c r="D38" s="6"/>
      <c r="E38" s="6"/>
      <c r="F38" s="6"/>
      <c r="G38" s="6"/>
      <c r="H38" s="6"/>
      <c r="I38" s="6"/>
      <c r="J38" s="6"/>
      <c r="K38" s="6"/>
      <c r="L38" s="6"/>
      <c r="M38" s="6"/>
      <c r="AC38" s="6"/>
      <c r="AD38" s="6"/>
      <c r="AE38" s="6"/>
      <c r="AF38" s="6"/>
      <c r="AG38" s="6"/>
      <c r="AH38" s="6"/>
      <c r="AI38" s="6"/>
      <c r="AJ38" s="6"/>
      <c r="AK38" s="6"/>
      <c r="AL38" s="6"/>
      <c r="AM38" s="6"/>
      <c r="AN38" s="6"/>
      <c r="AO38" s="6"/>
      <c r="AP38" s="6"/>
      <c r="AQ38" s="6"/>
    </row>
    <row r="39" spans="1:43">
      <c r="B39" s="729" t="s">
        <v>1093</v>
      </c>
      <c r="C39" s="730">
        <f t="shared" si="0"/>
        <v>100</v>
      </c>
      <c r="D39" s="6"/>
      <c r="E39" s="6"/>
      <c r="F39" s="6"/>
      <c r="G39" s="6"/>
      <c r="H39" s="6"/>
      <c r="I39" s="6"/>
      <c r="J39" s="6"/>
      <c r="K39" s="6"/>
      <c r="L39" s="6"/>
      <c r="M39" s="6"/>
      <c r="AC39" s="6"/>
      <c r="AD39" s="6"/>
      <c r="AE39" s="6"/>
      <c r="AF39" s="6"/>
      <c r="AG39" s="6"/>
      <c r="AH39" s="6"/>
      <c r="AI39" s="6"/>
      <c r="AJ39" s="6"/>
      <c r="AK39" s="6"/>
      <c r="AL39" s="6"/>
      <c r="AM39" s="6"/>
      <c r="AN39" s="6"/>
      <c r="AO39" s="6"/>
      <c r="AP39" s="6"/>
      <c r="AQ39" s="6"/>
    </row>
    <row r="40" spans="1:43">
      <c r="B40" s="729" t="s">
        <v>1095</v>
      </c>
      <c r="C40" s="730">
        <f>G10</f>
        <v>300</v>
      </c>
      <c r="D40" s="6"/>
      <c r="E40" s="6"/>
      <c r="F40" s="6"/>
      <c r="G40" s="6"/>
      <c r="H40" s="6"/>
      <c r="I40" s="6"/>
      <c r="J40" s="6"/>
      <c r="K40" s="6"/>
      <c r="L40" s="6"/>
      <c r="M40" s="6"/>
      <c r="AC40" s="6"/>
      <c r="AD40" s="6"/>
      <c r="AE40" s="6"/>
      <c r="AF40" s="6"/>
      <c r="AG40" s="6"/>
      <c r="AH40" s="6"/>
      <c r="AI40" s="6"/>
      <c r="AJ40" s="6"/>
      <c r="AK40" s="6"/>
      <c r="AL40" s="6"/>
      <c r="AM40" s="6"/>
      <c r="AN40" s="6"/>
      <c r="AO40" s="6"/>
      <c r="AP40" s="6"/>
      <c r="AQ40" s="6"/>
    </row>
    <row r="41" spans="1:43">
      <c r="B41" s="729" t="s">
        <v>1092</v>
      </c>
      <c r="C41" s="730">
        <f t="shared" ref="C41:C42" si="1">G11</f>
        <v>250</v>
      </c>
      <c r="D41" s="6"/>
      <c r="E41" s="6"/>
      <c r="F41" s="6"/>
      <c r="G41" s="6"/>
      <c r="H41" s="6"/>
      <c r="I41" s="6"/>
      <c r="J41" s="6"/>
      <c r="K41" s="6"/>
      <c r="L41" s="6"/>
      <c r="M41" s="6"/>
      <c r="AC41" s="6"/>
      <c r="AD41" s="6"/>
      <c r="AE41" s="6"/>
      <c r="AF41" s="6"/>
      <c r="AG41" s="6"/>
      <c r="AH41" s="6"/>
      <c r="AI41" s="6"/>
      <c r="AJ41" s="6"/>
      <c r="AK41" s="6"/>
      <c r="AL41" s="6"/>
      <c r="AM41" s="6"/>
      <c r="AN41" s="6"/>
      <c r="AO41" s="6"/>
      <c r="AP41" s="6"/>
      <c r="AQ41" s="6"/>
    </row>
    <row r="42" spans="1:43">
      <c r="B42" s="729" t="s">
        <v>1096</v>
      </c>
      <c r="C42" s="730">
        <f t="shared" si="1"/>
        <v>200</v>
      </c>
      <c r="D42" s="6"/>
      <c r="E42" s="6"/>
      <c r="F42" s="6"/>
      <c r="G42" s="6"/>
      <c r="H42" s="6"/>
      <c r="I42" s="6"/>
      <c r="J42" s="6"/>
      <c r="K42" s="6"/>
      <c r="L42" s="6"/>
      <c r="M42" s="6"/>
      <c r="AC42" s="6"/>
      <c r="AD42" s="6"/>
      <c r="AE42" s="6"/>
      <c r="AF42" s="6"/>
      <c r="AG42" s="6"/>
      <c r="AH42" s="6"/>
      <c r="AI42" s="6"/>
      <c r="AJ42" s="6"/>
      <c r="AK42" s="6"/>
      <c r="AL42" s="6"/>
      <c r="AM42" s="6"/>
      <c r="AN42" s="6"/>
      <c r="AO42" s="6"/>
      <c r="AP42" s="6"/>
      <c r="AQ42" s="6"/>
    </row>
    <row r="43" spans="1:43">
      <c r="B43" s="729" t="s">
        <v>1097</v>
      </c>
      <c r="C43" s="730">
        <f>H10</f>
        <v>70</v>
      </c>
      <c r="D43" s="6"/>
      <c r="E43" s="6"/>
      <c r="F43" s="6"/>
      <c r="G43" s="6"/>
      <c r="H43" s="6"/>
      <c r="I43" s="6"/>
      <c r="J43" s="6"/>
      <c r="K43" s="6"/>
      <c r="L43" s="6"/>
      <c r="M43" s="6"/>
      <c r="AC43" s="6"/>
      <c r="AD43" s="6"/>
      <c r="AE43" s="6"/>
      <c r="AF43" s="6"/>
      <c r="AG43" s="6"/>
      <c r="AH43" s="6"/>
      <c r="AI43" s="6"/>
      <c r="AJ43" s="6"/>
      <c r="AK43" s="6"/>
      <c r="AL43" s="6"/>
      <c r="AM43" s="6"/>
      <c r="AN43" s="6"/>
      <c r="AO43" s="6"/>
      <c r="AP43" s="6"/>
      <c r="AQ43" s="6"/>
    </row>
    <row r="44" spans="1:43">
      <c r="B44" s="729" t="s">
        <v>1098</v>
      </c>
      <c r="C44" s="730">
        <f t="shared" ref="C44:C45" si="2">H11</f>
        <v>50</v>
      </c>
      <c r="D44" s="6"/>
      <c r="E44" s="6"/>
      <c r="F44" s="6"/>
      <c r="G44" s="6"/>
      <c r="H44" s="6"/>
      <c r="I44" s="6"/>
      <c r="J44" s="6"/>
      <c r="K44" s="6"/>
      <c r="L44" s="6"/>
      <c r="M44" s="6"/>
      <c r="AC44" s="6"/>
      <c r="AD44" s="6"/>
      <c r="AE44" s="6"/>
      <c r="AF44" s="6"/>
      <c r="AG44" s="6"/>
      <c r="AH44" s="6"/>
      <c r="AI44" s="6"/>
      <c r="AJ44" s="6"/>
      <c r="AK44" s="6"/>
      <c r="AL44" s="6"/>
      <c r="AM44" s="6"/>
      <c r="AN44" s="6"/>
      <c r="AO44" s="6"/>
      <c r="AP44" s="6"/>
      <c r="AQ44" s="6"/>
    </row>
    <row r="45" spans="1:43">
      <c r="B45" s="729" t="s">
        <v>1099</v>
      </c>
      <c r="C45" s="730">
        <f t="shared" si="2"/>
        <v>30</v>
      </c>
      <c r="D45" s="6"/>
      <c r="E45" s="6"/>
      <c r="F45" s="6"/>
      <c r="G45" s="6"/>
      <c r="H45" s="6"/>
      <c r="I45" s="6"/>
      <c r="J45" s="6"/>
      <c r="K45" s="6"/>
      <c r="L45" s="6"/>
      <c r="M45" s="6"/>
      <c r="AC45" s="6"/>
      <c r="AD45" s="6"/>
      <c r="AE45" s="6"/>
      <c r="AF45" s="6"/>
      <c r="AG45" s="6"/>
      <c r="AH45" s="6"/>
      <c r="AI45" s="6"/>
      <c r="AJ45" s="6"/>
      <c r="AK45" s="6"/>
      <c r="AL45" s="6"/>
      <c r="AM45" s="6"/>
      <c r="AN45" s="6"/>
      <c r="AO45" s="6"/>
      <c r="AP45" s="6"/>
      <c r="AQ45" s="6"/>
    </row>
    <row r="46" spans="1:43">
      <c r="B46" s="729" t="s">
        <v>1100</v>
      </c>
      <c r="C46" s="730">
        <f>I10</f>
        <v>0</v>
      </c>
      <c r="D46" s="6"/>
      <c r="E46" s="6"/>
      <c r="F46" s="6"/>
      <c r="G46" s="6"/>
      <c r="H46" s="6"/>
      <c r="I46" s="6"/>
      <c r="J46" s="6"/>
      <c r="K46" s="6"/>
      <c r="L46" s="6"/>
      <c r="M46" s="6"/>
      <c r="AC46" s="6"/>
      <c r="AD46" s="6"/>
      <c r="AE46" s="6"/>
      <c r="AF46" s="6"/>
      <c r="AG46" s="6"/>
      <c r="AH46" s="6"/>
      <c r="AI46" s="6"/>
      <c r="AJ46" s="6"/>
      <c r="AK46" s="6"/>
      <c r="AL46" s="6"/>
      <c r="AM46" s="6"/>
      <c r="AN46" s="6"/>
      <c r="AO46" s="6"/>
      <c r="AP46" s="6"/>
      <c r="AQ46" s="6"/>
    </row>
    <row r="47" spans="1:43">
      <c r="B47" s="729" t="s">
        <v>1101</v>
      </c>
      <c r="C47" s="730">
        <f t="shared" ref="C47:C48" si="3">I11</f>
        <v>0</v>
      </c>
      <c r="D47" s="6"/>
      <c r="E47" s="6"/>
      <c r="F47" s="6"/>
      <c r="G47" s="6"/>
      <c r="H47" s="6"/>
      <c r="I47" s="6"/>
      <c r="J47" s="6"/>
      <c r="K47" s="6"/>
      <c r="L47" s="6"/>
      <c r="M47" s="6"/>
      <c r="AC47" s="6"/>
      <c r="AD47" s="6"/>
      <c r="AE47" s="6"/>
      <c r="AF47" s="6"/>
      <c r="AG47" s="6"/>
      <c r="AH47" s="6"/>
      <c r="AI47" s="6"/>
      <c r="AJ47" s="6"/>
      <c r="AK47" s="6"/>
      <c r="AL47" s="6"/>
      <c r="AM47" s="6"/>
      <c r="AN47" s="6"/>
      <c r="AO47" s="6"/>
      <c r="AP47" s="6"/>
      <c r="AQ47" s="6"/>
    </row>
    <row r="48" spans="1:43">
      <c r="B48" s="731" t="s">
        <v>1102</v>
      </c>
      <c r="C48" s="732">
        <f t="shared" si="3"/>
        <v>0</v>
      </c>
      <c r="D48" s="6"/>
      <c r="E48" s="6"/>
      <c r="F48" s="6"/>
      <c r="G48" s="6"/>
      <c r="H48" s="6"/>
      <c r="I48" s="6"/>
      <c r="J48" s="6"/>
      <c r="K48" s="6"/>
      <c r="L48" s="6"/>
      <c r="M48" s="6"/>
      <c r="AC48" s="6"/>
      <c r="AD48" s="6"/>
      <c r="AE48" s="6"/>
      <c r="AF48" s="6"/>
      <c r="AG48" s="6"/>
      <c r="AH48" s="6"/>
      <c r="AI48" s="6"/>
      <c r="AJ48" s="6"/>
      <c r="AK48" s="6"/>
      <c r="AL48" s="6"/>
      <c r="AM48" s="6"/>
      <c r="AN48" s="6"/>
      <c r="AO48" s="6"/>
      <c r="AP48" s="6"/>
      <c r="AQ48" s="6"/>
    </row>
    <row r="49" spans="2:43" s="6" customFormat="1"/>
    <row r="50" spans="2:43" ht="15" thickBot="1">
      <c r="B50" s="1818" t="s">
        <v>258</v>
      </c>
      <c r="C50" s="1819"/>
      <c r="D50" s="6"/>
      <c r="E50" s="6"/>
      <c r="F50" s="6"/>
      <c r="G50" s="6"/>
      <c r="H50" s="6"/>
      <c r="I50" s="6"/>
      <c r="J50" s="6"/>
      <c r="K50" s="6"/>
      <c r="L50" s="6"/>
      <c r="M50" s="6"/>
      <c r="AC50" s="6"/>
      <c r="AD50" s="6"/>
      <c r="AE50" s="6"/>
      <c r="AF50" s="6"/>
      <c r="AG50" s="6"/>
      <c r="AH50" s="6"/>
      <c r="AI50" s="6"/>
      <c r="AJ50" s="6"/>
      <c r="AK50" s="6"/>
      <c r="AL50" s="6"/>
      <c r="AM50" s="6"/>
      <c r="AN50" s="6"/>
      <c r="AO50" s="6"/>
      <c r="AP50" s="6"/>
      <c r="AQ50" s="6"/>
    </row>
    <row r="51" spans="2:43" ht="28.8">
      <c r="B51" s="727" t="s">
        <v>1105</v>
      </c>
      <c r="C51" s="728" t="s">
        <v>1136</v>
      </c>
      <c r="D51" s="6"/>
      <c r="E51" s="6"/>
      <c r="F51" s="6"/>
      <c r="G51" s="6"/>
      <c r="H51" s="6"/>
      <c r="I51" s="6"/>
      <c r="J51" s="6"/>
      <c r="K51" s="6"/>
      <c r="L51" s="6"/>
      <c r="M51" s="6"/>
      <c r="AC51" s="6"/>
      <c r="AD51" s="6"/>
      <c r="AE51" s="6"/>
      <c r="AF51" s="6"/>
      <c r="AG51" s="6"/>
      <c r="AH51" s="6"/>
      <c r="AI51" s="6"/>
      <c r="AJ51" s="6"/>
      <c r="AK51" s="6"/>
      <c r="AL51" s="6"/>
      <c r="AM51" s="6"/>
      <c r="AN51" s="6"/>
      <c r="AO51" s="6"/>
      <c r="AP51" s="6"/>
      <c r="AQ51" s="6"/>
    </row>
    <row r="52" spans="2:43">
      <c r="B52" s="729" t="s">
        <v>1106</v>
      </c>
      <c r="C52" s="733" cm="1">
        <f t="array" ref="C52:C56">TRANSPOSE(E21:I21)</f>
        <v>200</v>
      </c>
      <c r="D52" s="6"/>
      <c r="E52" s="1816" t="s">
        <v>700</v>
      </c>
      <c r="F52" s="1817"/>
      <c r="G52" s="6"/>
      <c r="H52" s="6"/>
      <c r="I52" s="6"/>
      <c r="J52" s="6"/>
      <c r="K52" s="6"/>
      <c r="L52" s="6"/>
      <c r="M52" s="6"/>
      <c r="AC52" s="6"/>
      <c r="AD52" s="6"/>
      <c r="AE52" s="6"/>
      <c r="AF52" s="6"/>
      <c r="AG52" s="6"/>
      <c r="AH52" s="6"/>
      <c r="AI52" s="6"/>
      <c r="AJ52" s="6"/>
      <c r="AK52" s="6"/>
      <c r="AL52" s="6"/>
      <c r="AM52" s="6"/>
      <c r="AN52" s="6"/>
      <c r="AO52" s="6"/>
      <c r="AP52" s="6"/>
      <c r="AQ52" s="6"/>
    </row>
    <row r="53" spans="2:43">
      <c r="B53" s="729" t="s">
        <v>1107</v>
      </c>
      <c r="C53" s="733">
        <v>300</v>
      </c>
      <c r="D53" s="6"/>
      <c r="E53" s="199" t="s">
        <v>1483</v>
      </c>
      <c r="F53" s="624" t="s">
        <v>1138</v>
      </c>
      <c r="G53" s="6"/>
      <c r="H53" s="6"/>
      <c r="I53" s="6"/>
      <c r="J53" s="6"/>
      <c r="K53" s="6"/>
      <c r="L53" s="6"/>
      <c r="M53" s="6"/>
      <c r="AC53" s="6"/>
      <c r="AD53" s="6"/>
      <c r="AE53" s="6"/>
      <c r="AF53" s="6"/>
      <c r="AG53" s="6"/>
      <c r="AH53" s="6"/>
      <c r="AI53" s="6"/>
      <c r="AJ53" s="6"/>
      <c r="AK53" s="6"/>
      <c r="AL53" s="6"/>
      <c r="AM53" s="6"/>
      <c r="AN53" s="6"/>
      <c r="AO53" s="6"/>
      <c r="AP53" s="6"/>
      <c r="AQ53" s="6"/>
    </row>
    <row r="54" spans="2:43">
      <c r="B54" s="729" t="s">
        <v>1108</v>
      </c>
      <c r="C54" s="733">
        <v>550</v>
      </c>
      <c r="D54" s="6"/>
      <c r="E54" s="199" t="s">
        <v>1484</v>
      </c>
      <c r="F54" s="624" t="s">
        <v>1139</v>
      </c>
      <c r="G54" s="6"/>
      <c r="H54" s="6"/>
      <c r="I54" s="6"/>
      <c r="J54" s="6"/>
      <c r="K54" s="6"/>
      <c r="L54" s="6"/>
      <c r="M54" s="6"/>
      <c r="AC54" s="6"/>
      <c r="AD54" s="6"/>
      <c r="AE54" s="6"/>
      <c r="AF54" s="6"/>
      <c r="AG54" s="6"/>
      <c r="AH54" s="6"/>
      <c r="AI54" s="6"/>
      <c r="AJ54" s="6"/>
      <c r="AK54" s="6"/>
      <c r="AL54" s="6"/>
      <c r="AM54" s="6"/>
      <c r="AN54" s="6"/>
      <c r="AO54" s="6"/>
      <c r="AP54" s="6"/>
      <c r="AQ54" s="6"/>
    </row>
    <row r="55" spans="2:43">
      <c r="B55" s="729" t="s">
        <v>1109</v>
      </c>
      <c r="C55" s="733">
        <v>1000</v>
      </c>
      <c r="D55" s="6"/>
      <c r="E55" s="199" t="s">
        <v>1485</v>
      </c>
      <c r="F55" s="624" t="s">
        <v>1140</v>
      </c>
      <c r="G55" s="6"/>
      <c r="H55" s="6"/>
      <c r="I55" s="6"/>
      <c r="J55" s="6"/>
      <c r="K55" s="6"/>
      <c r="L55" s="6"/>
      <c r="M55" s="6"/>
      <c r="AC55" s="6"/>
      <c r="AD55" s="6"/>
      <c r="AE55" s="6"/>
      <c r="AF55" s="6"/>
      <c r="AG55" s="6"/>
      <c r="AH55" s="6"/>
      <c r="AI55" s="6"/>
      <c r="AJ55" s="6"/>
      <c r="AK55" s="6"/>
      <c r="AL55" s="6"/>
      <c r="AM55" s="6"/>
      <c r="AN55" s="6"/>
      <c r="AO55" s="6"/>
      <c r="AP55" s="6"/>
      <c r="AQ55" s="6"/>
    </row>
    <row r="56" spans="2:43">
      <c r="B56" s="729" t="s">
        <v>1110</v>
      </c>
      <c r="C56" s="733">
        <v>1300</v>
      </c>
      <c r="D56" s="6"/>
      <c r="E56" s="199" t="s">
        <v>1486</v>
      </c>
      <c r="F56" s="624" t="s">
        <v>1141</v>
      </c>
      <c r="G56" s="6"/>
      <c r="H56" s="6"/>
      <c r="I56" s="6"/>
      <c r="J56" s="6"/>
      <c r="K56" s="6"/>
      <c r="L56" s="6"/>
      <c r="M56" s="6"/>
      <c r="AC56" s="6"/>
      <c r="AD56" s="6"/>
      <c r="AE56" s="6"/>
      <c r="AF56" s="6"/>
      <c r="AG56" s="6"/>
      <c r="AH56" s="6"/>
      <c r="AI56" s="6"/>
      <c r="AJ56" s="6"/>
      <c r="AK56" s="6"/>
      <c r="AL56" s="6"/>
      <c r="AM56" s="6"/>
      <c r="AN56" s="6"/>
      <c r="AO56" s="6"/>
      <c r="AP56" s="6"/>
      <c r="AQ56" s="6"/>
    </row>
    <row r="57" spans="2:43">
      <c r="B57" s="729" t="s">
        <v>1111</v>
      </c>
      <c r="C57" s="733" cm="1">
        <f t="array" ref="C57:C61">TRANSPOSE(E22:I22)</f>
        <v>200</v>
      </c>
      <c r="D57" s="6"/>
      <c r="E57" s="199" t="s">
        <v>1487</v>
      </c>
      <c r="F57" s="624" t="s">
        <v>259</v>
      </c>
      <c r="G57" s="6"/>
      <c r="H57" s="6"/>
      <c r="I57" s="6"/>
      <c r="J57" s="6"/>
      <c r="K57" s="6"/>
      <c r="L57" s="6"/>
      <c r="M57" s="6"/>
      <c r="AC57" s="6"/>
      <c r="AD57" s="6"/>
      <c r="AE57" s="6"/>
      <c r="AF57" s="6"/>
      <c r="AG57" s="6"/>
      <c r="AH57" s="6"/>
      <c r="AI57" s="6"/>
      <c r="AJ57" s="6"/>
      <c r="AK57" s="6"/>
      <c r="AL57" s="6"/>
      <c r="AM57" s="6"/>
      <c r="AN57" s="6"/>
      <c r="AO57" s="6"/>
      <c r="AP57" s="6"/>
      <c r="AQ57" s="6"/>
    </row>
    <row r="58" spans="2:43">
      <c r="B58" s="729" t="s">
        <v>1112</v>
      </c>
      <c r="C58" s="733">
        <v>300</v>
      </c>
      <c r="D58" s="6"/>
      <c r="E58" s="655" t="s">
        <v>1488</v>
      </c>
      <c r="F58" s="625" t="s">
        <v>1142</v>
      </c>
      <c r="G58" s="6"/>
      <c r="H58" s="6"/>
      <c r="I58" s="6"/>
      <c r="J58" s="6"/>
      <c r="K58" s="6"/>
      <c r="L58" s="6"/>
      <c r="M58" s="6"/>
      <c r="AC58" s="6"/>
      <c r="AD58" s="6"/>
      <c r="AE58" s="6"/>
      <c r="AF58" s="6"/>
      <c r="AG58" s="6"/>
      <c r="AH58" s="6"/>
      <c r="AI58" s="6"/>
      <c r="AJ58" s="6"/>
      <c r="AK58" s="6"/>
      <c r="AL58" s="6"/>
      <c r="AM58" s="6"/>
      <c r="AN58" s="6"/>
      <c r="AO58" s="6"/>
      <c r="AP58" s="6"/>
      <c r="AQ58" s="6"/>
    </row>
    <row r="59" spans="2:43">
      <c r="B59" s="729" t="s">
        <v>1113</v>
      </c>
      <c r="C59" s="733">
        <v>550</v>
      </c>
      <c r="D59" s="6"/>
      <c r="E59" s="6"/>
      <c r="F59" s="6"/>
      <c r="G59" s="6"/>
      <c r="H59" s="6"/>
      <c r="I59" s="6"/>
      <c r="J59" s="6"/>
      <c r="K59" s="6"/>
      <c r="L59" s="6"/>
      <c r="M59" s="6"/>
      <c r="AC59" s="6"/>
      <c r="AD59" s="6"/>
      <c r="AE59" s="6"/>
      <c r="AF59" s="6"/>
      <c r="AG59" s="6"/>
      <c r="AH59" s="6"/>
      <c r="AI59" s="6"/>
      <c r="AJ59" s="6"/>
      <c r="AK59" s="6"/>
      <c r="AL59" s="6"/>
      <c r="AM59" s="6"/>
      <c r="AN59" s="6"/>
      <c r="AO59" s="6"/>
      <c r="AP59" s="6"/>
      <c r="AQ59" s="6"/>
    </row>
    <row r="60" spans="2:43">
      <c r="B60" s="729" t="s">
        <v>1114</v>
      </c>
      <c r="C60" s="733">
        <v>1000</v>
      </c>
      <c r="D60" s="6"/>
      <c r="E60" s="6"/>
      <c r="F60" s="6"/>
      <c r="G60" s="6"/>
      <c r="H60" s="6"/>
      <c r="I60" s="6"/>
      <c r="J60" s="6"/>
      <c r="K60" s="6"/>
      <c r="L60" s="6"/>
      <c r="M60" s="6"/>
      <c r="AC60" s="6"/>
      <c r="AD60" s="6"/>
      <c r="AE60" s="6"/>
      <c r="AF60" s="6"/>
      <c r="AG60" s="6"/>
      <c r="AH60" s="6"/>
      <c r="AI60" s="6"/>
      <c r="AJ60" s="6"/>
      <c r="AK60" s="6"/>
      <c r="AL60" s="6"/>
      <c r="AM60" s="6"/>
      <c r="AN60" s="6"/>
      <c r="AO60" s="6"/>
      <c r="AP60" s="6"/>
      <c r="AQ60" s="6"/>
    </row>
    <row r="61" spans="2:43">
      <c r="B61" s="729" t="s">
        <v>1115</v>
      </c>
      <c r="C61" s="733">
        <v>1300</v>
      </c>
      <c r="D61" s="6"/>
      <c r="E61" s="6"/>
      <c r="F61" s="6"/>
      <c r="G61" s="6"/>
      <c r="H61" s="6"/>
      <c r="I61" s="6"/>
      <c r="J61" s="6"/>
      <c r="K61" s="6"/>
      <c r="L61" s="6"/>
      <c r="M61" s="6"/>
      <c r="AC61" s="6"/>
      <c r="AD61" s="6"/>
      <c r="AE61" s="6"/>
      <c r="AF61" s="6"/>
      <c r="AG61" s="6"/>
      <c r="AH61" s="6"/>
      <c r="AI61" s="6"/>
      <c r="AJ61" s="6"/>
      <c r="AK61" s="6"/>
      <c r="AL61" s="6"/>
      <c r="AM61" s="6"/>
      <c r="AN61" s="6"/>
      <c r="AO61" s="6"/>
      <c r="AP61" s="6"/>
      <c r="AQ61" s="6"/>
    </row>
    <row r="62" spans="2:43">
      <c r="B62" s="729" t="s">
        <v>1116</v>
      </c>
      <c r="C62" s="733" cm="1">
        <f t="array" ref="C62:C66">TRANSPOSE(E23:I23)</f>
        <v>60</v>
      </c>
      <c r="D62" s="6"/>
      <c r="E62" s="6"/>
      <c r="F62" s="6"/>
      <c r="G62" s="6"/>
      <c r="H62" s="6"/>
      <c r="I62" s="6"/>
      <c r="J62" s="6"/>
      <c r="K62" s="6"/>
      <c r="L62" s="6"/>
      <c r="M62" s="6"/>
      <c r="AC62" s="6"/>
      <c r="AD62" s="6"/>
      <c r="AE62" s="6"/>
      <c r="AF62" s="6"/>
      <c r="AG62" s="6"/>
      <c r="AH62" s="6"/>
      <c r="AI62" s="6"/>
      <c r="AJ62" s="6"/>
      <c r="AK62" s="6"/>
      <c r="AL62" s="6"/>
      <c r="AM62" s="6"/>
      <c r="AN62" s="6"/>
      <c r="AO62" s="6"/>
      <c r="AP62" s="6"/>
      <c r="AQ62" s="6"/>
    </row>
    <row r="63" spans="2:43">
      <c r="B63" s="729" t="s">
        <v>1117</v>
      </c>
      <c r="C63" s="733">
        <v>200</v>
      </c>
      <c r="D63" s="6"/>
      <c r="E63" s="6"/>
      <c r="F63" s="6"/>
      <c r="G63" s="6"/>
      <c r="H63" s="6"/>
      <c r="I63" s="6"/>
      <c r="J63" s="6"/>
      <c r="K63" s="6"/>
      <c r="L63" s="6"/>
      <c r="M63" s="6"/>
      <c r="AC63" s="6"/>
      <c r="AD63" s="6"/>
      <c r="AE63" s="6"/>
      <c r="AF63" s="6"/>
      <c r="AG63" s="6"/>
      <c r="AH63" s="6"/>
      <c r="AI63" s="6"/>
      <c r="AJ63" s="6"/>
      <c r="AK63" s="6"/>
      <c r="AL63" s="6"/>
      <c r="AM63" s="6"/>
      <c r="AN63" s="6"/>
      <c r="AO63" s="6"/>
      <c r="AP63" s="6"/>
      <c r="AQ63" s="6"/>
    </row>
    <row r="64" spans="2:43">
      <c r="B64" s="729" t="s">
        <v>1118</v>
      </c>
      <c r="C64" s="733">
        <v>550</v>
      </c>
      <c r="D64" s="6"/>
      <c r="E64" s="6"/>
      <c r="F64" s="6"/>
      <c r="G64" s="6"/>
      <c r="H64" s="6"/>
      <c r="I64" s="6"/>
      <c r="J64" s="6"/>
      <c r="K64" s="6"/>
      <c r="L64" s="6"/>
      <c r="M64" s="6"/>
      <c r="AC64" s="6"/>
      <c r="AD64" s="6"/>
      <c r="AE64" s="6"/>
      <c r="AF64" s="6"/>
      <c r="AG64" s="6"/>
      <c r="AH64" s="6"/>
      <c r="AI64" s="6"/>
      <c r="AJ64" s="6"/>
      <c r="AK64" s="6"/>
      <c r="AL64" s="6"/>
      <c r="AM64" s="6"/>
      <c r="AN64" s="6"/>
      <c r="AO64" s="6"/>
      <c r="AP64" s="6"/>
      <c r="AQ64" s="6"/>
    </row>
    <row r="65" spans="2:43">
      <c r="B65" s="729" t="s">
        <v>1119</v>
      </c>
      <c r="C65" s="733">
        <v>1100</v>
      </c>
      <c r="D65" s="6"/>
      <c r="E65" s="6"/>
      <c r="F65" s="6"/>
      <c r="G65" s="6"/>
      <c r="H65" s="6"/>
      <c r="I65" s="6"/>
      <c r="J65" s="6"/>
      <c r="K65" s="6"/>
      <c r="L65" s="6"/>
      <c r="M65" s="6"/>
      <c r="AC65" s="6"/>
      <c r="AD65" s="6"/>
      <c r="AE65" s="6"/>
      <c r="AF65" s="6"/>
      <c r="AG65" s="6"/>
      <c r="AH65" s="6"/>
      <c r="AI65" s="6"/>
      <c r="AJ65" s="6"/>
      <c r="AK65" s="6"/>
      <c r="AL65" s="6"/>
      <c r="AM65" s="6"/>
      <c r="AN65" s="6"/>
      <c r="AO65" s="6"/>
      <c r="AP65" s="6"/>
      <c r="AQ65" s="6"/>
    </row>
    <row r="66" spans="2:43">
      <c r="B66" s="729" t="s">
        <v>1120</v>
      </c>
      <c r="C66" s="733">
        <v>1550</v>
      </c>
      <c r="D66" s="6"/>
      <c r="E66" s="6"/>
      <c r="F66" s="6"/>
      <c r="G66" s="6"/>
      <c r="H66" s="6"/>
      <c r="I66" s="6"/>
      <c r="J66" s="6"/>
      <c r="K66" s="6"/>
      <c r="L66" s="6"/>
      <c r="M66" s="6"/>
      <c r="AC66" s="6"/>
      <c r="AD66" s="6"/>
      <c r="AE66" s="6"/>
      <c r="AF66" s="6"/>
      <c r="AG66" s="6"/>
      <c r="AH66" s="6"/>
      <c r="AI66" s="6"/>
      <c r="AJ66" s="6"/>
      <c r="AK66" s="6"/>
      <c r="AL66" s="6"/>
      <c r="AM66" s="6"/>
      <c r="AN66" s="6"/>
      <c r="AO66" s="6"/>
      <c r="AP66" s="6"/>
      <c r="AQ66" s="6"/>
    </row>
    <row r="67" spans="2:43">
      <c r="B67" s="729" t="s">
        <v>1121</v>
      </c>
      <c r="C67" s="733" cm="1">
        <f t="array" ref="C67:C71">TRANSPOSE(E24:I24)</f>
        <v>100</v>
      </c>
      <c r="D67" s="6"/>
      <c r="E67" s="6"/>
      <c r="F67" s="6"/>
      <c r="G67" s="6"/>
      <c r="H67" s="6"/>
      <c r="I67" s="6"/>
      <c r="J67" s="6"/>
      <c r="K67" s="6"/>
      <c r="L67" s="6"/>
      <c r="M67" s="6"/>
      <c r="AC67" s="6"/>
      <c r="AD67" s="6"/>
      <c r="AE67" s="6"/>
      <c r="AF67" s="6"/>
      <c r="AG67" s="6"/>
      <c r="AH67" s="6"/>
      <c r="AI67" s="6"/>
      <c r="AJ67" s="6"/>
      <c r="AK67" s="6"/>
      <c r="AL67" s="6"/>
      <c r="AM67" s="6"/>
      <c r="AN67" s="6"/>
      <c r="AO67" s="6"/>
      <c r="AP67" s="6"/>
      <c r="AQ67" s="6"/>
    </row>
    <row r="68" spans="2:43">
      <c r="B68" s="729" t="s">
        <v>1122</v>
      </c>
      <c r="C68" s="733">
        <v>400</v>
      </c>
      <c r="D68" s="6"/>
      <c r="E68" s="6"/>
      <c r="F68" s="6"/>
      <c r="G68" s="6"/>
      <c r="H68" s="6"/>
      <c r="I68" s="6"/>
      <c r="J68" s="6"/>
      <c r="K68" s="6"/>
      <c r="L68" s="6"/>
      <c r="M68" s="6"/>
      <c r="AC68" s="6"/>
      <c r="AD68" s="6"/>
      <c r="AE68" s="6"/>
      <c r="AF68" s="6"/>
      <c r="AG68" s="6"/>
      <c r="AH68" s="6"/>
      <c r="AI68" s="6"/>
      <c r="AJ68" s="6"/>
      <c r="AK68" s="6"/>
      <c r="AL68" s="6"/>
      <c r="AM68" s="6"/>
      <c r="AN68" s="6"/>
      <c r="AO68" s="6"/>
      <c r="AP68" s="6"/>
      <c r="AQ68" s="6"/>
    </row>
    <row r="69" spans="2:43">
      <c r="B69" s="729" t="s">
        <v>1123</v>
      </c>
      <c r="C69" s="733">
        <v>1000</v>
      </c>
      <c r="D69" s="6"/>
      <c r="E69" s="6"/>
      <c r="F69" s="6"/>
      <c r="G69" s="6"/>
      <c r="H69" s="6"/>
      <c r="I69" s="6"/>
      <c r="J69" s="6"/>
      <c r="K69" s="6"/>
      <c r="L69" s="6"/>
      <c r="M69" s="6"/>
      <c r="AC69" s="6"/>
      <c r="AD69" s="6"/>
      <c r="AE69" s="6"/>
      <c r="AF69" s="6"/>
      <c r="AG69" s="6"/>
      <c r="AH69" s="6"/>
      <c r="AI69" s="6"/>
      <c r="AJ69" s="6"/>
      <c r="AK69" s="6"/>
      <c r="AL69" s="6"/>
      <c r="AM69" s="6"/>
      <c r="AN69" s="6"/>
      <c r="AO69" s="6"/>
      <c r="AP69" s="6"/>
      <c r="AQ69" s="6"/>
    </row>
    <row r="70" spans="2:43">
      <c r="B70" s="729" t="s">
        <v>1124</v>
      </c>
      <c r="C70" s="733">
        <v>1500</v>
      </c>
      <c r="D70" s="6"/>
      <c r="E70" s="6"/>
      <c r="F70" s="6"/>
      <c r="G70" s="6"/>
      <c r="H70" s="6"/>
      <c r="I70" s="6"/>
      <c r="J70" s="6"/>
      <c r="K70" s="6"/>
      <c r="L70" s="6"/>
      <c r="M70" s="6"/>
      <c r="AC70" s="6"/>
      <c r="AD70" s="6"/>
      <c r="AE70" s="6"/>
      <c r="AF70" s="6"/>
      <c r="AG70" s="6"/>
      <c r="AH70" s="6"/>
      <c r="AI70" s="6"/>
      <c r="AJ70" s="6"/>
      <c r="AK70" s="6"/>
      <c r="AL70" s="6"/>
      <c r="AM70" s="6"/>
      <c r="AN70" s="6"/>
      <c r="AO70" s="6"/>
      <c r="AP70" s="6"/>
      <c r="AQ70" s="6"/>
    </row>
    <row r="71" spans="2:43">
      <c r="B71" s="729" t="s">
        <v>1125</v>
      </c>
      <c r="C71" s="733">
        <v>2200</v>
      </c>
      <c r="D71" s="6"/>
      <c r="E71" s="6"/>
      <c r="F71" s="6"/>
      <c r="G71" s="6"/>
      <c r="H71" s="6"/>
      <c r="I71" s="6"/>
      <c r="J71" s="6"/>
      <c r="K71" s="6"/>
      <c r="L71" s="6"/>
      <c r="M71" s="6"/>
      <c r="AC71" s="6"/>
      <c r="AD71" s="6"/>
      <c r="AE71" s="6"/>
      <c r="AF71" s="6"/>
      <c r="AG71" s="6"/>
      <c r="AH71" s="6"/>
      <c r="AI71" s="6"/>
      <c r="AJ71" s="6"/>
      <c r="AK71" s="6"/>
      <c r="AL71" s="6"/>
      <c r="AM71" s="6"/>
      <c r="AN71" s="6"/>
      <c r="AO71" s="6"/>
      <c r="AP71" s="6"/>
      <c r="AQ71" s="6"/>
    </row>
    <row r="72" spans="2:43">
      <c r="B72" s="729" t="s">
        <v>1126</v>
      </c>
      <c r="C72" s="733" cm="1">
        <f t="array" ref="C72:C76">TRANSPOSE(E25:I25)</f>
        <v>300</v>
      </c>
      <c r="D72" s="6"/>
      <c r="E72" s="6"/>
      <c r="F72" s="6"/>
      <c r="G72" s="6"/>
      <c r="H72" s="6"/>
      <c r="I72" s="6"/>
      <c r="J72" s="6"/>
      <c r="K72" s="6"/>
      <c r="L72" s="6"/>
      <c r="M72" s="6"/>
      <c r="AC72" s="6"/>
      <c r="AD72" s="6"/>
      <c r="AE72" s="6"/>
      <c r="AF72" s="6"/>
      <c r="AG72" s="6"/>
      <c r="AH72" s="6"/>
      <c r="AI72" s="6"/>
      <c r="AJ72" s="6"/>
      <c r="AK72" s="6"/>
      <c r="AL72" s="6"/>
      <c r="AM72" s="6"/>
      <c r="AN72" s="6"/>
      <c r="AO72" s="6"/>
      <c r="AP72" s="6"/>
      <c r="AQ72" s="6"/>
    </row>
    <row r="73" spans="2:43">
      <c r="B73" s="729" t="s">
        <v>1127</v>
      </c>
      <c r="C73" s="733">
        <v>500</v>
      </c>
      <c r="D73" s="6"/>
      <c r="E73" s="6"/>
      <c r="F73" s="6"/>
      <c r="G73" s="6"/>
      <c r="H73" s="6"/>
      <c r="I73" s="6"/>
      <c r="J73" s="6"/>
      <c r="K73" s="6"/>
      <c r="L73" s="6"/>
      <c r="M73" s="6"/>
      <c r="AC73" s="6"/>
      <c r="AD73" s="6"/>
      <c r="AE73" s="6"/>
      <c r="AF73" s="6"/>
      <c r="AG73" s="6"/>
      <c r="AH73" s="6"/>
      <c r="AI73" s="6"/>
      <c r="AJ73" s="6"/>
      <c r="AK73" s="6"/>
      <c r="AL73" s="6"/>
      <c r="AM73" s="6"/>
      <c r="AN73" s="6"/>
      <c r="AO73" s="6"/>
      <c r="AP73" s="6"/>
      <c r="AQ73" s="6"/>
    </row>
    <row r="74" spans="2:43">
      <c r="B74" s="729" t="s">
        <v>1128</v>
      </c>
      <c r="C74" s="733">
        <v>900</v>
      </c>
      <c r="D74" s="6"/>
      <c r="E74" s="6"/>
      <c r="F74" s="6"/>
      <c r="G74" s="6"/>
      <c r="H74" s="6"/>
      <c r="I74" s="6"/>
      <c r="J74" s="6"/>
      <c r="K74" s="6"/>
      <c r="L74" s="6"/>
      <c r="M74" s="6"/>
      <c r="AC74" s="6"/>
      <c r="AD74" s="6"/>
      <c r="AE74" s="6"/>
      <c r="AF74" s="6"/>
      <c r="AG74" s="6"/>
      <c r="AH74" s="6"/>
      <c r="AI74" s="6"/>
      <c r="AJ74" s="6"/>
      <c r="AK74" s="6"/>
      <c r="AL74" s="6"/>
      <c r="AM74" s="6"/>
      <c r="AN74" s="6"/>
      <c r="AO74" s="6"/>
      <c r="AP74" s="6"/>
      <c r="AQ74" s="6"/>
    </row>
    <row r="75" spans="2:43">
      <c r="B75" s="729" t="s">
        <v>1129</v>
      </c>
      <c r="C75" s="733">
        <v>1550</v>
      </c>
      <c r="D75" s="6"/>
      <c r="E75" s="6"/>
      <c r="F75" s="6"/>
      <c r="G75" s="6"/>
      <c r="H75" s="6"/>
      <c r="I75" s="6"/>
      <c r="J75" s="6"/>
      <c r="K75" s="6"/>
      <c r="L75" s="6"/>
      <c r="M75" s="6"/>
      <c r="AC75" s="6"/>
      <c r="AD75" s="6"/>
      <c r="AE75" s="6"/>
      <c r="AF75" s="6"/>
      <c r="AG75" s="6"/>
      <c r="AH75" s="6"/>
      <c r="AI75" s="6"/>
      <c r="AJ75" s="6"/>
      <c r="AK75" s="6"/>
      <c r="AL75" s="6"/>
      <c r="AM75" s="6"/>
      <c r="AN75" s="6"/>
      <c r="AO75" s="6"/>
      <c r="AP75" s="6"/>
      <c r="AQ75" s="6"/>
    </row>
    <row r="76" spans="2:43">
      <c r="B76" s="729" t="s">
        <v>1130</v>
      </c>
      <c r="C76" s="733">
        <v>2000</v>
      </c>
      <c r="D76" s="6"/>
      <c r="E76" s="6"/>
      <c r="F76" s="6"/>
      <c r="G76" s="6"/>
      <c r="H76" s="6"/>
      <c r="I76" s="6"/>
      <c r="J76" s="6"/>
      <c r="K76" s="6"/>
      <c r="L76" s="6"/>
      <c r="M76" s="6"/>
      <c r="AC76" s="6"/>
      <c r="AD76" s="6"/>
      <c r="AE76" s="6"/>
      <c r="AF76" s="6"/>
      <c r="AG76" s="6"/>
      <c r="AH76" s="6"/>
      <c r="AI76" s="6"/>
      <c r="AJ76" s="6"/>
      <c r="AK76" s="6"/>
      <c r="AL76" s="6"/>
      <c r="AM76" s="6"/>
      <c r="AN76" s="6"/>
      <c r="AO76" s="6"/>
      <c r="AP76" s="6"/>
      <c r="AQ76" s="6"/>
    </row>
    <row r="77" spans="2:43">
      <c r="B77" s="729" t="s">
        <v>1131</v>
      </c>
      <c r="C77" s="733" cm="1">
        <f t="array" ref="C77:C81">TRANSPOSE(E26:I26)</f>
        <v>30</v>
      </c>
      <c r="D77" s="6"/>
      <c r="E77" s="6"/>
      <c r="F77" s="6"/>
      <c r="G77" s="6"/>
      <c r="H77" s="6"/>
      <c r="I77" s="6"/>
      <c r="J77" s="6"/>
      <c r="K77" s="6"/>
      <c r="L77" s="6"/>
      <c r="M77" s="6"/>
      <c r="AC77" s="6"/>
      <c r="AD77" s="6"/>
      <c r="AE77" s="6"/>
      <c r="AF77" s="6"/>
      <c r="AG77" s="6"/>
      <c r="AH77" s="6"/>
      <c r="AI77" s="6"/>
      <c r="AJ77" s="6"/>
      <c r="AK77" s="6"/>
      <c r="AL77" s="6"/>
      <c r="AM77" s="6"/>
      <c r="AN77" s="6"/>
      <c r="AO77" s="6"/>
      <c r="AP77" s="6"/>
      <c r="AQ77" s="6"/>
    </row>
    <row r="78" spans="2:43">
      <c r="B78" s="729" t="s">
        <v>1132</v>
      </c>
      <c r="C78" s="733">
        <v>150</v>
      </c>
      <c r="D78" s="6"/>
      <c r="E78" s="6"/>
      <c r="F78" s="6"/>
      <c r="G78" s="6"/>
      <c r="H78" s="6"/>
      <c r="I78" s="6"/>
      <c r="J78" s="6"/>
      <c r="K78" s="6"/>
      <c r="L78" s="6"/>
      <c r="M78" s="6"/>
      <c r="AC78" s="6"/>
      <c r="AD78" s="6"/>
      <c r="AE78" s="6"/>
      <c r="AF78" s="6"/>
      <c r="AG78" s="6"/>
      <c r="AH78" s="6"/>
      <c r="AI78" s="6"/>
      <c r="AJ78" s="6"/>
      <c r="AK78" s="6"/>
      <c r="AL78" s="6"/>
      <c r="AM78" s="6"/>
      <c r="AN78" s="6"/>
      <c r="AO78" s="6"/>
      <c r="AP78" s="6"/>
      <c r="AQ78" s="6"/>
    </row>
    <row r="79" spans="2:43">
      <c r="B79" s="729" t="s">
        <v>1133</v>
      </c>
      <c r="C79" s="733">
        <v>400</v>
      </c>
      <c r="D79" s="6"/>
      <c r="E79" s="6"/>
      <c r="F79" s="6"/>
      <c r="G79" s="6"/>
      <c r="H79" s="6"/>
      <c r="I79" s="6"/>
      <c r="J79" s="6"/>
      <c r="K79" s="6"/>
      <c r="L79" s="6"/>
      <c r="M79" s="6"/>
      <c r="AC79" s="6"/>
      <c r="AD79" s="6"/>
      <c r="AE79" s="6"/>
      <c r="AF79" s="6"/>
      <c r="AG79" s="6"/>
      <c r="AH79" s="6"/>
      <c r="AI79" s="6"/>
      <c r="AJ79" s="6"/>
      <c r="AK79" s="6"/>
      <c r="AL79" s="6"/>
      <c r="AM79" s="6"/>
      <c r="AN79" s="6"/>
      <c r="AO79" s="6"/>
      <c r="AP79" s="6"/>
      <c r="AQ79" s="6"/>
    </row>
    <row r="80" spans="2:43">
      <c r="B80" s="729" t="s">
        <v>1134</v>
      </c>
      <c r="C80" s="733">
        <v>800</v>
      </c>
      <c r="D80" s="6"/>
      <c r="E80" s="6"/>
      <c r="F80" s="6"/>
      <c r="G80" s="6"/>
      <c r="H80" s="6"/>
      <c r="I80" s="6"/>
      <c r="J80" s="6"/>
      <c r="K80" s="6"/>
      <c r="L80" s="6"/>
      <c r="M80" s="6"/>
      <c r="AC80" s="6"/>
      <c r="AD80" s="6"/>
      <c r="AE80" s="6"/>
      <c r="AF80" s="6"/>
      <c r="AG80" s="6"/>
      <c r="AH80" s="6"/>
      <c r="AI80" s="6"/>
      <c r="AJ80" s="6"/>
      <c r="AK80" s="6"/>
      <c r="AL80" s="6"/>
      <c r="AM80" s="6"/>
      <c r="AN80" s="6"/>
      <c r="AO80" s="6"/>
      <c r="AP80" s="6"/>
      <c r="AQ80" s="6"/>
    </row>
    <row r="81" spans="2:43">
      <c r="B81" s="731" t="s">
        <v>1135</v>
      </c>
      <c r="C81" s="734">
        <v>1100</v>
      </c>
      <c r="D81" s="6"/>
      <c r="E81" s="6"/>
      <c r="F81" s="6"/>
      <c r="G81" s="6"/>
      <c r="H81" s="6"/>
      <c r="I81" s="6"/>
      <c r="J81" s="6"/>
      <c r="K81" s="6"/>
      <c r="L81" s="6"/>
      <c r="M81" s="6"/>
      <c r="AC81" s="6"/>
      <c r="AD81" s="6"/>
      <c r="AE81" s="6"/>
      <c r="AF81" s="6"/>
      <c r="AG81" s="6"/>
      <c r="AH81" s="6"/>
      <c r="AI81" s="6"/>
      <c r="AJ81" s="6"/>
      <c r="AK81" s="6"/>
      <c r="AL81" s="6"/>
      <c r="AM81" s="6"/>
      <c r="AN81" s="6"/>
      <c r="AO81" s="6"/>
      <c r="AP81" s="6"/>
      <c r="AQ81" s="6"/>
    </row>
    <row r="82" spans="2:43" s="6" customFormat="1"/>
    <row r="83" spans="2:43" s="6" customFormat="1"/>
    <row r="84" spans="2:43" s="6" customFormat="1"/>
    <row r="85" spans="2:43" s="6" customFormat="1"/>
    <row r="86" spans="2:43" s="6" customFormat="1"/>
    <row r="87" spans="2:43" s="6" customFormat="1"/>
    <row r="88" spans="2:43" s="6" customFormat="1"/>
    <row r="89" spans="2:43" s="6" customFormat="1"/>
    <row r="90" spans="2:43" s="6" customFormat="1"/>
    <row r="91" spans="2:43" s="6" customFormat="1"/>
    <row r="92" spans="2:43" s="6" customFormat="1"/>
    <row r="93" spans="2:43" s="6" customFormat="1"/>
    <row r="94" spans="2:43" s="6" customFormat="1"/>
    <row r="95" spans="2:43" s="6" customFormat="1"/>
    <row r="96" spans="2:43" s="6" customFormat="1"/>
    <row r="97" s="6" customFormat="1"/>
    <row r="98" s="6" customFormat="1"/>
    <row r="99" s="6" customFormat="1"/>
    <row r="100" s="6" customFormat="1"/>
    <row r="101" s="6" customFormat="1"/>
    <row r="102" s="6" customFormat="1"/>
    <row r="103" s="6" customFormat="1"/>
  </sheetData>
  <mergeCells count="75">
    <mergeCell ref="E52:F52"/>
    <mergeCell ref="B35:C35"/>
    <mergeCell ref="B50:C50"/>
    <mergeCell ref="L5:M6"/>
    <mergeCell ref="B5:B6"/>
    <mergeCell ref="C5:D6"/>
    <mergeCell ref="E5:I6"/>
    <mergeCell ref="J5:J6"/>
    <mergeCell ref="K5:K6"/>
    <mergeCell ref="B7:M7"/>
    <mergeCell ref="B8:B12"/>
    <mergeCell ref="C8:D9"/>
    <mergeCell ref="E8:G8"/>
    <mergeCell ref="H8:I8"/>
    <mergeCell ref="L8:L9"/>
    <mergeCell ref="M8:M9"/>
    <mergeCell ref="E9:F9"/>
    <mergeCell ref="C10:D10"/>
    <mergeCell ref="E10:F10"/>
    <mergeCell ref="J10:J12"/>
    <mergeCell ref="K10:K12"/>
    <mergeCell ref="C11:D11"/>
    <mergeCell ref="E11:F11"/>
    <mergeCell ref="C12:D12"/>
    <mergeCell ref="E12:F12"/>
    <mergeCell ref="H9:I9"/>
    <mergeCell ref="H10:I10"/>
    <mergeCell ref="H11:I11"/>
    <mergeCell ref="H12:I12"/>
    <mergeCell ref="B13:M13"/>
    <mergeCell ref="B14:B15"/>
    <mergeCell ref="C14:D14"/>
    <mergeCell ref="E14:I14"/>
    <mergeCell ref="J14:J15"/>
    <mergeCell ref="K14:K15"/>
    <mergeCell ref="L14:M15"/>
    <mergeCell ref="C15:D15"/>
    <mergeCell ref="E15:I15"/>
    <mergeCell ref="C32:D32"/>
    <mergeCell ref="B16:M16"/>
    <mergeCell ref="B17:B18"/>
    <mergeCell ref="C17:D17"/>
    <mergeCell ref="E17:I17"/>
    <mergeCell ref="J17:J18"/>
    <mergeCell ref="K17:K18"/>
    <mergeCell ref="L17:M18"/>
    <mergeCell ref="C18:D18"/>
    <mergeCell ref="E18:I18"/>
    <mergeCell ref="J21:J26"/>
    <mergeCell ref="K20:K32"/>
    <mergeCell ref="L20:M32"/>
    <mergeCell ref="E27:I27"/>
    <mergeCell ref="E28:I28"/>
    <mergeCell ref="E29:I29"/>
    <mergeCell ref="J31:J32"/>
    <mergeCell ref="J28:J29"/>
    <mergeCell ref="E30:I30"/>
    <mergeCell ref="E31:I31"/>
    <mergeCell ref="E32:I32"/>
    <mergeCell ref="B4:M4"/>
    <mergeCell ref="B34:M34"/>
    <mergeCell ref="C22:D22"/>
    <mergeCell ref="C29:D29"/>
    <mergeCell ref="C30:D30"/>
    <mergeCell ref="C31:D31"/>
    <mergeCell ref="C27:D27"/>
    <mergeCell ref="C28:D28"/>
    <mergeCell ref="C23:D23"/>
    <mergeCell ref="C24:D24"/>
    <mergeCell ref="C25:D25"/>
    <mergeCell ref="C26:D26"/>
    <mergeCell ref="B19:M19"/>
    <mergeCell ref="B20:B32"/>
    <mergeCell ref="C20:D20"/>
    <mergeCell ref="C21:D2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3C79-C80B-4D57-A04F-3FF90061D54C}">
  <sheetPr codeName="Feuil101">
    <tabColor theme="0"/>
  </sheetPr>
  <dimension ref="A1:R185"/>
  <sheetViews>
    <sheetView workbookViewId="0">
      <selection activeCell="F57" sqref="F57"/>
    </sheetView>
  </sheetViews>
  <sheetFormatPr baseColWidth="10" defaultColWidth="11.44140625" defaultRowHeight="14.4"/>
  <cols>
    <col min="1" max="1" width="4" style="6" customWidth="1"/>
    <col min="2" max="2" width="20.21875" style="6" customWidth="1"/>
    <col min="3" max="3" width="43.77734375" customWidth="1"/>
    <col min="4" max="4" width="5.77734375" style="6" customWidth="1"/>
    <col min="5" max="5" width="27.5546875" customWidth="1"/>
    <col min="6" max="6" width="5.77734375" style="6" customWidth="1"/>
    <col min="7" max="7" width="21.21875" style="6" customWidth="1"/>
    <col min="8" max="8" width="28.21875" customWidth="1"/>
    <col min="9" max="9" width="22.77734375" customWidth="1"/>
    <col min="10" max="10" width="24.44140625" customWidth="1"/>
  </cols>
  <sheetData>
    <row r="1" spans="2:5" s="6" customFormat="1"/>
    <row r="2" spans="2:5" s="6" customFormat="1" ht="36.6">
      <c r="B2" s="1835" t="s">
        <v>1148</v>
      </c>
      <c r="C2" s="1835"/>
    </row>
    <row r="3" spans="2:5" s="454" customFormat="1" ht="14.25" customHeight="1">
      <c r="B3" s="861"/>
      <c r="C3" s="861"/>
    </row>
    <row r="4" spans="2:5" s="454" customFormat="1" ht="14.25" customHeight="1">
      <c r="B4" s="862" t="s">
        <v>1339</v>
      </c>
      <c r="C4" s="861"/>
    </row>
    <row r="5" spans="2:5" s="454" customFormat="1" ht="14.25" customHeight="1">
      <c r="B5" s="862"/>
      <c r="C5" s="861"/>
    </row>
    <row r="6" spans="2:5" s="454" customFormat="1" ht="14.25" customHeight="1">
      <c r="B6" s="862"/>
      <c r="C6" s="6" t="s">
        <v>1340</v>
      </c>
    </row>
    <row r="7" spans="2:5" s="454" customFormat="1" ht="14.25" customHeight="1">
      <c r="B7" s="862"/>
      <c r="C7" s="1006" t="s">
        <v>1457</v>
      </c>
    </row>
    <row r="8" spans="2:5" s="454" customFormat="1" ht="14.25" customHeight="1">
      <c r="B8" s="861"/>
      <c r="C8" s="760" t="s">
        <v>1458</v>
      </c>
    </row>
    <row r="9" spans="2:5" s="454" customFormat="1" ht="14.25" customHeight="1">
      <c r="B9" s="861"/>
      <c r="C9" s="761" t="s">
        <v>1459</v>
      </c>
    </row>
    <row r="10" spans="2:5" s="454" customFormat="1" ht="14.25" customHeight="1">
      <c r="B10" s="861"/>
      <c r="C10" s="407"/>
    </row>
    <row r="11" spans="2:5" s="454" customFormat="1" ht="14.25" customHeight="1">
      <c r="B11" s="862" t="s">
        <v>1338</v>
      </c>
      <c r="C11" s="861"/>
    </row>
    <row r="12" spans="2:5" s="454" customFormat="1" ht="14.25" customHeight="1">
      <c r="B12" s="862"/>
      <c r="C12" s="861"/>
    </row>
    <row r="13" spans="2:5" s="454" customFormat="1" ht="14.25" customHeight="1">
      <c r="B13" s="862"/>
      <c r="C13" s="863" t="s">
        <v>19</v>
      </c>
      <c r="E13" s="863" t="s">
        <v>1400</v>
      </c>
    </row>
    <row r="14" spans="2:5" s="454" customFormat="1" ht="14.25" customHeight="1">
      <c r="B14" s="862"/>
      <c r="C14" s="1006" t="s">
        <v>1457</v>
      </c>
      <c r="E14" s="1006" t="s">
        <v>1464</v>
      </c>
    </row>
    <row r="15" spans="2:5" s="454" customFormat="1" ht="14.25" customHeight="1">
      <c r="B15" s="862"/>
      <c r="C15" s="760" t="s">
        <v>1529</v>
      </c>
      <c r="E15" s="760" t="s">
        <v>1465</v>
      </c>
    </row>
    <row r="16" spans="2:5" s="454" customFormat="1" ht="14.25" customHeight="1">
      <c r="B16" s="862"/>
      <c r="C16" s="760" t="s">
        <v>1460</v>
      </c>
      <c r="E16" s="760" t="s">
        <v>1466</v>
      </c>
    </row>
    <row r="17" spans="2:5" s="454" customFormat="1" ht="14.25" customHeight="1">
      <c r="B17" s="862"/>
      <c r="C17" s="760" t="s">
        <v>1590</v>
      </c>
      <c r="E17" s="760" t="s">
        <v>1467</v>
      </c>
    </row>
    <row r="18" spans="2:5" s="454" customFormat="1" ht="14.25" customHeight="1">
      <c r="B18" s="862"/>
      <c r="C18" s="1007" t="s">
        <v>1461</v>
      </c>
      <c r="E18" s="760" t="s">
        <v>1468</v>
      </c>
    </row>
    <row r="19" spans="2:5" s="454" customFormat="1" ht="14.25" customHeight="1">
      <c r="B19" s="862"/>
      <c r="C19" s="1007" t="s">
        <v>1462</v>
      </c>
      <c r="E19" s="760" t="s">
        <v>1469</v>
      </c>
    </row>
    <row r="20" spans="2:5" s="454" customFormat="1" ht="14.25" customHeight="1">
      <c r="B20" s="862"/>
      <c r="C20" s="884" t="s">
        <v>1463</v>
      </c>
      <c r="E20" s="761"/>
    </row>
    <row r="21" spans="2:5" s="454" customFormat="1" ht="14.25" customHeight="1">
      <c r="B21" s="862"/>
      <c r="C21" s="861"/>
    </row>
    <row r="22" spans="2:5" s="6" customFormat="1">
      <c r="B22" s="753" t="s">
        <v>1203</v>
      </c>
      <c r="C22" s="6" t="s">
        <v>1258</v>
      </c>
    </row>
    <row r="23" spans="2:5" s="6" customFormat="1">
      <c r="B23" s="753"/>
      <c r="C23" s="754" t="s">
        <v>1457</v>
      </c>
    </row>
    <row r="24" spans="2:5" s="6" customFormat="1">
      <c r="B24" s="753"/>
      <c r="C24" s="755" t="s">
        <v>1470</v>
      </c>
    </row>
    <row r="25" spans="2:5" s="6" customFormat="1">
      <c r="B25" s="753"/>
      <c r="C25" s="756" t="s">
        <v>1471</v>
      </c>
    </row>
    <row r="26" spans="2:5" s="6" customFormat="1">
      <c r="B26" s="790" t="s">
        <v>254</v>
      </c>
      <c r="C26" s="328" t="str">
        <f>'3c. Calculator EEM 2-3'!G13</f>
        <v>Hot Water</v>
      </c>
    </row>
    <row r="27" spans="2:5" s="6" customFormat="1">
      <c r="B27" s="1009" t="s">
        <v>243</v>
      </c>
      <c r="C27" s="978"/>
    </row>
    <row r="28" spans="2:5" s="6" customFormat="1">
      <c r="B28" s="978"/>
      <c r="C28" s="1014" t="s">
        <v>244</v>
      </c>
    </row>
    <row r="29" spans="2:5" s="6" customFormat="1">
      <c r="B29" s="978"/>
      <c r="C29" s="1008" t="s">
        <v>1457</v>
      </c>
    </row>
    <row r="30" spans="2:5" s="6" customFormat="1">
      <c r="B30" s="978"/>
      <c r="C30" s="1015" t="s">
        <v>1472</v>
      </c>
    </row>
    <row r="31" spans="2:5" s="6" customFormat="1">
      <c r="B31" s="978"/>
      <c r="C31" s="1016" t="s">
        <v>1473</v>
      </c>
    </row>
    <row r="32" spans="2:5" s="6" customFormat="1">
      <c r="B32" s="978"/>
      <c r="C32" s="1010"/>
    </row>
    <row r="33" spans="2:5" s="6" customFormat="1">
      <c r="B33" s="1009" t="s">
        <v>1083</v>
      </c>
      <c r="C33" s="1010"/>
    </row>
    <row r="34" spans="2:5" s="6" customFormat="1">
      <c r="B34" s="978"/>
      <c r="C34" s="978" t="s">
        <v>1083</v>
      </c>
    </row>
    <row r="35" spans="2:5" s="6" customFormat="1">
      <c r="B35" s="978"/>
      <c r="C35" s="1011" t="s">
        <v>1457</v>
      </c>
    </row>
    <row r="36" spans="2:5" s="6" customFormat="1">
      <c r="B36" s="978"/>
      <c r="C36" s="1012" t="s">
        <v>1458</v>
      </c>
    </row>
    <row r="37" spans="2:5" s="6" customFormat="1">
      <c r="B37" s="978"/>
      <c r="C37" s="1013" t="s">
        <v>1459</v>
      </c>
    </row>
    <row r="38" spans="2:5" s="6" customFormat="1"/>
    <row r="39" spans="2:5" s="6" customFormat="1">
      <c r="B39" s="753" t="s">
        <v>393</v>
      </c>
    </row>
    <row r="40" spans="2:5" s="6" customFormat="1">
      <c r="C40" s="978" t="s">
        <v>1287</v>
      </c>
      <c r="E40" s="6" t="s">
        <v>1288</v>
      </c>
    </row>
    <row r="41" spans="2:5" s="6" customFormat="1">
      <c r="B41" s="753"/>
      <c r="C41" s="1008" t="s">
        <v>1457</v>
      </c>
      <c r="E41" s="830" t="s">
        <v>1457</v>
      </c>
    </row>
    <row r="42" spans="2:5" s="6" customFormat="1">
      <c r="B42" s="753"/>
      <c r="C42" s="1015" t="s">
        <v>1474</v>
      </c>
      <c r="E42" s="831" t="s">
        <v>1474</v>
      </c>
    </row>
    <row r="43" spans="2:5" s="6" customFormat="1">
      <c r="B43" s="753"/>
      <c r="C43" s="1013" t="s">
        <v>1475</v>
      </c>
      <c r="E43" s="832" t="s">
        <v>1475</v>
      </c>
    </row>
    <row r="44" spans="2:5" s="6" customFormat="1">
      <c r="B44" s="753"/>
      <c r="E44" s="756" t="s">
        <v>1476</v>
      </c>
    </row>
    <row r="45" spans="2:5" s="6" customFormat="1">
      <c r="B45" s="753"/>
      <c r="C45" s="407"/>
    </row>
    <row r="46" spans="2:5" s="6" customFormat="1">
      <c r="B46" s="753" t="s">
        <v>1210</v>
      </c>
      <c r="C46" s="6" t="s">
        <v>1204</v>
      </c>
    </row>
    <row r="47" spans="2:5" s="6" customFormat="1">
      <c r="B47" s="753"/>
      <c r="C47" s="754" t="s">
        <v>1457</v>
      </c>
    </row>
    <row r="48" spans="2:5" s="6" customFormat="1">
      <c r="B48" s="753"/>
      <c r="C48" s="755" t="s">
        <v>1477</v>
      </c>
    </row>
    <row r="49" spans="2:18" s="6" customFormat="1">
      <c r="B49" s="753"/>
      <c r="C49" s="756" t="s">
        <v>1478</v>
      </c>
    </row>
    <row r="50" spans="2:18" s="6" customFormat="1" ht="28.8">
      <c r="B50" s="762" t="s">
        <v>762</v>
      </c>
    </row>
    <row r="51" spans="2:18" s="6" customFormat="1">
      <c r="C51" s="455" t="s">
        <v>236</v>
      </c>
    </row>
    <row r="52" spans="2:18" s="6" customFormat="1">
      <c r="C52" s="754" t="s">
        <v>1457</v>
      </c>
    </row>
    <row r="53" spans="2:18" s="6" customFormat="1">
      <c r="C53" s="757" t="s">
        <v>14</v>
      </c>
    </row>
    <row r="54" spans="2:18" s="6" customFormat="1">
      <c r="C54" s="757" t="s">
        <v>1679</v>
      </c>
    </row>
    <row r="55" spans="2:18" s="6" customFormat="1">
      <c r="C55" s="158" t="s">
        <v>1680</v>
      </c>
    </row>
    <row r="56" spans="2:18" s="6" customFormat="1"/>
    <row r="57" spans="2:18" s="6" customFormat="1">
      <c r="B57" s="759" t="s">
        <v>22</v>
      </c>
      <c r="C57" s="407"/>
      <c r="E57" s="407"/>
    </row>
    <row r="58" spans="2:18" s="6" customFormat="1">
      <c r="C58" s="6" t="s">
        <v>926</v>
      </c>
    </row>
    <row r="59" spans="2:18">
      <c r="C59" s="754" t="s">
        <v>1457</v>
      </c>
      <c r="E59" s="6"/>
      <c r="H59" s="6"/>
      <c r="I59" s="6"/>
      <c r="J59" s="6"/>
      <c r="K59" s="6"/>
      <c r="L59" s="6"/>
      <c r="M59" s="6"/>
      <c r="N59" s="6"/>
      <c r="O59" s="6"/>
      <c r="P59" s="6"/>
      <c r="Q59" s="6"/>
      <c r="R59" s="6"/>
    </row>
    <row r="60" spans="2:18">
      <c r="C60" s="755" t="s">
        <v>1481</v>
      </c>
      <c r="E60" s="6"/>
      <c r="H60" s="6"/>
      <c r="I60" s="6"/>
      <c r="J60" s="6"/>
      <c r="K60" s="6"/>
      <c r="L60" s="6"/>
      <c r="M60" s="6"/>
      <c r="N60" s="6"/>
      <c r="O60" s="6"/>
      <c r="P60" s="6"/>
      <c r="Q60" s="6"/>
      <c r="R60" s="6"/>
    </row>
    <row r="61" spans="2:18">
      <c r="C61" s="756" t="s">
        <v>1482</v>
      </c>
      <c r="E61" s="6"/>
      <c r="H61" s="6"/>
      <c r="I61" s="6"/>
      <c r="J61" s="6"/>
      <c r="K61" s="6"/>
      <c r="L61" s="6"/>
      <c r="M61" s="6"/>
      <c r="N61" s="6"/>
      <c r="O61" s="6"/>
      <c r="P61" s="6"/>
      <c r="Q61" s="6"/>
      <c r="R61" s="6"/>
    </row>
    <row r="62" spans="2:18">
      <c r="C62" s="6"/>
      <c r="E62" s="6"/>
      <c r="H62" s="6"/>
      <c r="I62" s="6"/>
      <c r="J62" s="6"/>
      <c r="K62" s="6"/>
      <c r="L62" s="6"/>
      <c r="M62" s="6"/>
      <c r="N62" s="6"/>
      <c r="O62" s="6"/>
      <c r="P62" s="6"/>
      <c r="Q62" s="6"/>
      <c r="R62" s="6"/>
    </row>
    <row r="63" spans="2:18">
      <c r="C63" s="455" t="s">
        <v>238</v>
      </c>
      <c r="E63" s="6"/>
      <c r="H63" s="6"/>
      <c r="I63" s="6"/>
      <c r="J63" s="6"/>
      <c r="K63" s="6"/>
      <c r="L63" s="6"/>
      <c r="M63" s="6"/>
      <c r="N63" s="6"/>
      <c r="O63" s="6"/>
      <c r="P63" s="6"/>
      <c r="Q63" s="6"/>
      <c r="R63" s="6"/>
    </row>
    <row r="64" spans="2:18">
      <c r="C64" s="754" t="s">
        <v>1457</v>
      </c>
      <c r="E64" s="6"/>
      <c r="H64" s="6"/>
      <c r="I64" s="6"/>
      <c r="J64" s="6"/>
      <c r="K64" s="6"/>
      <c r="L64" s="6"/>
      <c r="M64" s="6"/>
      <c r="N64" s="6"/>
      <c r="O64" s="6"/>
      <c r="P64" s="6"/>
      <c r="Q64" s="6"/>
      <c r="R64" s="6"/>
    </row>
    <row r="65" spans="3:18">
      <c r="C65" s="757" t="s">
        <v>1658</v>
      </c>
      <c r="E65" s="6"/>
      <c r="H65" s="6"/>
      <c r="I65" s="6"/>
      <c r="J65" s="6"/>
      <c r="K65" s="6"/>
      <c r="L65" s="6"/>
      <c r="M65" s="6"/>
      <c r="N65" s="6"/>
      <c r="O65" s="6"/>
      <c r="P65" s="6"/>
      <c r="Q65" s="6"/>
      <c r="R65" s="6"/>
    </row>
    <row r="66" spans="3:18">
      <c r="C66" s="757" t="s">
        <v>1659</v>
      </c>
      <c r="E66" s="6"/>
      <c r="H66" s="6"/>
      <c r="I66" s="6"/>
      <c r="J66" s="6"/>
      <c r="K66" s="6"/>
      <c r="L66" s="6"/>
      <c r="M66" s="6"/>
      <c r="N66" s="6"/>
      <c r="O66" s="6"/>
      <c r="P66" s="6"/>
      <c r="Q66" s="6"/>
      <c r="R66" s="6"/>
    </row>
    <row r="67" spans="3:18" s="6" customFormat="1">
      <c r="C67" s="757" t="s">
        <v>1660</v>
      </c>
    </row>
    <row r="68" spans="3:18" s="6" customFormat="1">
      <c r="C68" s="757" t="s">
        <v>1661</v>
      </c>
    </row>
    <row r="69" spans="3:18" s="6" customFormat="1">
      <c r="C69" s="757" t="s">
        <v>1487</v>
      </c>
    </row>
    <row r="70" spans="3:18" s="6" customFormat="1">
      <c r="C70" s="158" t="s">
        <v>1488</v>
      </c>
    </row>
    <row r="71" spans="3:18" s="6" customFormat="1"/>
    <row r="72" spans="3:18" s="6" customFormat="1">
      <c r="C72" s="6" t="s">
        <v>1163</v>
      </c>
    </row>
    <row r="73" spans="3:18" s="6" customFormat="1">
      <c r="C73" s="1006" t="s">
        <v>1457</v>
      </c>
    </row>
    <row r="74" spans="3:18" s="6" customFormat="1">
      <c r="C74" s="760" t="s">
        <v>1458</v>
      </c>
    </row>
    <row r="75" spans="3:18" s="6" customFormat="1">
      <c r="C75" s="761" t="s">
        <v>1459</v>
      </c>
    </row>
    <row r="76" spans="3:18" s="6" customFormat="1"/>
    <row r="77" spans="3:18" s="6" customFormat="1"/>
    <row r="78" spans="3:18" s="6" customFormat="1"/>
    <row r="79" spans="3:18" s="6" customFormat="1"/>
    <row r="80" spans="3:18"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sheetData>
  <mergeCells count="1">
    <mergeCell ref="B2:C2"/>
  </mergeCells>
  <phoneticPr fontId="65"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7B4B-4F61-4BB2-97DE-A3CB5B16B573}">
  <sheetPr codeName="Feuil3">
    <tabColor theme="0"/>
  </sheetPr>
  <dimension ref="A1:AE63"/>
  <sheetViews>
    <sheetView workbookViewId="0"/>
  </sheetViews>
  <sheetFormatPr baseColWidth="10" defaultColWidth="11.5546875" defaultRowHeight="14.4"/>
  <cols>
    <col min="1" max="1" width="5" customWidth="1"/>
    <col min="2" max="2" width="15.77734375" customWidth="1"/>
    <col min="4" max="4" width="19.5546875" customWidth="1"/>
    <col min="5" max="5" width="65.77734375" customWidth="1"/>
    <col min="11" max="11" width="27.44140625" customWidth="1"/>
  </cols>
  <sheetData>
    <row r="1" spans="2:16" s="394" customFormat="1"/>
    <row r="2" spans="2:16" s="394" customFormat="1" ht="36.6">
      <c r="B2" s="395" t="s">
        <v>1362</v>
      </c>
    </row>
    <row r="3" spans="2:16" s="394" customFormat="1"/>
    <row r="4" spans="2:16" s="394" customFormat="1">
      <c r="B4" s="401"/>
      <c r="C4" s="397"/>
      <c r="D4" s="396"/>
      <c r="E4" s="396"/>
      <c r="F4" s="396"/>
      <c r="G4" s="396"/>
      <c r="H4" s="396"/>
      <c r="I4" s="396"/>
      <c r="J4" s="396"/>
      <c r="K4" s="396"/>
      <c r="L4" s="396"/>
      <c r="M4" s="396"/>
      <c r="N4" s="396"/>
      <c r="O4" s="396"/>
      <c r="P4" s="443"/>
    </row>
    <row r="5" spans="2:16" s="394" customFormat="1">
      <c r="B5" s="403" t="s">
        <v>1007</v>
      </c>
      <c r="C5" s="397"/>
      <c r="D5" s="396"/>
      <c r="E5" s="396"/>
      <c r="F5" s="396"/>
      <c r="G5" s="396"/>
      <c r="H5" s="396"/>
      <c r="I5" s="396"/>
      <c r="J5" s="396"/>
      <c r="K5" s="396"/>
      <c r="L5" s="396"/>
      <c r="M5" s="396"/>
      <c r="N5" s="396"/>
      <c r="O5" s="396"/>
      <c r="P5" s="443"/>
    </row>
    <row r="6" spans="2:16" s="394" customFormat="1">
      <c r="B6" s="396"/>
      <c r="C6" s="396"/>
      <c r="D6" s="396"/>
      <c r="E6" s="396"/>
      <c r="F6" s="396"/>
      <c r="G6" s="396"/>
      <c r="H6" s="396"/>
      <c r="I6" s="396"/>
      <c r="J6" s="396"/>
      <c r="K6" s="396"/>
      <c r="L6" s="396"/>
      <c r="M6" s="396"/>
      <c r="N6" s="396"/>
      <c r="O6" s="396"/>
      <c r="P6" s="443"/>
    </row>
    <row r="7" spans="2:16" s="394" customFormat="1"/>
    <row r="8" spans="2:16" s="394" customFormat="1" ht="18">
      <c r="B8" s="400" t="s">
        <v>1037</v>
      </c>
      <c r="C8" s="398" t="s">
        <v>1008</v>
      </c>
      <c r="D8" s="6"/>
      <c r="E8" s="398" t="s">
        <v>1033</v>
      </c>
      <c r="L8" s="724" t="s">
        <v>1067</v>
      </c>
      <c r="M8" s="717"/>
      <c r="N8" s="718"/>
      <c r="O8" s="718"/>
      <c r="P8" s="719"/>
    </row>
    <row r="9" spans="2:16" s="394" customFormat="1" ht="6" customHeight="1">
      <c r="B9" s="399"/>
      <c r="C9" s="6"/>
      <c r="D9" s="6"/>
      <c r="L9" s="720"/>
      <c r="P9" s="721"/>
    </row>
    <row r="10" spans="2:16" s="394" customFormat="1">
      <c r="B10" s="407" t="s">
        <v>1038</v>
      </c>
      <c r="C10" s="6" t="s">
        <v>1195</v>
      </c>
      <c r="D10" s="6"/>
      <c r="E10" s="394" t="s">
        <v>1196</v>
      </c>
      <c r="L10" s="712" t="s">
        <v>1038</v>
      </c>
      <c r="M10" s="6" t="s">
        <v>1061</v>
      </c>
      <c r="P10" s="721"/>
    </row>
    <row r="11" spans="2:16" s="394" customFormat="1">
      <c r="B11" s="407" t="s">
        <v>1038</v>
      </c>
      <c r="C11" s="6" t="s">
        <v>1359</v>
      </c>
      <c r="D11" s="6"/>
      <c r="E11" s="394" t="s">
        <v>1367</v>
      </c>
      <c r="L11" s="712" t="s">
        <v>1065</v>
      </c>
      <c r="M11" s="6" t="s">
        <v>1062</v>
      </c>
      <c r="P11" s="721"/>
    </row>
    <row r="12" spans="2:16" s="394" customFormat="1">
      <c r="B12" s="407" t="s">
        <v>1038</v>
      </c>
      <c r="C12" s="6" t="s">
        <v>1336</v>
      </c>
      <c r="D12" s="6"/>
      <c r="E12" s="394" t="s">
        <v>1368</v>
      </c>
      <c r="L12" s="712" t="s">
        <v>71</v>
      </c>
      <c r="M12" s="6" t="s">
        <v>1063</v>
      </c>
      <c r="P12" s="721"/>
    </row>
    <row r="13" spans="2:16" s="394" customFormat="1">
      <c r="B13" s="407" t="s">
        <v>1038</v>
      </c>
      <c r="C13" s="6" t="s">
        <v>1360</v>
      </c>
      <c r="D13" s="6"/>
      <c r="E13" s="394" t="s">
        <v>1361</v>
      </c>
      <c r="L13" s="713" t="s">
        <v>1039</v>
      </c>
      <c r="M13" s="575" t="s">
        <v>1064</v>
      </c>
      <c r="N13" s="722"/>
      <c r="O13" s="722"/>
      <c r="P13" s="723"/>
    </row>
    <row r="14" spans="2:16" s="394" customFormat="1">
      <c r="B14" s="716" t="s">
        <v>1039</v>
      </c>
      <c r="C14" s="6" t="s">
        <v>1363</v>
      </c>
      <c r="D14" s="6"/>
      <c r="E14" s="394" t="s">
        <v>1034</v>
      </c>
      <c r="L14" s="6"/>
      <c r="M14" s="6"/>
    </row>
    <row r="15" spans="2:16" s="394" customFormat="1">
      <c r="B15" s="716" t="s">
        <v>71</v>
      </c>
      <c r="C15" s="6" t="s">
        <v>1364</v>
      </c>
      <c r="D15" s="6"/>
      <c r="E15" s="394" t="s">
        <v>1369</v>
      </c>
    </row>
    <row r="16" spans="2:16" s="394" customFormat="1">
      <c r="B16" s="716" t="s">
        <v>1371</v>
      </c>
      <c r="C16" s="6" t="s">
        <v>1365</v>
      </c>
      <c r="D16" s="6"/>
      <c r="E16" s="394" t="s">
        <v>1370</v>
      </c>
    </row>
    <row r="17" spans="1:31" s="6" customFormat="1">
      <c r="A17" s="394"/>
      <c r="B17" s="716" t="s">
        <v>1038</v>
      </c>
      <c r="C17" s="6" t="s">
        <v>1027</v>
      </c>
      <c r="E17" s="6" t="s">
        <v>1055</v>
      </c>
      <c r="F17" s="394"/>
      <c r="G17" s="394"/>
      <c r="H17" s="394"/>
      <c r="I17" s="394"/>
      <c r="J17" s="394"/>
      <c r="K17" s="394"/>
    </row>
    <row r="18" spans="1:31" s="6" customFormat="1">
      <c r="B18" s="716" t="s">
        <v>1038</v>
      </c>
      <c r="C18" s="6" t="s">
        <v>1032</v>
      </c>
      <c r="E18" s="6" t="s">
        <v>1060</v>
      </c>
      <c r="F18" s="394"/>
      <c r="G18" s="394"/>
      <c r="H18" s="394"/>
      <c r="I18" s="394"/>
      <c r="J18" s="394"/>
      <c r="K18" s="394"/>
    </row>
    <row r="19" spans="1:31" s="6" customFormat="1">
      <c r="B19" s="716" t="s">
        <v>1038</v>
      </c>
      <c r="C19" s="6" t="s">
        <v>1362</v>
      </c>
      <c r="E19" s="6" t="s">
        <v>1366</v>
      </c>
      <c r="F19" s="394"/>
      <c r="G19" s="394"/>
      <c r="H19" s="394"/>
      <c r="I19" s="394"/>
      <c r="J19" s="394"/>
      <c r="K19" s="394"/>
    </row>
    <row r="20" spans="1:31" s="6" customFormat="1">
      <c r="B20" s="716" t="s">
        <v>1038</v>
      </c>
      <c r="C20" s="6" t="s">
        <v>440</v>
      </c>
      <c r="E20" s="394" t="s">
        <v>1035</v>
      </c>
      <c r="F20" s="394"/>
      <c r="G20" s="394"/>
      <c r="H20" s="394"/>
      <c r="I20" s="394"/>
      <c r="J20" s="394"/>
      <c r="K20" s="394"/>
    </row>
    <row r="21" spans="1:31" s="6" customFormat="1">
      <c r="B21" s="716" t="s">
        <v>1039</v>
      </c>
      <c r="C21" s="6" t="s">
        <v>258</v>
      </c>
      <c r="E21" s="394" t="s">
        <v>1036</v>
      </c>
      <c r="F21" s="394"/>
      <c r="G21" s="394"/>
      <c r="H21" s="394"/>
      <c r="I21" s="394"/>
      <c r="J21" s="394"/>
      <c r="K21" s="394"/>
      <c r="L21" s="6" t="str">
        <f t="shared" ref="L21:W21" si="0">SUBSTITUTE(L20,"[167823_Calculateur optimisation des chaufferies_20230726.xlsx]","")</f>
        <v/>
      </c>
      <c r="M21" s="6" t="str">
        <f t="shared" si="0"/>
        <v/>
      </c>
      <c r="N21" s="6" t="str">
        <f t="shared" si="0"/>
        <v/>
      </c>
      <c r="O21" s="6" t="str">
        <f t="shared" si="0"/>
        <v/>
      </c>
      <c r="P21" s="6" t="str">
        <f t="shared" si="0"/>
        <v/>
      </c>
      <c r="Q21" s="6" t="str">
        <f t="shared" si="0"/>
        <v/>
      </c>
      <c r="R21" s="6" t="str">
        <f t="shared" si="0"/>
        <v/>
      </c>
      <c r="S21" s="6" t="str">
        <f t="shared" si="0"/>
        <v/>
      </c>
      <c r="T21" s="6" t="str">
        <f t="shared" si="0"/>
        <v/>
      </c>
      <c r="U21" s="6" t="str">
        <f t="shared" si="0"/>
        <v/>
      </c>
      <c r="V21" s="6" t="str">
        <f t="shared" si="0"/>
        <v/>
      </c>
      <c r="W21" s="6" t="str">
        <f t="shared" si="0"/>
        <v/>
      </c>
      <c r="X21" s="6" t="str">
        <f>SUBSTITUTE(X20,"[167823_Calculateur optimisation des chaufferies_20230726.xlsx]","")</f>
        <v/>
      </c>
      <c r="Y21" s="6" t="str">
        <f t="shared" ref="Y21" si="1">SUBSTITUTE(Y20,"[167823_Calculateur optimisation des chaufferies_20230726.xlsx]","")</f>
        <v/>
      </c>
      <c r="Z21" s="6" t="str">
        <f t="shared" ref="Z21" si="2">SUBSTITUTE(Z20,"[167823_Calculateur optimisation des chaufferies_20230726.xlsx]","")</f>
        <v/>
      </c>
      <c r="AA21" s="6" t="str">
        <f t="shared" ref="AA21" si="3">SUBSTITUTE(AA20,"[167823_Calculateur optimisation des chaufferies_20230726.xlsx]","")</f>
        <v/>
      </c>
      <c r="AB21" s="6" t="str">
        <f t="shared" ref="AB21" si="4">SUBSTITUTE(AB20,"[167823_Calculateur optimisation des chaufferies_20230726.xlsx]","")</f>
        <v/>
      </c>
      <c r="AC21" s="6" t="str">
        <f t="shared" ref="AC21" si="5">SUBSTITUTE(AC20,"[167823_Calculateur optimisation des chaufferies_20230726.xlsx]","")</f>
        <v/>
      </c>
      <c r="AD21" s="6" t="str">
        <f t="shared" ref="AD21" si="6">SUBSTITUTE(AD20,"[167823_Calculateur optimisation des chaufferies_20230726.xlsx]","")</f>
        <v/>
      </c>
      <c r="AE21" s="6" t="str">
        <f t="shared" ref="AE21" si="7">SUBSTITUTE(AE20,"[167823_Calculateur optimisation des chaufferies_20230726.xlsx]","")</f>
        <v/>
      </c>
    </row>
    <row r="22" spans="1:31" s="6" customFormat="1">
      <c r="B22" s="716" t="s">
        <v>1039</v>
      </c>
      <c r="C22" s="399" t="s">
        <v>1009</v>
      </c>
      <c r="E22" s="715" t="s">
        <v>1211</v>
      </c>
      <c r="F22" s="394"/>
      <c r="G22" s="394"/>
      <c r="K22" s="394"/>
    </row>
    <row r="23" spans="1:31" s="6" customFormat="1">
      <c r="B23" s="716" t="s">
        <v>1039</v>
      </c>
      <c r="C23" s="399" t="s">
        <v>1010</v>
      </c>
      <c r="E23" s="715" t="s">
        <v>1213</v>
      </c>
    </row>
    <row r="24" spans="1:31" s="6" customFormat="1">
      <c r="B24" s="716" t="s">
        <v>1039</v>
      </c>
      <c r="C24" s="399" t="s">
        <v>1011</v>
      </c>
      <c r="E24" s="715" t="s">
        <v>1212</v>
      </c>
    </row>
    <row r="25" spans="1:31" s="6" customFormat="1">
      <c r="B25" s="716" t="s">
        <v>1039</v>
      </c>
      <c r="C25" s="714" t="s">
        <v>1012</v>
      </c>
      <c r="E25" s="714" t="s">
        <v>1040</v>
      </c>
    </row>
    <row r="26" spans="1:31" s="6" customFormat="1">
      <c r="B26" s="716" t="s">
        <v>1039</v>
      </c>
      <c r="C26" s="714" t="s">
        <v>1013</v>
      </c>
      <c r="E26" s="714" t="s">
        <v>1041</v>
      </c>
    </row>
    <row r="27" spans="1:31" s="6" customFormat="1">
      <c r="B27" s="716" t="s">
        <v>1066</v>
      </c>
      <c r="C27" s="6" t="s">
        <v>1014</v>
      </c>
      <c r="E27" s="6" t="s">
        <v>1042</v>
      </c>
    </row>
    <row r="28" spans="1:31" s="6" customFormat="1">
      <c r="B28" s="716" t="s">
        <v>1066</v>
      </c>
      <c r="C28" s="6" t="s">
        <v>1015</v>
      </c>
      <c r="E28" s="6" t="s">
        <v>1043</v>
      </c>
    </row>
    <row r="29" spans="1:31" s="6" customFormat="1">
      <c r="B29" s="716" t="s">
        <v>1066</v>
      </c>
      <c r="C29" s="714" t="s">
        <v>1016</v>
      </c>
      <c r="E29" s="714" t="s">
        <v>1044</v>
      </c>
    </row>
    <row r="30" spans="1:31" s="6" customFormat="1">
      <c r="B30" s="716" t="s">
        <v>1066</v>
      </c>
      <c r="C30" s="714" t="s">
        <v>1017</v>
      </c>
      <c r="E30" s="714" t="s">
        <v>1045</v>
      </c>
    </row>
    <row r="31" spans="1:31" s="6" customFormat="1">
      <c r="B31" s="716" t="s">
        <v>1066</v>
      </c>
      <c r="C31" s="714" t="s">
        <v>1018</v>
      </c>
      <c r="E31" s="714" t="s">
        <v>1046</v>
      </c>
    </row>
    <row r="32" spans="1:31" s="6" customFormat="1">
      <c r="B32" s="716" t="s">
        <v>1066</v>
      </c>
      <c r="C32" s="714" t="s">
        <v>1019</v>
      </c>
      <c r="E32" s="714" t="s">
        <v>1047</v>
      </c>
    </row>
    <row r="33" spans="2:5" s="6" customFormat="1">
      <c r="B33" s="716" t="s">
        <v>1065</v>
      </c>
      <c r="C33" s="399" t="s">
        <v>1020</v>
      </c>
      <c r="E33" s="399" t="s">
        <v>1048</v>
      </c>
    </row>
    <row r="34" spans="2:5" s="6" customFormat="1">
      <c r="B34" s="716" t="s">
        <v>1065</v>
      </c>
      <c r="C34" s="399" t="s">
        <v>1021</v>
      </c>
      <c r="E34" s="399" t="s">
        <v>1049</v>
      </c>
    </row>
    <row r="35" spans="2:5" s="6" customFormat="1">
      <c r="B35" s="716" t="s">
        <v>71</v>
      </c>
      <c r="C35" s="399" t="s">
        <v>1022</v>
      </c>
      <c r="E35" s="399" t="s">
        <v>1050</v>
      </c>
    </row>
    <row r="36" spans="2:5" s="6" customFormat="1">
      <c r="B36" s="716" t="s">
        <v>71</v>
      </c>
      <c r="C36" s="714" t="s">
        <v>1023</v>
      </c>
      <c r="E36" s="714" t="s">
        <v>1051</v>
      </c>
    </row>
    <row r="37" spans="2:5" s="6" customFormat="1">
      <c r="B37" s="716" t="s">
        <v>71</v>
      </c>
      <c r="C37" s="714" t="s">
        <v>1024</v>
      </c>
      <c r="E37" s="714" t="s">
        <v>1052</v>
      </c>
    </row>
    <row r="38" spans="2:5" s="6" customFormat="1">
      <c r="B38" s="716" t="s">
        <v>71</v>
      </c>
      <c r="C38" s="714" t="s">
        <v>1025</v>
      </c>
      <c r="E38" s="714" t="s">
        <v>1053</v>
      </c>
    </row>
    <row r="39" spans="2:5" s="6" customFormat="1">
      <c r="B39" s="716" t="s">
        <v>71</v>
      </c>
      <c r="C39" s="714" t="s">
        <v>1026</v>
      </c>
      <c r="E39" s="714" t="s">
        <v>1054</v>
      </c>
    </row>
    <row r="40" spans="2:5" s="6" customFormat="1">
      <c r="B40" s="716" t="s">
        <v>1066</v>
      </c>
      <c r="C40" s="6" t="s">
        <v>1028</v>
      </c>
      <c r="E40" s="6" t="s">
        <v>1056</v>
      </c>
    </row>
    <row r="41" spans="2:5" s="6" customFormat="1">
      <c r="B41" s="716" t="s">
        <v>1038</v>
      </c>
      <c r="C41" s="6" t="s">
        <v>1029</v>
      </c>
      <c r="E41" s="6" t="s">
        <v>1057</v>
      </c>
    </row>
    <row r="42" spans="2:5" s="6" customFormat="1">
      <c r="B42" s="716" t="s">
        <v>1038</v>
      </c>
      <c r="C42" s="6" t="s">
        <v>1030</v>
      </c>
      <c r="E42" s="6" t="s">
        <v>1058</v>
      </c>
    </row>
    <row r="43" spans="2:5" s="6" customFormat="1">
      <c r="B43" s="716" t="s">
        <v>1065</v>
      </c>
      <c r="C43" s="6" t="s">
        <v>1031</v>
      </c>
      <c r="E43" s="6" t="s">
        <v>1059</v>
      </c>
    </row>
    <row r="44" spans="2:5" s="6" customFormat="1">
      <c r="B44" s="455" t="s">
        <v>1039</v>
      </c>
      <c r="C44" s="6" t="s">
        <v>1224</v>
      </c>
      <c r="E44" s="6" t="s">
        <v>1225</v>
      </c>
    </row>
    <row r="45" spans="2:5" s="6" customFormat="1"/>
    <row r="46" spans="2:5" s="6" customFormat="1"/>
    <row r="47" spans="2:5" s="6" customFormat="1"/>
    <row r="48" spans="2:5" s="6" customFormat="1"/>
    <row r="49" spans="2:11" s="6" customFormat="1"/>
    <row r="50" spans="2:11" s="6" customFormat="1"/>
    <row r="51" spans="2:11" s="6" customFormat="1"/>
    <row r="52" spans="2:11" s="6" customFormat="1"/>
    <row r="53" spans="2:11" s="6" customFormat="1"/>
    <row r="54" spans="2:11" s="6" customFormat="1"/>
    <row r="55" spans="2:11" s="6" customFormat="1"/>
    <row r="56" spans="2:11" s="6" customFormat="1"/>
    <row r="57" spans="2:11" s="6" customFormat="1"/>
    <row r="58" spans="2:11" s="6" customFormat="1"/>
    <row r="59" spans="2:11">
      <c r="B59" s="6"/>
      <c r="C59" s="6"/>
      <c r="D59" s="6"/>
      <c r="E59" s="6"/>
      <c r="F59" s="6"/>
      <c r="G59" s="6"/>
      <c r="H59" s="6"/>
      <c r="I59" s="6"/>
      <c r="J59" s="6"/>
      <c r="K59" s="6"/>
    </row>
    <row r="60" spans="2:11">
      <c r="B60" s="6"/>
      <c r="C60" s="6"/>
      <c r="D60" s="6"/>
      <c r="E60" s="6"/>
      <c r="F60" s="6"/>
      <c r="G60" s="6"/>
      <c r="H60" s="6"/>
      <c r="I60" s="6"/>
      <c r="J60" s="6"/>
      <c r="K60" s="6"/>
    </row>
    <row r="61" spans="2:11">
      <c r="B61" s="6"/>
      <c r="C61" s="6"/>
      <c r="D61" s="6"/>
      <c r="E61" s="6"/>
      <c r="F61" s="6"/>
      <c r="G61" s="6"/>
      <c r="H61" s="6"/>
      <c r="I61" s="6"/>
      <c r="J61" s="6"/>
      <c r="K61" s="6"/>
    </row>
    <row r="62" spans="2:11">
      <c r="B62" s="6"/>
      <c r="C62" s="6"/>
      <c r="D62" s="6"/>
      <c r="E62" s="6"/>
      <c r="F62" s="6"/>
      <c r="G62" s="6"/>
      <c r="H62" s="6"/>
      <c r="I62" s="6"/>
      <c r="J62" s="6"/>
      <c r="K62" s="6"/>
    </row>
    <row r="63" spans="2:11">
      <c r="B63" s="6"/>
      <c r="C63" s="6"/>
      <c r="D63" s="6"/>
      <c r="E63" s="6"/>
      <c r="F63" s="6"/>
      <c r="G63" s="6"/>
    </row>
  </sheetData>
  <phoneticPr fontId="6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7E56-5D4B-451C-B7C3-E674A5111C78}">
  <sheetPr codeName="Feuil21">
    <tabColor rgb="FF7030A0"/>
  </sheetPr>
  <dimension ref="A1:W322"/>
  <sheetViews>
    <sheetView topLeftCell="A298" workbookViewId="0">
      <selection activeCell="C318" sqref="C318"/>
    </sheetView>
  </sheetViews>
  <sheetFormatPr baseColWidth="10" defaultColWidth="11.44140625" defaultRowHeight="14.4" outlineLevelRow="1"/>
  <cols>
    <col min="1" max="1" width="3.77734375" style="6" customWidth="1"/>
    <col min="2" max="2" width="5.21875" style="6" customWidth="1"/>
    <col min="3" max="3" width="55.44140625" style="6" bestFit="1" customWidth="1"/>
    <col min="4" max="4" width="16.5546875" style="6" customWidth="1"/>
    <col min="5" max="5" width="23.21875" style="6" customWidth="1"/>
    <col min="6" max="6" width="22.21875" style="6" customWidth="1"/>
    <col min="7" max="8" width="23.21875" style="6" customWidth="1"/>
    <col min="9" max="9" width="18.5546875" style="6" customWidth="1"/>
    <col min="10" max="12" width="11.44140625" style="6"/>
    <col min="13" max="13" width="12.5546875" style="6" bestFit="1" customWidth="1"/>
    <col min="14" max="14" width="13" style="6" bestFit="1" customWidth="1"/>
    <col min="15" max="15" width="11.5546875" style="6" bestFit="1" customWidth="1"/>
    <col min="16" max="16" width="11.44140625" style="6"/>
    <col min="17" max="17" width="10.44140625" style="6" bestFit="1" customWidth="1"/>
    <col min="18" max="16384" width="11.44140625" style="6"/>
  </cols>
  <sheetData>
    <row r="1" spans="2:16">
      <c r="D1"/>
      <c r="E1"/>
      <c r="F1"/>
      <c r="G1"/>
      <c r="H1"/>
      <c r="I1"/>
      <c r="J1"/>
      <c r="K1"/>
      <c r="L1"/>
      <c r="M1"/>
      <c r="N1"/>
      <c r="O1"/>
      <c r="P1"/>
    </row>
    <row r="2" spans="2:16" s="394" customFormat="1"/>
    <row r="3" spans="2:16" s="394" customFormat="1" ht="36.6">
      <c r="B3" s="395" t="s">
        <v>440</v>
      </c>
    </row>
    <row r="4" spans="2:16" s="394" customFormat="1"/>
    <row r="5" spans="2:16" s="394" customFormat="1">
      <c r="B5" s="396"/>
      <c r="C5" s="396"/>
      <c r="D5" s="396"/>
      <c r="E5" s="396"/>
      <c r="F5" s="396"/>
      <c r="G5" s="396"/>
      <c r="H5" s="396"/>
      <c r="I5" s="396"/>
      <c r="J5" s="396"/>
      <c r="K5" s="396"/>
      <c r="L5" s="396"/>
      <c r="M5" s="396"/>
      <c r="N5" s="396"/>
      <c r="O5" s="396"/>
      <c r="P5" s="443"/>
    </row>
    <row r="6" spans="2:16" s="394" customFormat="1">
      <c r="B6" s="401" t="s">
        <v>769</v>
      </c>
      <c r="C6" s="397"/>
      <c r="D6" s="396"/>
      <c r="E6" s="396"/>
      <c r="F6" s="396"/>
      <c r="G6" s="396"/>
      <c r="H6" s="396"/>
      <c r="I6" s="396"/>
      <c r="J6" s="396"/>
      <c r="K6" s="396"/>
      <c r="L6" s="396"/>
      <c r="M6" s="396"/>
      <c r="N6" s="396"/>
      <c r="O6" s="396"/>
      <c r="P6" s="443"/>
    </row>
    <row r="7" spans="2:16" s="394" customFormat="1">
      <c r="B7" s="401"/>
      <c r="C7" s="397"/>
      <c r="D7" s="396"/>
      <c r="E7" s="396"/>
      <c r="F7" s="396"/>
      <c r="G7" s="396"/>
      <c r="H7" s="396"/>
      <c r="I7" s="396"/>
      <c r="J7" s="396"/>
      <c r="K7" s="396"/>
      <c r="L7" s="396"/>
      <c r="M7" s="396"/>
      <c r="N7" s="396"/>
      <c r="O7" s="396"/>
      <c r="P7" s="443"/>
    </row>
    <row r="8" spans="2:16" s="394" customFormat="1">
      <c r="B8" s="403" t="s">
        <v>469</v>
      </c>
      <c r="C8" s="397"/>
      <c r="D8" s="396"/>
      <c r="E8" s="396"/>
      <c r="F8" s="396"/>
      <c r="G8" s="396"/>
      <c r="H8" s="396"/>
      <c r="I8" s="396"/>
      <c r="J8" s="396"/>
      <c r="K8" s="396"/>
      <c r="L8" s="396"/>
      <c r="M8" s="396"/>
      <c r="N8" s="396"/>
      <c r="O8" s="396"/>
      <c r="P8" s="443"/>
    </row>
    <row r="9" spans="2:16" s="394" customFormat="1">
      <c r="B9" s="396"/>
      <c r="C9" s="396"/>
      <c r="D9" s="396"/>
      <c r="E9" s="396"/>
      <c r="F9" s="396"/>
      <c r="G9" s="396"/>
      <c r="H9" s="396"/>
      <c r="I9" s="396"/>
      <c r="J9" s="396"/>
      <c r="K9" s="396"/>
      <c r="L9" s="396"/>
      <c r="M9" s="396"/>
      <c r="N9" s="396"/>
      <c r="O9" s="396"/>
      <c r="P9" s="443"/>
    </row>
    <row r="10" spans="2:16" s="394" customFormat="1"/>
    <row r="11" spans="2:16" s="394" customFormat="1" ht="18">
      <c r="B11" s="398" t="s">
        <v>437</v>
      </c>
      <c r="C11" s="6"/>
      <c r="D11" s="6"/>
    </row>
    <row r="12" spans="2:16" s="394" customFormat="1" ht="6" customHeight="1">
      <c r="B12" s="399"/>
      <c r="C12" s="6"/>
      <c r="D12" s="6"/>
    </row>
    <row r="13" spans="2:16" s="394" customFormat="1">
      <c r="B13" s="402" t="s">
        <v>438</v>
      </c>
      <c r="C13" s="6" t="s">
        <v>441</v>
      </c>
      <c r="D13" s="6"/>
    </row>
    <row r="14" spans="2:16" s="394" customFormat="1">
      <c r="B14" s="402" t="s">
        <v>439</v>
      </c>
      <c r="C14" s="6" t="s">
        <v>214</v>
      </c>
      <c r="D14" s="6"/>
    </row>
    <row r="15" spans="2:16" s="394" customFormat="1">
      <c r="B15" s="402" t="s">
        <v>447</v>
      </c>
      <c r="C15" s="6" t="s">
        <v>442</v>
      </c>
      <c r="D15" s="6"/>
    </row>
    <row r="16" spans="2:16" s="394" customFormat="1">
      <c r="B16" s="402" t="s">
        <v>445</v>
      </c>
      <c r="C16" s="6" t="s">
        <v>258</v>
      </c>
      <c r="D16" s="6"/>
    </row>
    <row r="17" spans="1:16" s="394" customFormat="1">
      <c r="B17" s="402" t="s">
        <v>446</v>
      </c>
      <c r="C17" s="6" t="s">
        <v>443</v>
      </c>
      <c r="D17" s="6"/>
    </row>
    <row r="18" spans="1:16" s="394" customFormat="1">
      <c r="B18" s="402" t="s">
        <v>1226</v>
      </c>
      <c r="C18" s="6" t="s">
        <v>1027</v>
      </c>
      <c r="D18" s="6"/>
    </row>
    <row r="19" spans="1:16" s="394" customFormat="1">
      <c r="B19" s="6"/>
      <c r="C19" s="6"/>
      <c r="D19" s="6"/>
    </row>
    <row r="20" spans="1:16" s="394" customFormat="1">
      <c r="A20" s="445"/>
      <c r="B20" s="5"/>
      <c r="C20" s="5"/>
      <c r="D20" s="5"/>
      <c r="E20" s="444"/>
      <c r="F20" s="444"/>
      <c r="G20" s="444"/>
      <c r="H20" s="444"/>
      <c r="I20" s="444"/>
      <c r="J20" s="444"/>
      <c r="K20" s="444"/>
      <c r="L20" s="444"/>
      <c r="M20" s="444"/>
      <c r="N20" s="444"/>
      <c r="O20" s="444"/>
      <c r="P20" s="444"/>
    </row>
    <row r="21" spans="1:16" s="394" customFormat="1" ht="5.25" customHeight="1">
      <c r="B21" s="6"/>
      <c r="C21" s="6"/>
      <c r="D21" s="6"/>
    </row>
    <row r="22" spans="1:16" s="394" customFormat="1" ht="18">
      <c r="B22" s="400" t="s">
        <v>438</v>
      </c>
      <c r="C22" s="398" t="s">
        <v>441</v>
      </c>
      <c r="D22" s="398"/>
    </row>
    <row r="23" spans="1:16" s="394" customFormat="1" ht="18.600000000000001" thickBot="1">
      <c r="B23" s="400"/>
      <c r="C23" s="398"/>
      <c r="D23" s="938" t="s">
        <v>1202</v>
      </c>
      <c r="E23" s="425"/>
    </row>
    <row r="24" spans="1:16" s="394" customFormat="1" ht="18">
      <c r="B24" s="400"/>
      <c r="C24" s="912" t="s">
        <v>749</v>
      </c>
      <c r="D24" s="913" t="str">
        <f>'3c. Calculator EEM 2-3'!G13</f>
        <v>Hot Water</v>
      </c>
      <c r="E24" s="914" t="s">
        <v>1470</v>
      </c>
      <c r="F24" s="915" t="s">
        <v>1471</v>
      </c>
    </row>
    <row r="25" spans="1:16" outlineLevel="1">
      <c r="C25" s="916" t="s">
        <v>1205</v>
      </c>
      <c r="D25" s="917" t="str">
        <f>'3c. Calculator EEM 2-3'!G15</f>
        <v>&lt; select &gt;</v>
      </c>
      <c r="E25" s="918"/>
      <c r="F25" s="919"/>
      <c r="H25" s="406"/>
    </row>
    <row r="26" spans="1:16" outlineLevel="1">
      <c r="C26" s="912" t="s">
        <v>149</v>
      </c>
      <c r="D26" s="920">
        <f>_xlfn.XLOOKUP($D$24,$E$24:$F$24,E26:F26)</f>
        <v>0.05</v>
      </c>
      <c r="E26" s="921">
        <v>0.05</v>
      </c>
      <c r="F26" s="922">
        <v>0.05</v>
      </c>
      <c r="G26" s="394" t="s">
        <v>448</v>
      </c>
      <c r="J26" s="425"/>
    </row>
    <row r="27" spans="1:16" outlineLevel="1">
      <c r="C27" s="712" t="s">
        <v>28</v>
      </c>
      <c r="D27" s="902">
        <f>IF(D25="HVAC",D28,D29)</f>
        <v>10.889082170509718</v>
      </c>
      <c r="E27" s="903"/>
      <c r="F27" s="904"/>
    </row>
    <row r="28" spans="1:16" outlineLevel="1">
      <c r="C28" s="905" t="s">
        <v>394</v>
      </c>
      <c r="D28" s="906">
        <f>'T° eau'!$P$22</f>
        <v>6.9252112707445503</v>
      </c>
      <c r="E28" s="907"/>
      <c r="F28" s="908"/>
      <c r="G28" s="6" t="s">
        <v>384</v>
      </c>
      <c r="H28" s="6" t="s">
        <v>1404</v>
      </c>
    </row>
    <row r="29" spans="1:16" outlineLevel="1">
      <c r="C29" s="909" t="s">
        <v>1208</v>
      </c>
      <c r="D29" s="906">
        <f>'T° eau'!$P$23</f>
        <v>10.889082170509718</v>
      </c>
      <c r="E29" s="910"/>
      <c r="F29" s="911"/>
      <c r="G29" s="6" t="s">
        <v>388</v>
      </c>
      <c r="H29" s="6" t="s">
        <v>1404</v>
      </c>
    </row>
    <row r="30" spans="1:16" outlineLevel="1">
      <c r="C30" s="912" t="s">
        <v>29</v>
      </c>
      <c r="D30" s="923" t="str">
        <f t="shared" ref="D30:D34" si="0">_xlfn.XLOOKUP($D$24,$E$24:$F$24,E30:F30)</f>
        <v>n/a</v>
      </c>
      <c r="E30" s="924">
        <v>80</v>
      </c>
      <c r="F30" s="924" t="s">
        <v>750</v>
      </c>
      <c r="G30" s="6" t="s">
        <v>15</v>
      </c>
    </row>
    <row r="31" spans="1:16" outlineLevel="1">
      <c r="C31" s="912" t="s">
        <v>30</v>
      </c>
      <c r="D31" s="920">
        <f t="shared" si="0"/>
        <v>0</v>
      </c>
      <c r="E31" s="921">
        <v>0.8</v>
      </c>
      <c r="F31" s="921">
        <v>0</v>
      </c>
    </row>
    <row r="32" spans="1:16" outlineLevel="1">
      <c r="C32" s="912" t="s">
        <v>31</v>
      </c>
      <c r="D32" s="920">
        <f t="shared" si="0"/>
        <v>0</v>
      </c>
      <c r="E32" s="921">
        <v>0.06</v>
      </c>
      <c r="F32" s="921">
        <v>0</v>
      </c>
      <c r="H32" t="s">
        <v>728</v>
      </c>
    </row>
    <row r="33" spans="3:9" outlineLevel="1">
      <c r="C33" s="925" t="s">
        <v>32</v>
      </c>
      <c r="D33" s="923">
        <f>_xlfn.XLOOKUP($D$24,$E$24:$F$24,E33:F33)</f>
        <v>0</v>
      </c>
      <c r="E33" s="924">
        <v>170.27</v>
      </c>
      <c r="F33" s="939"/>
      <c r="G33" s="6" t="s">
        <v>33</v>
      </c>
      <c r="H33" s="406" t="s">
        <v>1286</v>
      </c>
      <c r="I33" s="6" t="s">
        <v>770</v>
      </c>
    </row>
    <row r="34" spans="3:9" ht="14.25" customHeight="1" outlineLevel="1">
      <c r="C34" s="926" t="s">
        <v>450</v>
      </c>
      <c r="D34" s="920">
        <f t="shared" si="0"/>
        <v>0</v>
      </c>
      <c r="E34" s="927">
        <v>9.5000000000000001E-2</v>
      </c>
      <c r="F34" s="921">
        <v>0</v>
      </c>
    </row>
    <row r="35" spans="3:9" outlineLevel="1">
      <c r="C35" s="713" t="s">
        <v>747</v>
      </c>
      <c r="D35" s="928">
        <f>_xlfn.XLOOKUP($D$24,$E$24:$F$24,E35:F35)</f>
        <v>0</v>
      </c>
      <c r="E35" s="929">
        <f>(100+14.73)*101.235/14.696</f>
        <v>790.33012724550895</v>
      </c>
      <c r="F35" s="901"/>
      <c r="G35" s="6" t="s">
        <v>34</v>
      </c>
      <c r="H35" s="406" t="s">
        <v>449</v>
      </c>
    </row>
    <row r="36" spans="3:9" outlineLevel="1">
      <c r="C36" s="712" t="s">
        <v>748</v>
      </c>
      <c r="D36" s="930">
        <f>IF(D24="Steam","n/a",IF(D25="Domestic Hot Water",F37,F38))</f>
        <v>80</v>
      </c>
      <c r="E36" s="931"/>
      <c r="F36" s="931"/>
      <c r="H36" s="406"/>
    </row>
    <row r="37" spans="3:9" outlineLevel="1">
      <c r="C37" s="905" t="s">
        <v>1206</v>
      </c>
      <c r="D37" s="932"/>
      <c r="E37" s="933" t="s">
        <v>750</v>
      </c>
      <c r="F37" s="934">
        <v>60</v>
      </c>
      <c r="G37" s="6" t="s">
        <v>13</v>
      </c>
      <c r="H37" s="406"/>
    </row>
    <row r="38" spans="3:9" ht="15" outlineLevel="1" thickBot="1">
      <c r="C38" s="909" t="s">
        <v>1207</v>
      </c>
      <c r="D38" s="935"/>
      <c r="E38" s="936" t="s">
        <v>750</v>
      </c>
      <c r="F38" s="937">
        <v>80</v>
      </c>
      <c r="G38" s="6" t="s">
        <v>13</v>
      </c>
      <c r="H38" s="406"/>
    </row>
    <row r="39" spans="3:9" outlineLevel="1">
      <c r="H39" s="555"/>
    </row>
    <row r="40" spans="3:9" outlineLevel="1">
      <c r="C40" s="488"/>
      <c r="D40" s="489"/>
    </row>
    <row r="41" spans="3:9" outlineLevel="1">
      <c r="C41" s="6" t="s">
        <v>250</v>
      </c>
      <c r="F41" s="404"/>
    </row>
    <row r="42" spans="3:9" ht="57.6" outlineLevel="1">
      <c r="C42" s="948" t="s">
        <v>1449</v>
      </c>
      <c r="D42" s="507" t="s">
        <v>1454</v>
      </c>
    </row>
    <row r="43" spans="3:9" outlineLevel="1">
      <c r="C43" s="652" t="s">
        <v>1450</v>
      </c>
      <c r="D43" s="949">
        <v>5.0000000000000001E-3</v>
      </c>
    </row>
    <row r="44" spans="3:9" outlineLevel="1">
      <c r="C44" s="652" t="s">
        <v>1451</v>
      </c>
      <c r="D44" s="950">
        <v>0.01</v>
      </c>
    </row>
    <row r="45" spans="3:9" ht="7.5" customHeight="1" outlineLevel="1"/>
    <row r="46" spans="3:9" outlineLevel="1">
      <c r="C46" s="1867"/>
      <c r="D46" s="1866" t="s">
        <v>1452</v>
      </c>
      <c r="E46" s="1866"/>
      <c r="F46" s="1866"/>
      <c r="G46" s="1866"/>
    </row>
    <row r="47" spans="3:9" outlineLevel="1">
      <c r="C47" s="1868"/>
      <c r="D47" s="948">
        <v>1</v>
      </c>
      <c r="E47" s="948">
        <v>2</v>
      </c>
      <c r="F47" s="948">
        <v>3</v>
      </c>
      <c r="G47" s="948">
        <v>4</v>
      </c>
      <c r="H47" s="407"/>
    </row>
    <row r="48" spans="3:9" outlineLevel="1">
      <c r="C48" s="577" t="s">
        <v>1448</v>
      </c>
      <c r="D48" s="577" t="str">
        <f>Combustion_Chaud1!L85</f>
        <v>VRAI</v>
      </c>
      <c r="E48" s="577" t="str">
        <f>Combustion_Chaud2!L85</f>
        <v>VRAI</v>
      </c>
      <c r="F48" s="577" t="str">
        <f>Combustion_Chaud3!L85</f>
        <v>VRAI</v>
      </c>
      <c r="G48" s="577" t="str">
        <f>Combustion_Chaud4!L85</f>
        <v>VRAI</v>
      </c>
      <c r="H48" s="407"/>
    </row>
    <row r="49" spans="1:16" outlineLevel="1">
      <c r="C49" s="577" t="s">
        <v>1449</v>
      </c>
      <c r="D49" s="577" t="str">
        <f>IF(D48="FAUX",$C$44,$C$43)</f>
        <v>Condensante</v>
      </c>
      <c r="E49" s="577" t="str">
        <f>IF(E48="FAUX",$C$44,$C$43)</f>
        <v>Condensante</v>
      </c>
      <c r="F49" s="577" t="str">
        <f>IF(F48="FAUX",$C$44,$C$43)</f>
        <v>Condensante</v>
      </c>
      <c r="G49" s="577" t="str">
        <f>IF(G48="FAUX",$C$44,$C$43)</f>
        <v>Condensante</v>
      </c>
    </row>
    <row r="50" spans="1:16" outlineLevel="1">
      <c r="C50" s="577" t="s">
        <v>1453</v>
      </c>
      <c r="D50" s="947">
        <f>_xlfn.XLOOKUP(D49,$C$43:$C$44,$D$43:$D$44)</f>
        <v>5.0000000000000001E-3</v>
      </c>
      <c r="E50" s="947">
        <f>_xlfn.XLOOKUP(E49,$C$43:$C$44,$D$43:$D$44)</f>
        <v>5.0000000000000001E-3</v>
      </c>
      <c r="F50" s="947">
        <f>_xlfn.XLOOKUP(F49,$C$43:$C$44,$D$43:$D$44)</f>
        <v>5.0000000000000001E-3</v>
      </c>
      <c r="G50" s="947">
        <f>_xlfn.XLOOKUP(G49,$C$43:$C$44,$D$43:$D$44)</f>
        <v>5.0000000000000001E-3</v>
      </c>
    </row>
    <row r="51" spans="1:16" outlineLevel="1">
      <c r="C51" s="442"/>
      <c r="D51" s="446"/>
      <c r="E51" s="447"/>
    </row>
    <row r="52" spans="1:16" outlineLevel="1">
      <c r="C52" s="488" t="s">
        <v>753</v>
      </c>
      <c r="D52" s="539">
        <f>75.4*10^-3/18.01528*1000</f>
        <v>4.1853360036591161</v>
      </c>
      <c r="E52" s="447" t="s">
        <v>754</v>
      </c>
    </row>
    <row r="53" spans="1:16" outlineLevel="1">
      <c r="C53" s="442"/>
      <c r="D53" s="446"/>
      <c r="E53" s="447"/>
    </row>
    <row r="54" spans="1:16" ht="15" outlineLevel="1" thickBot="1">
      <c r="C54" s="430" t="s">
        <v>110</v>
      </c>
      <c r="D54" s="417"/>
      <c r="P54" s="440"/>
    </row>
    <row r="55" spans="1:16" outlineLevel="1">
      <c r="C55" s="434" t="s">
        <v>459</v>
      </c>
      <c r="D55" s="435"/>
      <c r="E55" s="436"/>
      <c r="F55" s="436"/>
      <c r="G55" s="436"/>
      <c r="H55" s="436"/>
      <c r="I55" s="436"/>
      <c r="J55" s="436"/>
      <c r="K55" s="436"/>
      <c r="L55" s="436"/>
      <c r="M55" s="436"/>
      <c r="N55" s="436"/>
      <c r="O55" s="436"/>
      <c r="P55" s="437"/>
    </row>
    <row r="56" spans="1:16" ht="15" outlineLevel="1" thickBot="1">
      <c r="C56" s="438"/>
      <c r="D56" s="439"/>
      <c r="E56" s="440"/>
      <c r="F56" s="440"/>
      <c r="G56" s="440"/>
      <c r="H56" s="440"/>
      <c r="I56" s="440"/>
      <c r="J56" s="440"/>
      <c r="K56" s="440"/>
      <c r="L56" s="440"/>
      <c r="M56" s="440"/>
      <c r="N56" s="440"/>
      <c r="O56" s="440"/>
      <c r="P56" s="441"/>
    </row>
    <row r="57" spans="1:16" outlineLevel="1">
      <c r="D57" s="412"/>
    </row>
    <row r="58" spans="1:16" s="394" customFormat="1">
      <c r="A58" s="445"/>
      <c r="B58" s="5"/>
      <c r="C58" s="5"/>
      <c r="D58" s="5"/>
      <c r="E58" s="444"/>
      <c r="F58" s="444"/>
      <c r="G58" s="444"/>
      <c r="H58" s="444"/>
      <c r="I58" s="444"/>
      <c r="J58" s="444"/>
      <c r="K58" s="444"/>
      <c r="L58" s="444"/>
      <c r="M58" s="444"/>
      <c r="N58" s="444"/>
      <c r="O58" s="444"/>
      <c r="P58" s="444"/>
    </row>
    <row r="59" spans="1:16" s="394" customFormat="1" ht="6" customHeight="1">
      <c r="B59" s="6"/>
      <c r="C59" s="6"/>
      <c r="D59" s="6"/>
    </row>
    <row r="60" spans="1:16" ht="18">
      <c r="B60" s="400" t="s">
        <v>439</v>
      </c>
      <c r="C60" s="398" t="s">
        <v>14</v>
      </c>
    </row>
    <row r="61" spans="1:16" ht="18.600000000000001" outlineLevel="1" thickBot="1">
      <c r="B61" s="400"/>
      <c r="C61" s="429" t="s">
        <v>456</v>
      </c>
      <c r="P61" s="432"/>
    </row>
    <row r="62" spans="1:16" ht="18.75" customHeight="1" outlineLevel="1">
      <c r="B62" s="400"/>
      <c r="C62" s="1842" t="s">
        <v>457</v>
      </c>
      <c r="D62" s="1843"/>
      <c r="E62" s="1843"/>
      <c r="F62" s="1843"/>
      <c r="G62" s="1843"/>
      <c r="H62" s="1843"/>
      <c r="I62" s="1843"/>
      <c r="J62" s="1843"/>
      <c r="K62" s="1843"/>
      <c r="L62" s="1843"/>
      <c r="M62" s="1843"/>
      <c r="N62" s="1843"/>
      <c r="O62" s="1843"/>
      <c r="P62" s="1844"/>
    </row>
    <row r="63" spans="1:16" ht="18" outlineLevel="1">
      <c r="B63" s="400"/>
      <c r="C63" s="1845"/>
      <c r="D63" s="1846"/>
      <c r="E63" s="1846"/>
      <c r="F63" s="1846"/>
      <c r="G63" s="1846"/>
      <c r="H63" s="1846"/>
      <c r="I63" s="1846"/>
      <c r="J63" s="1846"/>
      <c r="K63" s="1846"/>
      <c r="L63" s="1846"/>
      <c r="M63" s="1846"/>
      <c r="N63" s="1846"/>
      <c r="O63" s="1846"/>
      <c r="P63" s="1847"/>
    </row>
    <row r="64" spans="1:16" ht="18" outlineLevel="1">
      <c r="B64" s="400"/>
      <c r="C64" s="1845"/>
      <c r="D64" s="1846"/>
      <c r="E64" s="1846"/>
      <c r="F64" s="1846"/>
      <c r="G64" s="1846"/>
      <c r="H64" s="1846"/>
      <c r="I64" s="1846"/>
      <c r="J64" s="1846"/>
      <c r="K64" s="1846"/>
      <c r="L64" s="1846"/>
      <c r="M64" s="1846"/>
      <c r="N64" s="1846"/>
      <c r="O64" s="1846"/>
      <c r="P64" s="1847"/>
    </row>
    <row r="65" spans="2:17" ht="18.600000000000001" outlineLevel="1" thickBot="1">
      <c r="B65" s="400"/>
      <c r="C65" s="1848"/>
      <c r="D65" s="1849"/>
      <c r="E65" s="1849"/>
      <c r="F65" s="1849"/>
      <c r="G65" s="1849"/>
      <c r="H65" s="1849"/>
      <c r="I65" s="1849"/>
      <c r="J65" s="1849"/>
      <c r="K65" s="1849"/>
      <c r="L65" s="1849"/>
      <c r="M65" s="1849"/>
      <c r="N65" s="1849"/>
      <c r="O65" s="1849"/>
      <c r="P65" s="1850"/>
    </row>
    <row r="66" spans="2:17" ht="18" outlineLevel="1">
      <c r="B66" s="400"/>
      <c r="C66" s="433"/>
      <c r="D66" s="433"/>
      <c r="E66" s="433"/>
      <c r="F66" s="433"/>
      <c r="G66" s="433"/>
      <c r="H66" s="433"/>
      <c r="I66" s="433"/>
      <c r="J66" s="433"/>
      <c r="K66" s="433"/>
      <c r="L66" s="433"/>
      <c r="M66" s="433"/>
      <c r="N66" s="433"/>
      <c r="O66" s="433"/>
      <c r="P66" s="433"/>
    </row>
    <row r="67" spans="2:17" ht="18" outlineLevel="1">
      <c r="B67" s="400"/>
      <c r="C67" s="433" t="s">
        <v>1198</v>
      </c>
      <c r="D67" s="776">
        <v>3</v>
      </c>
      <c r="E67" s="433" t="s">
        <v>1164</v>
      </c>
      <c r="F67" s="433"/>
      <c r="G67" s="433"/>
      <c r="H67" s="433"/>
      <c r="I67" s="433"/>
      <c r="J67" s="433"/>
      <c r="K67" s="433"/>
      <c r="L67" s="433"/>
      <c r="M67" s="433"/>
      <c r="N67" s="433"/>
      <c r="O67" s="433"/>
    </row>
    <row r="68" spans="2:17" ht="18" outlineLevel="1">
      <c r="B68" s="400"/>
      <c r="C68" s="398"/>
    </row>
    <row r="69" spans="2:17" outlineLevel="1">
      <c r="C69" s="6" t="s">
        <v>362</v>
      </c>
    </row>
    <row r="70" spans="2:17" outlineLevel="1">
      <c r="C70" s="419" t="s">
        <v>358</v>
      </c>
      <c r="D70" s="420" t="s">
        <v>357</v>
      </c>
    </row>
    <row r="71" spans="2:17" outlineLevel="1">
      <c r="B71" s="421">
        <v>10</v>
      </c>
      <c r="C71" s="408" t="s">
        <v>359</v>
      </c>
      <c r="D71" s="777">
        <v>0.01</v>
      </c>
      <c r="E71" s="6" t="s">
        <v>471</v>
      </c>
    </row>
    <row r="72" spans="2:17" outlineLevel="1">
      <c r="B72" s="421"/>
      <c r="C72" s="409" t="s">
        <v>360</v>
      </c>
      <c r="D72" s="778">
        <v>8.0000000000000002E-3</v>
      </c>
    </row>
    <row r="73" spans="2:17" outlineLevel="1">
      <c r="B73" s="421">
        <v>5</v>
      </c>
      <c r="C73" s="410" t="s">
        <v>361</v>
      </c>
      <c r="D73" s="779">
        <v>6.0000000000000001E-3</v>
      </c>
    </row>
    <row r="74" spans="2:17" outlineLevel="1"/>
    <row r="75" spans="2:17" ht="15.6" outlineLevel="1">
      <c r="C75" s="411" t="s">
        <v>451</v>
      </c>
      <c r="D75" s="795">
        <v>0.03</v>
      </c>
      <c r="E75" s="404" t="s">
        <v>452</v>
      </c>
    </row>
    <row r="76" spans="2:17" outlineLevel="1">
      <c r="C76" s="411"/>
      <c r="D76" s="484">
        <v>1.4999999999999999E-2</v>
      </c>
      <c r="E76" s="404" t="s">
        <v>453</v>
      </c>
      <c r="Q76" s="459"/>
    </row>
    <row r="77" spans="2:17" outlineLevel="1">
      <c r="C77" s="499" t="s">
        <v>374</v>
      </c>
      <c r="D77" s="468">
        <v>0.4</v>
      </c>
      <c r="E77" s="6" t="s">
        <v>16</v>
      </c>
      <c r="Q77" s="459"/>
    </row>
    <row r="78" spans="2:17" outlineLevel="1">
      <c r="C78" s="6" t="s">
        <v>375</v>
      </c>
      <c r="D78" s="468">
        <v>7</v>
      </c>
      <c r="Q78" s="459"/>
    </row>
    <row r="79" spans="2:17" outlineLevel="1">
      <c r="C79" s="6" t="s">
        <v>771</v>
      </c>
      <c r="F79" s="460"/>
      <c r="Q79" s="459"/>
    </row>
    <row r="80" spans="2:17" outlineLevel="1">
      <c r="C80" s="422" t="s">
        <v>368</v>
      </c>
      <c r="D80" s="423" t="s">
        <v>369</v>
      </c>
      <c r="E80" s="424" t="s">
        <v>370</v>
      </c>
      <c r="Q80" s="459"/>
    </row>
    <row r="81" spans="3:17" outlineLevel="1">
      <c r="C81" s="413">
        <v>1</v>
      </c>
      <c r="D81" s="464">
        <v>20500</v>
      </c>
      <c r="E81" s="465">
        <v>0</v>
      </c>
      <c r="Q81" s="459"/>
    </row>
    <row r="82" spans="3:17" outlineLevel="1">
      <c r="C82" s="413">
        <v>2</v>
      </c>
      <c r="D82" s="464">
        <v>19500</v>
      </c>
      <c r="E82" s="465">
        <f>((D$81-D82)/D81)</f>
        <v>4.878048780487805E-2</v>
      </c>
      <c r="Q82" s="459"/>
    </row>
    <row r="83" spans="3:17" outlineLevel="1">
      <c r="C83" s="413">
        <v>3</v>
      </c>
      <c r="D83" s="464">
        <v>19000</v>
      </c>
      <c r="E83" s="465">
        <f t="shared" ref="E83:E87" si="1">((D$81-D83)/D82)</f>
        <v>7.6923076923076927E-2</v>
      </c>
      <c r="Q83" s="459"/>
    </row>
    <row r="84" spans="3:17" outlineLevel="1">
      <c r="C84" s="413">
        <v>4</v>
      </c>
      <c r="D84" s="464">
        <v>18800</v>
      </c>
      <c r="E84" s="465">
        <f t="shared" si="1"/>
        <v>8.9473684210526316E-2</v>
      </c>
      <c r="Q84" s="459"/>
    </row>
    <row r="85" spans="3:17" outlineLevel="1">
      <c r="C85" s="413">
        <v>5</v>
      </c>
      <c r="D85" s="464">
        <v>18550</v>
      </c>
      <c r="E85" s="465">
        <f t="shared" si="1"/>
        <v>0.10372340425531915</v>
      </c>
      <c r="Q85" s="459"/>
    </row>
    <row r="86" spans="3:17" outlineLevel="1">
      <c r="C86" s="414">
        <v>7.5</v>
      </c>
      <c r="D86" s="464">
        <v>18350</v>
      </c>
      <c r="E86" s="465">
        <f t="shared" si="1"/>
        <v>0.11590296495956873</v>
      </c>
      <c r="Q86" s="459"/>
    </row>
    <row r="87" spans="3:17" outlineLevel="1">
      <c r="C87" s="415">
        <v>10</v>
      </c>
      <c r="D87" s="466">
        <v>18200</v>
      </c>
      <c r="E87" s="467">
        <f t="shared" si="1"/>
        <v>0.12534059945504086</v>
      </c>
      <c r="Q87" s="459"/>
    </row>
    <row r="88" spans="3:17" outlineLevel="1">
      <c r="Q88" s="459"/>
    </row>
    <row r="89" spans="3:17" outlineLevel="1">
      <c r="C89" s="6" t="s">
        <v>454</v>
      </c>
      <c r="Q89" s="459"/>
    </row>
    <row r="90" spans="3:17" ht="16.2" outlineLevel="1">
      <c r="C90" s="416" t="s">
        <v>473</v>
      </c>
      <c r="D90" s="416" t="s">
        <v>474</v>
      </c>
      <c r="E90" s="416" t="s">
        <v>251</v>
      </c>
      <c r="F90" s="416" t="s">
        <v>371</v>
      </c>
      <c r="Q90" s="459"/>
    </row>
    <row r="91" spans="3:17" outlineLevel="1">
      <c r="C91" s="475">
        <f t="array" ref="C91:F91">LINEST(E81:E87,C81:C87^{1,2,3})</f>
        <v>4.0456453547900125E-4</v>
      </c>
      <c r="D91" s="474">
        <v>-8.8505900397568803E-3</v>
      </c>
      <c r="E91" s="474">
        <v>6.6165785603060662E-2</v>
      </c>
      <c r="F91" s="474">
        <v>-5.5260555422771571E-2</v>
      </c>
      <c r="Q91" s="459"/>
    </row>
    <row r="92" spans="3:17" outlineLevel="1">
      <c r="Q92" s="459"/>
    </row>
    <row r="93" spans="3:17" outlineLevel="1">
      <c r="Q93" s="459"/>
    </row>
    <row r="94" spans="3:17" outlineLevel="1">
      <c r="C94" s="6" t="s">
        <v>455</v>
      </c>
      <c r="D94" s="326">
        <f>D78^3*$C$91+D78^2*$D$91+D78*$E$91+$F$91</f>
        <v>0.11298666751986337</v>
      </c>
      <c r="F94" s="6" t="s">
        <v>755</v>
      </c>
      <c r="Q94" s="459"/>
    </row>
    <row r="95" spans="3:17" outlineLevel="1">
      <c r="D95" s="417"/>
      <c r="Q95" s="459"/>
    </row>
    <row r="96" spans="3:17" outlineLevel="1">
      <c r="C96" s="6" t="s">
        <v>767</v>
      </c>
      <c r="D96" s="417"/>
      <c r="Q96" s="459"/>
    </row>
    <row r="97" spans="1:17" outlineLevel="1">
      <c r="C97" s="332" t="s">
        <v>772</v>
      </c>
      <c r="D97" s="326"/>
      <c r="E97" s="332"/>
      <c r="F97" s="332"/>
      <c r="G97" s="332"/>
      <c r="H97" s="332"/>
      <c r="I97" s="332"/>
      <c r="J97" s="332"/>
      <c r="K97" s="332"/>
      <c r="L97" s="332"/>
      <c r="Q97" s="459"/>
    </row>
    <row r="98" spans="1:17" outlineLevel="1">
      <c r="C98" s="332" t="s">
        <v>768</v>
      </c>
      <c r="D98" s="326"/>
      <c r="E98" s="332"/>
      <c r="F98" s="332"/>
      <c r="G98" s="332"/>
      <c r="H98" s="332"/>
      <c r="I98" s="332"/>
      <c r="J98" s="332"/>
      <c r="K98" s="332"/>
      <c r="L98" s="332"/>
      <c r="Q98" s="459"/>
    </row>
    <row r="99" spans="1:17" outlineLevel="1">
      <c r="D99" s="417"/>
      <c r="Q99" s="459"/>
    </row>
    <row r="100" spans="1:17" outlineLevel="1">
      <c r="C100" s="6" t="s">
        <v>1166</v>
      </c>
      <c r="D100" s="326">
        <v>0.84</v>
      </c>
      <c r="E100" s="6" t="s">
        <v>1167</v>
      </c>
      <c r="Q100" s="459"/>
    </row>
    <row r="101" spans="1:17" outlineLevel="1">
      <c r="D101" s="417"/>
      <c r="Q101" s="459"/>
    </row>
    <row r="102" spans="1:17" ht="15" outlineLevel="1" thickBot="1">
      <c r="C102" s="430" t="s">
        <v>110</v>
      </c>
      <c r="D102" s="417"/>
      <c r="P102" s="440"/>
    </row>
    <row r="103" spans="1:17" outlineLevel="1">
      <c r="C103" s="434" t="s">
        <v>458</v>
      </c>
      <c r="D103" s="435"/>
      <c r="E103" s="436"/>
      <c r="F103" s="436"/>
      <c r="G103" s="436"/>
      <c r="H103" s="436"/>
      <c r="I103" s="436"/>
      <c r="J103" s="436"/>
      <c r="K103" s="436"/>
      <c r="L103" s="436"/>
      <c r="M103" s="436"/>
      <c r="N103" s="436"/>
      <c r="O103" s="436"/>
      <c r="P103" s="437"/>
    </row>
    <row r="104" spans="1:17" outlineLevel="1">
      <c r="C104" s="461" t="s">
        <v>460</v>
      </c>
      <c r="D104" s="462"/>
      <c r="P104" s="463"/>
    </row>
    <row r="105" spans="1:17" ht="15" outlineLevel="1" thickBot="1">
      <c r="C105" s="438" t="s">
        <v>472</v>
      </c>
      <c r="D105" s="439"/>
      <c r="E105" s="440"/>
      <c r="F105" s="440"/>
      <c r="G105" s="440"/>
      <c r="H105" s="440"/>
      <c r="I105" s="440"/>
      <c r="J105" s="440"/>
      <c r="K105" s="440"/>
      <c r="L105" s="440"/>
      <c r="M105" s="440"/>
      <c r="N105" s="440"/>
      <c r="O105" s="440"/>
      <c r="P105" s="441"/>
    </row>
    <row r="106" spans="1:17" outlineLevel="1">
      <c r="D106" s="412"/>
    </row>
    <row r="107" spans="1:17" s="394" customFormat="1">
      <c r="A107" s="445"/>
      <c r="B107" s="5"/>
      <c r="C107" s="5"/>
      <c r="D107" s="5"/>
      <c r="E107" s="444"/>
      <c r="F107" s="444"/>
      <c r="G107" s="444"/>
      <c r="H107" s="444"/>
      <c r="I107" s="444"/>
      <c r="J107" s="444"/>
      <c r="K107" s="444"/>
      <c r="L107" s="444"/>
      <c r="M107" s="444"/>
      <c r="N107" s="444"/>
      <c r="O107" s="444"/>
      <c r="P107" s="444"/>
    </row>
    <row r="108" spans="1:17" s="394" customFormat="1" ht="6.75" customHeight="1">
      <c r="B108" s="6"/>
      <c r="C108" s="6"/>
      <c r="D108" s="6"/>
    </row>
    <row r="109" spans="1:17" ht="18">
      <c r="B109" s="400" t="s">
        <v>447</v>
      </c>
      <c r="C109" s="398" t="s">
        <v>442</v>
      </c>
    </row>
    <row r="110" spans="1:17" ht="18.600000000000001" outlineLevel="1" thickBot="1">
      <c r="B110" s="400"/>
      <c r="C110" s="429" t="s">
        <v>456</v>
      </c>
      <c r="P110" s="432"/>
    </row>
    <row r="111" spans="1:17" ht="18.75" customHeight="1" outlineLevel="1">
      <c r="B111" s="400"/>
      <c r="C111" s="1842" t="s">
        <v>461</v>
      </c>
      <c r="D111" s="1843"/>
      <c r="E111" s="1843"/>
      <c r="F111" s="1843"/>
      <c r="G111" s="1843"/>
      <c r="H111" s="1843"/>
      <c r="I111" s="1843"/>
      <c r="J111" s="1843"/>
      <c r="K111" s="1843"/>
      <c r="L111" s="1843"/>
      <c r="M111" s="1843"/>
      <c r="N111" s="1843"/>
      <c r="O111" s="1843"/>
      <c r="P111" s="1844"/>
    </row>
    <row r="112" spans="1:17" ht="18" outlineLevel="1">
      <c r="B112" s="400"/>
      <c r="C112" s="1845"/>
      <c r="D112" s="1846"/>
      <c r="E112" s="1846"/>
      <c r="F112" s="1846"/>
      <c r="G112" s="1846"/>
      <c r="H112" s="1846"/>
      <c r="I112" s="1846"/>
      <c r="J112" s="1846"/>
      <c r="K112" s="1846"/>
      <c r="L112" s="1846"/>
      <c r="M112" s="1846"/>
      <c r="N112" s="1846"/>
      <c r="O112" s="1846"/>
      <c r="P112" s="1847"/>
    </row>
    <row r="113" spans="2:16" ht="18" outlineLevel="1">
      <c r="B113" s="400"/>
      <c r="C113" s="1845"/>
      <c r="D113" s="1846"/>
      <c r="E113" s="1846"/>
      <c r="F113" s="1846"/>
      <c r="G113" s="1846"/>
      <c r="H113" s="1846"/>
      <c r="I113" s="1846"/>
      <c r="J113" s="1846"/>
      <c r="K113" s="1846"/>
      <c r="L113" s="1846"/>
      <c r="M113" s="1846"/>
      <c r="N113" s="1846"/>
      <c r="O113" s="1846"/>
      <c r="P113" s="1847"/>
    </row>
    <row r="114" spans="2:16" ht="18.600000000000001" outlineLevel="1" thickBot="1">
      <c r="B114" s="400"/>
      <c r="C114" s="1848"/>
      <c r="D114" s="1849"/>
      <c r="E114" s="1849"/>
      <c r="F114" s="1849"/>
      <c r="G114" s="1849"/>
      <c r="H114" s="1849"/>
      <c r="I114" s="1849"/>
      <c r="J114" s="1849"/>
      <c r="K114" s="1849"/>
      <c r="L114" s="1849"/>
      <c r="M114" s="1849"/>
      <c r="N114" s="1849"/>
      <c r="O114" s="1849"/>
      <c r="P114" s="1850"/>
    </row>
    <row r="115" spans="2:16" ht="18" outlineLevel="1">
      <c r="B115" s="400"/>
      <c r="C115" s="433"/>
      <c r="D115" s="433"/>
      <c r="E115" s="433"/>
      <c r="F115" s="433"/>
      <c r="G115" s="433"/>
      <c r="H115" s="433"/>
      <c r="I115" s="433"/>
      <c r="J115" s="433"/>
      <c r="K115" s="433"/>
      <c r="L115" s="433"/>
      <c r="M115" s="433"/>
      <c r="N115" s="433"/>
      <c r="O115" s="433"/>
      <c r="P115" s="433"/>
    </row>
    <row r="116" spans="2:16" ht="18.600000000000001" outlineLevel="1" thickBot="1">
      <c r="B116" s="400"/>
      <c r="C116" s="418" t="s">
        <v>462</v>
      </c>
      <c r="D116" s="433"/>
      <c r="E116" s="433"/>
      <c r="F116" s="433"/>
      <c r="G116" s="433"/>
      <c r="H116" s="472" t="s">
        <v>777</v>
      </c>
      <c r="I116" s="433"/>
      <c r="J116" s="433"/>
      <c r="K116" s="433"/>
      <c r="L116" s="433"/>
      <c r="M116" s="433"/>
      <c r="N116" s="433"/>
      <c r="O116" s="433"/>
      <c r="P116" s="433"/>
    </row>
    <row r="117" spans="2:16" outlineLevel="1">
      <c r="C117" s="6" t="s">
        <v>463</v>
      </c>
      <c r="H117" s="449" t="s">
        <v>466</v>
      </c>
      <c r="I117" s="450" t="s">
        <v>467</v>
      </c>
    </row>
    <row r="118" spans="2:16" outlineLevel="1">
      <c r="H118" s="570">
        <f>(0.898*I118)/(0.21-I118/100)</f>
        <v>0</v>
      </c>
      <c r="I118" s="557">
        <v>0</v>
      </c>
    </row>
    <row r="119" spans="2:16" outlineLevel="1">
      <c r="C119" s="6" t="s">
        <v>476</v>
      </c>
      <c r="D119" s="468">
        <v>15</v>
      </c>
      <c r="E119" s="6" t="s">
        <v>773</v>
      </c>
      <c r="F119" s="483">
        <v>5</v>
      </c>
      <c r="G119" s="469" t="s">
        <v>774</v>
      </c>
      <c r="H119" s="470">
        <f>(0.898*I119)/(0.21-I119/100)</f>
        <v>2.1902439024390246</v>
      </c>
      <c r="I119" s="476">
        <v>0.5</v>
      </c>
    </row>
    <row r="120" spans="2:16" outlineLevel="1">
      <c r="C120" s="6" t="s">
        <v>383</v>
      </c>
      <c r="D120" s="468">
        <f>AVERAGE('normales 1981-2010'!K20:L20)</f>
        <v>12</v>
      </c>
      <c r="E120" s="6" t="s">
        <v>387</v>
      </c>
      <c r="G120" s="469"/>
      <c r="H120" s="470">
        <f t="shared" ref="H120:H141" si="2">(0.898*I120)/(0.21-I120/100)</f>
        <v>4.49</v>
      </c>
      <c r="I120" s="476">
        <v>1</v>
      </c>
    </row>
    <row r="121" spans="2:16" outlineLevel="1">
      <c r="C121" s="6" t="s">
        <v>385</v>
      </c>
      <c r="D121" s="328">
        <v>15</v>
      </c>
      <c r="E121" s="6" t="s">
        <v>727</v>
      </c>
      <c r="F121" s="404"/>
      <c r="G121" s="469"/>
      <c r="H121" s="470">
        <f t="shared" si="2"/>
        <v>6.9076923076923071</v>
      </c>
      <c r="I121" s="476">
        <v>1.5</v>
      </c>
    </row>
    <row r="122" spans="2:16" outlineLevel="1">
      <c r="C122" s="6" t="s">
        <v>464</v>
      </c>
      <c r="D122" s="426"/>
      <c r="G122" s="469"/>
      <c r="H122" s="470">
        <f t="shared" si="2"/>
        <v>9.4526315789473685</v>
      </c>
      <c r="I122" s="476">
        <v>2</v>
      </c>
    </row>
    <row r="123" spans="2:16" outlineLevel="1">
      <c r="C123" s="416" t="s">
        <v>386</v>
      </c>
      <c r="D123" s="481">
        <f>AVERAGE('normales 1981-2010'!C20:G20,'normales 1981-2010'!M20:N20)</f>
        <v>-0.41428571428571404</v>
      </c>
      <c r="E123" s="6" t="s">
        <v>384</v>
      </c>
      <c r="G123" s="469"/>
      <c r="H123" s="470">
        <f t="shared" si="2"/>
        <v>12.135135135135135</v>
      </c>
      <c r="I123" s="476">
        <v>2.5</v>
      </c>
    </row>
    <row r="124" spans="2:16" outlineLevel="1">
      <c r="C124" s="416" t="s">
        <v>1208</v>
      </c>
      <c r="D124" s="481">
        <f>'normales 1981-2010'!O20</f>
        <v>6.8</v>
      </c>
      <c r="E124" s="6" t="s">
        <v>388</v>
      </c>
      <c r="G124" s="469"/>
      <c r="H124" s="470">
        <f t="shared" si="2"/>
        <v>14.966666666666667</v>
      </c>
      <c r="I124" s="476">
        <v>3</v>
      </c>
    </row>
    <row r="125" spans="2:16" outlineLevel="1">
      <c r="C125" s="448" t="s">
        <v>389</v>
      </c>
      <c r="D125" s="426"/>
      <c r="G125" s="469"/>
      <c r="H125" s="470">
        <f t="shared" si="2"/>
        <v>17.96</v>
      </c>
      <c r="I125" s="476">
        <v>3.5</v>
      </c>
    </row>
    <row r="126" spans="2:16" outlineLevel="1">
      <c r="C126" s="416" t="s">
        <v>386</v>
      </c>
      <c r="D126" s="451">
        <f>D120-$D$123</f>
        <v>12.414285714285715</v>
      </c>
      <c r="E126" s="6" t="s">
        <v>13</v>
      </c>
      <c r="G126" s="469"/>
      <c r="H126" s="470">
        <f t="shared" si="2"/>
        <v>21.129411764705885</v>
      </c>
      <c r="I126" s="476">
        <v>4</v>
      </c>
    </row>
    <row r="127" spans="2:16" outlineLevel="1">
      <c r="C127" s="416" t="s">
        <v>1208</v>
      </c>
      <c r="D127" s="451">
        <f>D120-$D$124</f>
        <v>5.2</v>
      </c>
      <c r="E127" s="6" t="s">
        <v>13</v>
      </c>
      <c r="G127" s="469"/>
      <c r="H127" s="470">
        <f t="shared" si="2"/>
        <v>24.490909090909096</v>
      </c>
      <c r="I127" s="476">
        <v>4.5</v>
      </c>
    </row>
    <row r="128" spans="2:16" outlineLevel="1">
      <c r="G128" s="469"/>
      <c r="H128" s="470">
        <f t="shared" si="2"/>
        <v>28.062500000000007</v>
      </c>
      <c r="I128" s="476">
        <v>5</v>
      </c>
    </row>
    <row r="129" spans="3:16" outlineLevel="1">
      <c r="C129" s="6" t="s">
        <v>391</v>
      </c>
      <c r="G129" s="469"/>
      <c r="H129" s="470">
        <f t="shared" si="2"/>
        <v>31.864516129032257</v>
      </c>
      <c r="I129" s="476">
        <v>5.5</v>
      </c>
    </row>
    <row r="130" spans="3:16" outlineLevel="1">
      <c r="C130" s="416" t="s">
        <v>386</v>
      </c>
      <c r="D130" s="452">
        <f>($F$119*D126)/$D$119</f>
        <v>4.1380952380952376</v>
      </c>
      <c r="E130" s="6" t="s">
        <v>16</v>
      </c>
      <c r="G130" s="469"/>
      <c r="H130" s="470">
        <f t="shared" si="2"/>
        <v>35.92</v>
      </c>
      <c r="I130" s="476">
        <v>6</v>
      </c>
    </row>
    <row r="131" spans="3:16" outlineLevel="1">
      <c r="C131" s="416" t="s">
        <v>1208</v>
      </c>
      <c r="D131" s="452">
        <f>($F$119*D127)/$D$119</f>
        <v>1.7333333333333334</v>
      </c>
      <c r="E131" s="6" t="s">
        <v>16</v>
      </c>
      <c r="G131" s="469"/>
      <c r="H131" s="470">
        <f t="shared" si="2"/>
        <v>40.255172413793105</v>
      </c>
      <c r="I131" s="476">
        <v>6.5</v>
      </c>
    </row>
    <row r="132" spans="3:16" outlineLevel="1">
      <c r="C132" s="6" t="s">
        <v>390</v>
      </c>
      <c r="G132" s="469"/>
      <c r="H132" s="470">
        <f t="shared" si="2"/>
        <v>44.900000000000006</v>
      </c>
      <c r="I132" s="476">
        <v>7</v>
      </c>
      <c r="K132" s="6" t="s">
        <v>475</v>
      </c>
    </row>
    <row r="133" spans="3:16" ht="16.2" outlineLevel="1">
      <c r="C133" s="416" t="s">
        <v>386</v>
      </c>
      <c r="D133" s="452">
        <f>$D$121+D130</f>
        <v>19.138095238095239</v>
      </c>
      <c r="E133" s="6" t="s">
        <v>16</v>
      </c>
      <c r="G133" s="469"/>
      <c r="H133" s="470">
        <f t="shared" si="2"/>
        <v>49.888888888888886</v>
      </c>
      <c r="I133" s="476">
        <v>7.5</v>
      </c>
      <c r="L133" s="407" t="s">
        <v>474</v>
      </c>
      <c r="M133" s="407" t="s">
        <v>251</v>
      </c>
      <c r="N133" s="407" t="s">
        <v>371</v>
      </c>
    </row>
    <row r="134" spans="3:16" outlineLevel="1">
      <c r="C134" s="416" t="s">
        <v>1208</v>
      </c>
      <c r="D134" s="452">
        <f>$D$121+D131</f>
        <v>16.733333333333334</v>
      </c>
      <c r="E134" s="6" t="s">
        <v>16</v>
      </c>
      <c r="G134" s="469"/>
      <c r="H134" s="470">
        <f t="shared" si="2"/>
        <v>55.261538461538464</v>
      </c>
      <c r="I134" s="476">
        <v>8</v>
      </c>
      <c r="L134" s="473">
        <f t="array" ref="L134:N134">LINEST(I118:I141,H118:H141^{1,2})</f>
        <v>-7.610289197229101E-4</v>
      </c>
      <c r="M134" s="473">
        <v>0.1830045608373907</v>
      </c>
      <c r="N134" s="473">
        <v>0.30387288803106971</v>
      </c>
    </row>
    <row r="135" spans="3:16" outlineLevel="1">
      <c r="C135" s="6" t="s">
        <v>465</v>
      </c>
      <c r="G135" s="469"/>
      <c r="H135" s="470">
        <f t="shared" si="2"/>
        <v>61.064000000000007</v>
      </c>
      <c r="I135" s="476">
        <v>8.5</v>
      </c>
    </row>
    <row r="136" spans="3:16" outlineLevel="1">
      <c r="C136" s="416" t="s">
        <v>386</v>
      </c>
      <c r="D136" s="482">
        <f>(($L$134*D133^2+$M$134*D133+$N$134)-($L$134*$D$121^2+$M$134*$D$121+$N$134))/100</f>
        <v>6.4978226576783539E-3</v>
      </c>
      <c r="G136" s="469"/>
      <c r="H136" s="470">
        <f t="shared" si="2"/>
        <v>67.350000000000009</v>
      </c>
      <c r="I136" s="476">
        <v>9</v>
      </c>
    </row>
    <row r="137" spans="3:16" outlineLevel="1">
      <c r="C137" s="416" t="s">
        <v>1208</v>
      </c>
      <c r="D137" s="482">
        <f>(($L$134*D134^2+$M$134*D134+$N$134)-($L$134*$D$121^2+$M$134*$D$121+$N$134))/100</f>
        <v>2.7534793251596311E-3</v>
      </c>
      <c r="G137" s="469"/>
      <c r="H137" s="470">
        <f t="shared" si="2"/>
        <v>74.182608695652178</v>
      </c>
      <c r="I137" s="476">
        <v>9.5</v>
      </c>
    </row>
    <row r="138" spans="3:16" outlineLevel="1">
      <c r="C138" s="6" t="s">
        <v>468</v>
      </c>
      <c r="D138" s="407"/>
      <c r="G138" s="469"/>
      <c r="H138" s="470">
        <f t="shared" si="2"/>
        <v>81.636363636363654</v>
      </c>
      <c r="I138" s="476">
        <v>10</v>
      </c>
    </row>
    <row r="139" spans="3:16" outlineLevel="1">
      <c r="C139" s="416" t="s">
        <v>386</v>
      </c>
      <c r="D139" s="482">
        <f>D136*$D$77</f>
        <v>2.5991290630713419E-3</v>
      </c>
      <c r="G139" s="469"/>
      <c r="H139" s="470">
        <f t="shared" si="2"/>
        <v>89.800000000000011</v>
      </c>
      <c r="I139" s="476">
        <v>10.5</v>
      </c>
    </row>
    <row r="140" spans="3:16" outlineLevel="1">
      <c r="C140" s="416" t="s">
        <v>1208</v>
      </c>
      <c r="D140" s="482">
        <f>D137*$D$77</f>
        <v>1.1013917300638524E-3</v>
      </c>
      <c r="H140" s="470">
        <f t="shared" si="2"/>
        <v>98.780000000000015</v>
      </c>
      <c r="I140" s="476">
        <v>11</v>
      </c>
    </row>
    <row r="141" spans="3:16" ht="15" outlineLevel="1" thickBot="1">
      <c r="H141" s="471">
        <f t="shared" si="2"/>
        <v>108.70526315789475</v>
      </c>
      <c r="I141" s="477">
        <v>11.5</v>
      </c>
    </row>
    <row r="142" spans="3:16" ht="15" outlineLevel="1" thickBot="1">
      <c r="C142" s="430" t="s">
        <v>110</v>
      </c>
      <c r="D142" s="417"/>
      <c r="P142" s="440"/>
    </row>
    <row r="143" spans="3:16" outlineLevel="1">
      <c r="C143" s="434" t="s">
        <v>458</v>
      </c>
      <c r="D143" s="435"/>
      <c r="E143" s="436"/>
      <c r="F143" s="436"/>
      <c r="G143" s="436"/>
      <c r="H143" s="436"/>
      <c r="I143" s="436"/>
      <c r="J143" s="436"/>
      <c r="K143" s="436"/>
      <c r="L143" s="436"/>
      <c r="M143" s="436"/>
      <c r="N143" s="436"/>
      <c r="O143" s="436"/>
      <c r="P143" s="437"/>
    </row>
    <row r="144" spans="3:16" outlineLevel="1">
      <c r="C144" s="461" t="s">
        <v>460</v>
      </c>
      <c r="P144" s="463"/>
    </row>
    <row r="145" spans="1:16" ht="15" outlineLevel="1" thickBot="1">
      <c r="C145" s="438" t="s">
        <v>778</v>
      </c>
      <c r="D145" s="439"/>
      <c r="E145" s="440"/>
      <c r="F145" s="440"/>
      <c r="G145" s="440"/>
      <c r="H145" s="440"/>
      <c r="I145" s="440"/>
      <c r="J145" s="440"/>
      <c r="K145" s="440"/>
      <c r="L145" s="440"/>
      <c r="M145" s="440"/>
      <c r="N145" s="440"/>
      <c r="O145" s="440"/>
      <c r="P145" s="441"/>
    </row>
    <row r="146" spans="1:16" outlineLevel="1"/>
    <row r="147" spans="1:16" s="394" customFormat="1">
      <c r="A147" s="445"/>
      <c r="B147" s="5"/>
      <c r="C147" s="5"/>
      <c r="D147" s="5"/>
      <c r="E147" s="444"/>
      <c r="F147" s="444"/>
      <c r="G147" s="444"/>
      <c r="H147" s="444"/>
      <c r="I147" s="444"/>
      <c r="J147" s="444"/>
      <c r="K147" s="444"/>
      <c r="L147" s="444"/>
      <c r="M147" s="444"/>
      <c r="N147" s="444"/>
      <c r="O147" s="444"/>
      <c r="P147" s="444"/>
    </row>
    <row r="148" spans="1:16" ht="6" customHeight="1"/>
    <row r="149" spans="1:16" ht="18">
      <c r="B149" s="400" t="s">
        <v>444</v>
      </c>
      <c r="C149" s="398" t="s">
        <v>258</v>
      </c>
    </row>
    <row r="150" spans="1:16" ht="18.600000000000001" outlineLevel="1" thickBot="1">
      <c r="B150" s="400"/>
      <c r="C150" s="429" t="s">
        <v>456</v>
      </c>
      <c r="P150" s="432"/>
    </row>
    <row r="151" spans="1:16" ht="18.75" customHeight="1" outlineLevel="1">
      <c r="B151" s="400"/>
      <c r="C151" s="1853" t="s">
        <v>1249</v>
      </c>
      <c r="D151" s="1854"/>
      <c r="E151" s="1854"/>
      <c r="F151" s="1854"/>
      <c r="G151" s="1854"/>
      <c r="H151" s="1854"/>
      <c r="I151" s="1854"/>
      <c r="J151" s="1854"/>
      <c r="K151" s="1854"/>
      <c r="L151" s="1854"/>
      <c r="M151" s="1854"/>
      <c r="N151" s="1854"/>
      <c r="O151" s="1854"/>
      <c r="P151" s="1855"/>
    </row>
    <row r="152" spans="1:16" ht="18" outlineLevel="1">
      <c r="B152" s="400"/>
      <c r="C152" s="1856"/>
      <c r="D152" s="1857"/>
      <c r="E152" s="1857"/>
      <c r="F152" s="1857"/>
      <c r="G152" s="1857"/>
      <c r="H152" s="1857"/>
      <c r="I152" s="1857"/>
      <c r="J152" s="1857"/>
      <c r="K152" s="1857"/>
      <c r="L152" s="1857"/>
      <c r="M152" s="1857"/>
      <c r="N152" s="1857"/>
      <c r="O152" s="1857"/>
      <c r="P152" s="1858"/>
    </row>
    <row r="153" spans="1:16" ht="18" outlineLevel="1">
      <c r="B153" s="400"/>
      <c r="C153" s="1856"/>
      <c r="D153" s="1857"/>
      <c r="E153" s="1857"/>
      <c r="F153" s="1857"/>
      <c r="G153" s="1857"/>
      <c r="H153" s="1857"/>
      <c r="I153" s="1857"/>
      <c r="J153" s="1857"/>
      <c r="K153" s="1857"/>
      <c r="L153" s="1857"/>
      <c r="M153" s="1857"/>
      <c r="N153" s="1857"/>
      <c r="O153" s="1857"/>
      <c r="P153" s="1858"/>
    </row>
    <row r="154" spans="1:16" ht="18" outlineLevel="1">
      <c r="B154" s="400"/>
      <c r="C154" s="1856"/>
      <c r="D154" s="1857"/>
      <c r="E154" s="1857"/>
      <c r="F154" s="1857"/>
      <c r="G154" s="1857"/>
      <c r="H154" s="1857"/>
      <c r="I154" s="1857"/>
      <c r="J154" s="1857"/>
      <c r="K154" s="1857"/>
      <c r="L154" s="1857"/>
      <c r="M154" s="1857"/>
      <c r="N154" s="1857"/>
      <c r="O154" s="1857"/>
      <c r="P154" s="1858"/>
    </row>
    <row r="155" spans="1:16" ht="18" outlineLevel="1">
      <c r="B155" s="400"/>
      <c r="C155" s="1856"/>
      <c r="D155" s="1857"/>
      <c r="E155" s="1857"/>
      <c r="F155" s="1857"/>
      <c r="G155" s="1857"/>
      <c r="H155" s="1857"/>
      <c r="I155" s="1857"/>
      <c r="J155" s="1857"/>
      <c r="K155" s="1857"/>
      <c r="L155" s="1857"/>
      <c r="M155" s="1857"/>
      <c r="N155" s="1857"/>
      <c r="O155" s="1857"/>
      <c r="P155" s="1858"/>
    </row>
    <row r="156" spans="1:16" ht="18.600000000000001" outlineLevel="1" thickBot="1">
      <c r="B156" s="400"/>
      <c r="C156" s="1859"/>
      <c r="D156" s="1860"/>
      <c r="E156" s="1860"/>
      <c r="F156" s="1860"/>
      <c r="G156" s="1860"/>
      <c r="H156" s="1860"/>
      <c r="I156" s="1860"/>
      <c r="J156" s="1860"/>
      <c r="K156" s="1860"/>
      <c r="L156" s="1860"/>
      <c r="M156" s="1860"/>
      <c r="N156" s="1860"/>
      <c r="O156" s="1860"/>
      <c r="P156" s="1861"/>
    </row>
    <row r="157" spans="1:16" ht="18" outlineLevel="1">
      <c r="B157" s="400"/>
      <c r="C157" s="574"/>
      <c r="D157" s="433"/>
      <c r="E157" s="433"/>
      <c r="F157" s="433"/>
      <c r="G157" s="433"/>
      <c r="H157" s="433"/>
      <c r="I157" s="433"/>
      <c r="J157" s="433"/>
      <c r="K157" s="433"/>
      <c r="L157" s="433"/>
      <c r="M157" s="433"/>
      <c r="N157" s="433"/>
      <c r="O157" s="433"/>
      <c r="P157" s="433"/>
    </row>
    <row r="158" spans="1:16" ht="18" outlineLevel="1">
      <c r="B158" s="400"/>
      <c r="C158" s="574"/>
      <c r="D158" s="637" t="s">
        <v>947</v>
      </c>
      <c r="E158" s="433"/>
      <c r="F158" s="433"/>
      <c r="G158" s="433"/>
      <c r="H158" s="433"/>
      <c r="I158" s="433"/>
      <c r="J158" s="433"/>
      <c r="K158" s="433"/>
      <c r="L158" s="433"/>
      <c r="M158" s="433"/>
      <c r="N158" s="433"/>
      <c r="O158" s="433"/>
      <c r="P158" s="433"/>
    </row>
    <row r="159" spans="1:16" ht="18" outlineLevel="1">
      <c r="B159" s="400"/>
      <c r="C159" s="578" t="s">
        <v>786</v>
      </c>
      <c r="D159" s="578"/>
      <c r="E159" s="578"/>
      <c r="F159" s="433"/>
      <c r="G159" s="433"/>
      <c r="H159" s="433"/>
      <c r="I159" s="433"/>
      <c r="J159" s="433"/>
      <c r="K159" s="433"/>
      <c r="L159" s="433"/>
      <c r="M159" s="433"/>
      <c r="N159" s="433"/>
      <c r="O159" s="433"/>
      <c r="P159" s="433"/>
    </row>
    <row r="160" spans="1:16" ht="21.75" customHeight="1" outlineLevel="1">
      <c r="B160" s="400"/>
      <c r="C160" s="1863" t="s">
        <v>1075</v>
      </c>
      <c r="D160" s="1863"/>
      <c r="E160" s="1863"/>
      <c r="F160" s="637" t="s">
        <v>952</v>
      </c>
      <c r="G160" s="433"/>
      <c r="H160" s="433"/>
      <c r="I160" s="433"/>
      <c r="J160" s="433"/>
      <c r="K160" s="433"/>
      <c r="L160" s="433"/>
      <c r="M160" s="433"/>
      <c r="N160" s="433"/>
      <c r="O160" s="433"/>
      <c r="P160" s="433"/>
    </row>
    <row r="161" spans="2:16" ht="21.75" customHeight="1" outlineLevel="1">
      <c r="B161" s="400"/>
      <c r="C161" s="1863" t="s">
        <v>1076</v>
      </c>
      <c r="D161" s="1863"/>
      <c r="E161" s="1863"/>
      <c r="F161" s="637" t="s">
        <v>952</v>
      </c>
      <c r="G161" s="433"/>
      <c r="H161" s="433"/>
      <c r="I161" s="433"/>
      <c r="J161" s="433"/>
      <c r="K161" s="433"/>
      <c r="L161" s="433"/>
      <c r="M161" s="433"/>
      <c r="N161" s="433"/>
      <c r="O161" s="433"/>
      <c r="P161" s="433"/>
    </row>
    <row r="162" spans="2:16" ht="18" outlineLevel="1">
      <c r="B162" s="400"/>
      <c r="C162" s="707" t="s">
        <v>1077</v>
      </c>
      <c r="D162" s="578"/>
      <c r="E162" s="578"/>
      <c r="F162" s="433"/>
      <c r="G162" s="433"/>
      <c r="H162" s="433"/>
      <c r="I162" s="433"/>
      <c r="J162" s="433"/>
      <c r="K162" s="433"/>
      <c r="L162" s="433"/>
      <c r="M162" s="433"/>
      <c r="N162" s="433"/>
      <c r="O162" s="433"/>
      <c r="P162" s="433"/>
    </row>
    <row r="163" spans="2:16" ht="18" outlineLevel="1">
      <c r="B163" s="400"/>
      <c r="C163" s="579" t="s">
        <v>787</v>
      </c>
      <c r="D163" s="578"/>
      <c r="E163" s="578"/>
      <c r="F163" s="433"/>
      <c r="G163" s="433"/>
      <c r="H163" s="433"/>
      <c r="I163" s="433"/>
      <c r="J163" s="433"/>
      <c r="K163" s="433"/>
      <c r="L163" s="433"/>
      <c r="M163" s="433"/>
      <c r="N163" s="433"/>
      <c r="O163" s="433"/>
      <c r="P163" s="433"/>
    </row>
    <row r="164" spans="2:16" ht="18" outlineLevel="1">
      <c r="B164" s="400"/>
      <c r="C164" s="433"/>
      <c r="D164" s="610"/>
      <c r="E164" s="433"/>
      <c r="F164" s="433"/>
      <c r="G164" s="433"/>
      <c r="H164" s="433"/>
      <c r="I164" s="433"/>
      <c r="J164" s="433"/>
      <c r="K164" s="433"/>
      <c r="L164" s="433"/>
      <c r="M164" s="433"/>
      <c r="N164" s="433"/>
      <c r="O164" s="433"/>
      <c r="P164" s="433"/>
    </row>
    <row r="165" spans="2:16" ht="18" outlineLevel="1">
      <c r="B165" s="400"/>
      <c r="C165" s="433" t="s">
        <v>1292</v>
      </c>
      <c r="D165" s="840">
        <v>0.9</v>
      </c>
      <c r="E165" s="433"/>
      <c r="F165" s="433"/>
      <c r="G165" s="433"/>
      <c r="H165" s="433"/>
      <c r="I165" s="433"/>
      <c r="J165" s="433"/>
      <c r="K165" s="433"/>
      <c r="L165" s="433"/>
      <c r="M165" s="433"/>
      <c r="N165" s="433"/>
      <c r="O165" s="433"/>
      <c r="P165" s="433"/>
    </row>
    <row r="166" spans="2:16" ht="18" outlineLevel="1">
      <c r="B166" s="400"/>
      <c r="C166" s="433" t="s">
        <v>1291</v>
      </c>
      <c r="D166" s="769">
        <v>0.79</v>
      </c>
      <c r="E166" s="582"/>
      <c r="F166" s="433"/>
      <c r="G166" s="433"/>
      <c r="H166" s="433"/>
      <c r="I166" s="433"/>
      <c r="J166" s="433"/>
      <c r="K166" s="433"/>
      <c r="L166" s="433"/>
      <c r="M166" s="433"/>
      <c r="N166" s="433"/>
      <c r="O166" s="433"/>
      <c r="P166" s="433"/>
    </row>
    <row r="167" spans="2:16" ht="18" outlineLevel="1">
      <c r="B167" s="400"/>
      <c r="C167" s="433" t="s">
        <v>1236</v>
      </c>
      <c r="D167" s="776">
        <v>0.8</v>
      </c>
      <c r="E167" s="582"/>
      <c r="F167" s="433"/>
      <c r="G167" s="433"/>
      <c r="H167" s="433"/>
      <c r="I167" s="433"/>
      <c r="J167" s="433"/>
      <c r="K167" s="433"/>
      <c r="L167" s="433"/>
      <c r="M167" s="433"/>
      <c r="N167" s="433"/>
      <c r="O167" s="433"/>
      <c r="P167" s="433"/>
    </row>
    <row r="168" spans="2:16" ht="18" outlineLevel="1">
      <c r="B168" s="400"/>
      <c r="C168" s="433" t="s">
        <v>1162</v>
      </c>
      <c r="D168" s="769" t="s">
        <v>1159</v>
      </c>
      <c r="E168" s="582"/>
      <c r="F168" s="433"/>
      <c r="G168" s="433"/>
      <c r="H168" s="433"/>
      <c r="I168" s="433"/>
      <c r="J168" s="433"/>
      <c r="K168" s="433"/>
      <c r="L168" s="433"/>
      <c r="M168" s="433"/>
      <c r="N168" s="433"/>
      <c r="O168" s="433"/>
      <c r="P168" s="433"/>
    </row>
    <row r="169" spans="2:16" ht="18" outlineLevel="1">
      <c r="B169" s="400"/>
      <c r="C169" s="433" t="s">
        <v>1161</v>
      </c>
      <c r="D169" s="775" t="s">
        <v>1160</v>
      </c>
      <c r="E169" s="582"/>
      <c r="F169" s="433"/>
      <c r="G169" s="433"/>
      <c r="H169" s="433"/>
      <c r="I169" s="433"/>
      <c r="J169" s="433"/>
      <c r="K169" s="433"/>
      <c r="L169" s="433"/>
      <c r="M169" s="433"/>
      <c r="N169" s="433"/>
      <c r="O169" s="433"/>
      <c r="P169" s="433"/>
    </row>
    <row r="170" spans="2:16" ht="18" outlineLevel="1">
      <c r="B170" s="400"/>
      <c r="C170" s="580" t="s">
        <v>1215</v>
      </c>
      <c r="D170" s="635"/>
      <c r="E170" s="582"/>
      <c r="F170" s="433"/>
      <c r="G170" s="433"/>
      <c r="H170" s="433"/>
      <c r="I170" s="433"/>
      <c r="J170" s="433"/>
      <c r="K170" s="433"/>
      <c r="L170" s="433"/>
      <c r="M170" s="433"/>
      <c r="N170" s="433"/>
      <c r="O170" s="433"/>
      <c r="P170" s="433"/>
    </row>
    <row r="171" spans="2:16" ht="18" outlineLevel="1">
      <c r="B171" s="400"/>
      <c r="C171" s="578" t="s">
        <v>1156</v>
      </c>
      <c r="D171" s="407"/>
      <c r="F171" s="433"/>
      <c r="G171" s="433"/>
      <c r="H171" s="433"/>
      <c r="I171" s="433"/>
      <c r="J171" s="433"/>
      <c r="K171" s="433"/>
      <c r="L171" s="433"/>
      <c r="M171" s="433"/>
      <c r="N171" s="433"/>
      <c r="O171" s="433"/>
      <c r="P171" s="433"/>
    </row>
    <row r="172" spans="2:16" ht="18" outlineLevel="1">
      <c r="B172" s="400"/>
      <c r="C172" s="770" t="s">
        <v>783</v>
      </c>
      <c r="D172" s="451">
        <f>CONVERT(65,"F","C")</f>
        <v>18.333333333333332</v>
      </c>
      <c r="E172" s="6" t="s">
        <v>13</v>
      </c>
      <c r="F172" s="433"/>
      <c r="G172" s="433"/>
      <c r="H172" s="433"/>
      <c r="I172" s="433"/>
      <c r="J172" s="433"/>
      <c r="K172" s="433"/>
      <c r="L172" s="433"/>
      <c r="M172" s="433"/>
      <c r="N172" s="433"/>
      <c r="O172" s="433"/>
      <c r="P172" s="433"/>
    </row>
    <row r="173" spans="2:16" ht="18" outlineLevel="1">
      <c r="B173" s="400"/>
      <c r="C173" s="770" t="s">
        <v>784</v>
      </c>
      <c r="D173" s="407"/>
      <c r="F173" s="433"/>
      <c r="G173" s="433"/>
      <c r="H173" s="433"/>
      <c r="I173" s="433"/>
      <c r="J173" s="433"/>
      <c r="K173" s="433"/>
      <c r="L173" s="433"/>
      <c r="M173" s="433"/>
      <c r="N173" s="433"/>
      <c r="O173" s="433"/>
      <c r="P173" s="433"/>
    </row>
    <row r="174" spans="2:16" ht="18" outlineLevel="1">
      <c r="B174" s="400"/>
      <c r="C174" s="576" t="s">
        <v>1209</v>
      </c>
      <c r="D174" s="611">
        <f>D124</f>
        <v>6.8</v>
      </c>
      <c r="E174" s="6" t="s">
        <v>388</v>
      </c>
      <c r="F174" s="433"/>
      <c r="G174" s="433"/>
      <c r="H174" s="433"/>
      <c r="I174" s="433"/>
      <c r="J174" s="433"/>
      <c r="K174" s="581"/>
      <c r="L174" s="433"/>
      <c r="M174" s="433"/>
      <c r="N174" s="433"/>
      <c r="O174" s="433"/>
      <c r="P174" s="433"/>
    </row>
    <row r="175" spans="2:16" ht="18" outlineLevel="1">
      <c r="B175" s="400"/>
      <c r="C175" s="576" t="s">
        <v>394</v>
      </c>
      <c r="D175" s="611">
        <f>D123</f>
        <v>-0.41428571428571404</v>
      </c>
      <c r="E175" s="6" t="s">
        <v>384</v>
      </c>
      <c r="F175" s="433"/>
      <c r="G175" s="433"/>
      <c r="H175" s="433"/>
      <c r="I175" s="433"/>
      <c r="J175" s="433"/>
      <c r="K175" s="433"/>
      <c r="L175" s="433"/>
      <c r="M175" s="433"/>
      <c r="N175" s="433"/>
      <c r="O175" s="433"/>
      <c r="P175" s="433"/>
    </row>
    <row r="176" spans="2:16" ht="18" outlineLevel="1">
      <c r="B176" s="400"/>
      <c r="C176" s="578" t="s">
        <v>855</v>
      </c>
      <c r="D176" s="612"/>
      <c r="F176" s="433"/>
      <c r="G176" s="433"/>
      <c r="H176" s="433"/>
      <c r="I176" s="433"/>
      <c r="J176" s="433"/>
      <c r="K176" s="433"/>
      <c r="L176" s="433"/>
      <c r="M176" s="433"/>
      <c r="N176" s="433"/>
      <c r="O176" s="433"/>
      <c r="P176" s="433"/>
    </row>
    <row r="177" spans="2:16" ht="18" outlineLevel="1">
      <c r="B177" s="400"/>
      <c r="C177" s="576" t="s">
        <v>783</v>
      </c>
      <c r="D177" s="611">
        <v>0</v>
      </c>
      <c r="E177" s="6" t="s">
        <v>794</v>
      </c>
      <c r="F177" s="433"/>
      <c r="G177" s="433"/>
      <c r="H177" s="433"/>
      <c r="I177" s="433"/>
      <c r="J177" s="433"/>
      <c r="K177" s="433"/>
      <c r="L177" s="433"/>
      <c r="M177" s="433"/>
      <c r="N177" s="433"/>
      <c r="O177" s="433"/>
      <c r="P177" s="433"/>
    </row>
    <row r="178" spans="2:16" ht="18" outlineLevel="1">
      <c r="B178" s="400"/>
      <c r="C178" s="576" t="s">
        <v>784</v>
      </c>
      <c r="D178" s="611">
        <v>2.2351999999999999</v>
      </c>
      <c r="E178" s="6" t="s">
        <v>930</v>
      </c>
      <c r="F178" s="572" t="s">
        <v>1214</v>
      </c>
      <c r="G178" s="433"/>
      <c r="H178" s="433"/>
      <c r="I178" s="637" t="s">
        <v>948</v>
      </c>
      <c r="J178" s="433"/>
      <c r="K178" s="433"/>
      <c r="L178" s="433"/>
      <c r="M178" s="433"/>
      <c r="N178" s="433"/>
      <c r="O178" s="433"/>
      <c r="P178" s="433"/>
    </row>
    <row r="179" spans="2:16" ht="18" outlineLevel="1">
      <c r="B179" s="400"/>
      <c r="C179" s="576"/>
      <c r="D179" s="612"/>
      <c r="F179" s="572"/>
      <c r="G179" s="433"/>
      <c r="H179" s="433"/>
      <c r="I179" s="637"/>
      <c r="J179" s="433"/>
      <c r="K179" s="433"/>
      <c r="L179" s="433"/>
      <c r="M179" s="433"/>
      <c r="N179" s="433"/>
      <c r="O179" s="433"/>
      <c r="P179" s="433"/>
    </row>
    <row r="180" spans="2:16" ht="18" outlineLevel="1">
      <c r="B180" s="400"/>
      <c r="C180" s="578" t="s">
        <v>1155</v>
      </c>
      <c r="D180" s="613">
        <v>0.06</v>
      </c>
      <c r="E180" s="6" t="s">
        <v>792</v>
      </c>
      <c r="F180" s="472" t="s">
        <v>998</v>
      </c>
      <c r="G180" s="433"/>
      <c r="H180" s="433"/>
      <c r="I180" s="433"/>
      <c r="J180" s="433"/>
      <c r="K180" s="433"/>
      <c r="L180" s="433"/>
      <c r="M180" s="433"/>
      <c r="N180" s="433"/>
      <c r="O180" s="433"/>
      <c r="P180" s="433"/>
    </row>
    <row r="181" spans="2:16" ht="18" outlineLevel="1">
      <c r="B181" s="400"/>
      <c r="C181" s="788"/>
      <c r="G181" s="433"/>
      <c r="H181" s="433"/>
      <c r="I181" s="433"/>
      <c r="J181" s="433"/>
      <c r="K181" s="433"/>
      <c r="L181" s="433"/>
      <c r="M181" s="433"/>
      <c r="N181" s="433"/>
      <c r="O181" s="433"/>
      <c r="P181" s="433"/>
    </row>
    <row r="182" spans="2:16" ht="18" outlineLevel="1">
      <c r="B182" s="400"/>
      <c r="C182" s="578" t="s">
        <v>979</v>
      </c>
      <c r="F182" s="572"/>
      <c r="G182" s="433"/>
      <c r="H182" s="433"/>
      <c r="I182" s="433"/>
      <c r="J182" s="433"/>
      <c r="K182" s="433"/>
      <c r="L182" s="433"/>
      <c r="M182" s="433"/>
      <c r="N182" s="433"/>
      <c r="O182" s="433"/>
      <c r="P182" s="433"/>
    </row>
    <row r="183" spans="2:16" ht="18" outlineLevel="1">
      <c r="B183" s="400"/>
      <c r="C183" s="576" t="s">
        <v>783</v>
      </c>
      <c r="D183" s="611">
        <v>1</v>
      </c>
      <c r="E183" s="6" t="s">
        <v>792</v>
      </c>
      <c r="F183" s="572"/>
      <c r="G183" s="433"/>
      <c r="H183" s="433"/>
      <c r="I183" s="433"/>
      <c r="J183" s="433"/>
      <c r="K183" s="433"/>
      <c r="L183" s="433"/>
      <c r="M183" s="433"/>
      <c r="N183" s="433"/>
      <c r="O183" s="433"/>
      <c r="P183" s="433"/>
    </row>
    <row r="184" spans="2:16" ht="18" outlineLevel="1">
      <c r="B184" s="400"/>
      <c r="C184" s="576" t="s">
        <v>784</v>
      </c>
      <c r="D184" s="611">
        <v>2</v>
      </c>
      <c r="E184" s="6" t="s">
        <v>792</v>
      </c>
      <c r="F184" s="572"/>
      <c r="G184" s="433"/>
      <c r="H184" s="433"/>
      <c r="I184" s="433"/>
      <c r="J184" s="433"/>
      <c r="K184" s="433"/>
      <c r="L184" s="433"/>
      <c r="M184" s="433"/>
      <c r="N184" s="433"/>
      <c r="O184" s="433"/>
      <c r="P184" s="433"/>
    </row>
    <row r="185" spans="2:16" ht="18" outlineLevel="1">
      <c r="B185" s="400"/>
      <c r="C185" s="576"/>
      <c r="D185" s="673"/>
      <c r="F185" s="572"/>
      <c r="G185" s="433"/>
      <c r="H185" s="433"/>
      <c r="I185" s="433"/>
      <c r="J185" s="433"/>
      <c r="K185" s="433"/>
      <c r="L185" s="433"/>
      <c r="M185" s="433"/>
      <c r="N185" s="433"/>
      <c r="O185" s="433"/>
      <c r="P185" s="433"/>
    </row>
    <row r="186" spans="2:16" ht="18" outlineLevel="1">
      <c r="B186" s="400"/>
      <c r="C186" s="638" t="s">
        <v>955</v>
      </c>
      <c r="D186" s="639"/>
      <c r="E186" s="632"/>
      <c r="F186" s="640"/>
      <c r="G186" s="640"/>
      <c r="H186" s="640"/>
      <c r="I186" s="640"/>
      <c r="J186" s="640"/>
      <c r="K186" s="640"/>
      <c r="L186" s="640"/>
      <c r="M186" s="640"/>
      <c r="N186" s="640"/>
      <c r="O186" s="640"/>
      <c r="P186" s="640"/>
    </row>
    <row r="187" spans="2:16" ht="18" outlineLevel="1">
      <c r="B187" s="400"/>
      <c r="C187" s="641"/>
      <c r="D187" s="642"/>
      <c r="E187" s="458"/>
      <c r="F187" s="643"/>
      <c r="G187" s="433"/>
      <c r="H187" s="433"/>
      <c r="I187" s="433"/>
      <c r="J187" s="433"/>
      <c r="K187" s="433"/>
      <c r="L187" s="433"/>
      <c r="M187" s="433"/>
      <c r="N187" s="433"/>
      <c r="O187" s="433"/>
      <c r="P187" s="433"/>
    </row>
    <row r="188" spans="2:16" ht="18" outlineLevel="1">
      <c r="B188" s="400"/>
      <c r="C188" s="641"/>
      <c r="D188" s="642"/>
      <c r="E188" s="458"/>
      <c r="F188" s="643"/>
      <c r="G188" s="433"/>
      <c r="H188" s="433"/>
      <c r="I188" s="433"/>
      <c r="J188" s="433"/>
      <c r="K188" s="433"/>
      <c r="L188" s="433"/>
      <c r="M188" s="433"/>
      <c r="N188" s="433"/>
      <c r="O188" s="433"/>
      <c r="P188" s="433"/>
    </row>
    <row r="189" spans="2:16" ht="18" outlineLevel="1">
      <c r="B189" s="400"/>
      <c r="C189" s="433" t="s">
        <v>786</v>
      </c>
      <c r="D189" s="612"/>
      <c r="F189" s="572"/>
      <c r="G189" s="433"/>
      <c r="H189" s="433"/>
      <c r="I189" s="433"/>
      <c r="J189" s="433"/>
      <c r="K189" s="433"/>
      <c r="L189" s="433"/>
      <c r="M189" s="433"/>
      <c r="N189" s="433"/>
      <c r="O189" s="433"/>
      <c r="P189" s="433"/>
    </row>
    <row r="190" spans="2:16" ht="18" outlineLevel="1">
      <c r="B190" s="400"/>
      <c r="C190" s="6" t="s">
        <v>957</v>
      </c>
      <c r="F190" s="572"/>
      <c r="G190" s="433"/>
      <c r="H190" s="433"/>
      <c r="I190" s="433"/>
      <c r="J190" s="433"/>
      <c r="K190" s="433"/>
      <c r="L190" s="433"/>
      <c r="M190" s="433"/>
      <c r="N190" s="433"/>
      <c r="O190" s="433"/>
      <c r="P190" s="433"/>
    </row>
    <row r="191" spans="2:16" ht="18" outlineLevel="1">
      <c r="B191" s="400"/>
      <c r="C191" s="454" t="s">
        <v>958</v>
      </c>
      <c r="F191" s="636" t="s">
        <v>956</v>
      </c>
      <c r="G191" s="433"/>
      <c r="H191" s="433"/>
      <c r="I191" s="433"/>
      <c r="J191" s="433"/>
      <c r="K191" s="433"/>
      <c r="L191" s="433"/>
      <c r="M191" s="433"/>
      <c r="N191" s="433"/>
      <c r="O191" s="433"/>
      <c r="P191" s="433"/>
    </row>
    <row r="192" spans="2:16" ht="18" outlineLevel="1">
      <c r="B192" s="400"/>
      <c r="C192" s="454" t="s">
        <v>1078</v>
      </c>
      <c r="D192" s="642"/>
      <c r="E192" s="458"/>
      <c r="F192" s="643"/>
      <c r="G192" s="433"/>
      <c r="H192" s="433"/>
      <c r="I192" s="433"/>
      <c r="J192" s="433"/>
      <c r="K192" s="433"/>
      <c r="L192" s="433"/>
      <c r="M192" s="433"/>
      <c r="N192" s="433"/>
      <c r="O192" s="433"/>
      <c r="P192" s="433"/>
    </row>
    <row r="193" spans="2:16" ht="18" outlineLevel="1">
      <c r="B193" s="400"/>
      <c r="C193" s="454"/>
      <c r="D193" s="642"/>
      <c r="E193" s="458"/>
      <c r="F193" s="643"/>
      <c r="G193" s="433"/>
      <c r="H193" s="433"/>
      <c r="I193" s="433"/>
      <c r="J193" s="433"/>
      <c r="K193" s="433"/>
      <c r="L193" s="433"/>
      <c r="M193" s="433"/>
      <c r="N193" s="433"/>
      <c r="O193" s="433"/>
      <c r="P193" s="433"/>
    </row>
    <row r="194" spans="2:16" ht="18" outlineLevel="1">
      <c r="B194" s="400"/>
      <c r="C194" s="641" t="s">
        <v>1068</v>
      </c>
      <c r="D194" s="612"/>
      <c r="F194" s="572"/>
      <c r="G194" s="433"/>
      <c r="H194" s="433"/>
      <c r="I194" s="433"/>
      <c r="J194" s="433"/>
      <c r="K194" s="433"/>
      <c r="L194" s="433"/>
      <c r="M194" s="433"/>
      <c r="N194" s="433"/>
      <c r="O194" s="433"/>
      <c r="P194" s="433"/>
    </row>
    <row r="195" spans="2:16" ht="18" outlineLevel="1">
      <c r="B195" s="400"/>
      <c r="C195" s="457" t="s">
        <v>961</v>
      </c>
      <c r="D195" s="644">
        <v>150</v>
      </c>
      <c r="E195" s="6" t="s">
        <v>317</v>
      </c>
      <c r="F195" s="572"/>
      <c r="G195" s="433"/>
      <c r="H195" s="433"/>
      <c r="I195" s="433"/>
      <c r="J195" s="433"/>
      <c r="K195" s="433"/>
      <c r="L195" s="433"/>
      <c r="M195" s="433"/>
      <c r="N195" s="433"/>
      <c r="O195" s="433"/>
      <c r="P195" s="433"/>
    </row>
    <row r="196" spans="2:16" ht="30" customHeight="1" outlineLevel="1">
      <c r="B196" s="400"/>
      <c r="D196" s="648" t="s">
        <v>959</v>
      </c>
      <c r="E196" s="645" t="s">
        <v>960</v>
      </c>
      <c r="G196" s="1862" t="s">
        <v>1280</v>
      </c>
      <c r="H196" s="1862"/>
      <c r="I196" s="433"/>
      <c r="J196" s="433"/>
      <c r="K196" s="433"/>
      <c r="L196" s="433"/>
      <c r="M196" s="433"/>
      <c r="N196" s="433"/>
      <c r="O196" s="433"/>
      <c r="P196" s="433"/>
    </row>
    <row r="197" spans="2:16" ht="18" outlineLevel="1">
      <c r="B197" s="400"/>
      <c r="C197" s="454"/>
      <c r="D197" s="646">
        <v>2</v>
      </c>
      <c r="E197" s="649">
        <v>2.21</v>
      </c>
      <c r="F197" s="572"/>
      <c r="G197" s="433" t="s">
        <v>1220</v>
      </c>
      <c r="H197" s="433" t="s">
        <v>962</v>
      </c>
      <c r="I197" s="433" t="s">
        <v>963</v>
      </c>
      <c r="J197" s="433" t="s">
        <v>1221</v>
      </c>
      <c r="K197" s="433" t="s">
        <v>83</v>
      </c>
      <c r="L197" s="433"/>
      <c r="M197" s="433"/>
      <c r="N197" s="433"/>
      <c r="O197" s="433"/>
      <c r="P197" s="433"/>
    </row>
    <row r="198" spans="2:16" ht="18" outlineLevel="1">
      <c r="B198" s="400"/>
      <c r="C198" s="454"/>
      <c r="D198" s="646">
        <v>2.5</v>
      </c>
      <c r="E198" s="649">
        <v>2.97</v>
      </c>
      <c r="F198" s="572"/>
      <c r="G198" s="647" cm="1">
        <f t="array" ref="G198:K198">LINEST(E197:E211,D197:D211^{1,2,3,4})</f>
        <v>9.635982146602925E-5</v>
      </c>
      <c r="H198" s="647">
        <v>-5.8709287195447607E-3</v>
      </c>
      <c r="I198" s="647">
        <v>0.16840751306961496</v>
      </c>
      <c r="J198" s="647">
        <v>-2.7401236662243211E-2</v>
      </c>
      <c r="K198" s="647">
        <v>2.0484919078065644</v>
      </c>
      <c r="L198" s="433"/>
      <c r="M198" s="433"/>
      <c r="N198" s="433"/>
      <c r="O198" s="433"/>
      <c r="P198" s="433"/>
    </row>
    <row r="199" spans="2:16" ht="18" outlineLevel="1">
      <c r="B199" s="400"/>
      <c r="C199" s="454"/>
      <c r="D199" s="646">
        <v>3</v>
      </c>
      <c r="E199" s="649">
        <v>3.37</v>
      </c>
      <c r="F199" s="572"/>
      <c r="G199" s="433"/>
      <c r="H199" s="433"/>
      <c r="I199" s="433"/>
      <c r="J199" s="433"/>
      <c r="K199" s="433"/>
      <c r="L199" s="433"/>
      <c r="M199" s="433"/>
      <c r="N199" s="433"/>
      <c r="O199" s="433"/>
      <c r="P199" s="433"/>
    </row>
    <row r="200" spans="2:16" ht="18" outlineLevel="1">
      <c r="B200" s="400"/>
      <c r="C200" s="641"/>
      <c r="D200" s="646">
        <v>4</v>
      </c>
      <c r="E200" s="649">
        <v>4.68</v>
      </c>
      <c r="F200" s="572"/>
      <c r="G200" s="433"/>
      <c r="H200" s="433"/>
      <c r="I200" s="433"/>
      <c r="J200" s="433"/>
      <c r="K200" s="433"/>
      <c r="L200" s="433"/>
      <c r="M200" s="433"/>
      <c r="N200" s="433"/>
      <c r="O200" s="433"/>
      <c r="P200" s="433"/>
    </row>
    <row r="201" spans="2:16" ht="18" outlineLevel="1">
      <c r="B201" s="400"/>
      <c r="C201" s="641"/>
      <c r="D201" s="646">
        <v>6</v>
      </c>
      <c r="E201" s="649">
        <v>7.03</v>
      </c>
      <c r="F201" s="572"/>
      <c r="G201" s="433"/>
      <c r="H201" s="433"/>
      <c r="I201" s="433"/>
      <c r="J201" s="433"/>
      <c r="K201" s="433"/>
      <c r="L201" s="433"/>
      <c r="M201" s="433"/>
      <c r="N201" s="433"/>
      <c r="O201" s="433"/>
      <c r="P201" s="433"/>
    </row>
    <row r="202" spans="2:16" ht="18" outlineLevel="1">
      <c r="B202" s="400"/>
      <c r="C202" s="641"/>
      <c r="D202" s="646">
        <v>8</v>
      </c>
      <c r="E202" s="649">
        <v>10.3</v>
      </c>
      <c r="F202" s="572"/>
      <c r="G202" s="433"/>
      <c r="H202" s="433"/>
      <c r="I202" s="433"/>
      <c r="J202" s="433"/>
      <c r="K202" s="433"/>
      <c r="L202" s="433"/>
      <c r="M202" s="433"/>
      <c r="N202" s="433"/>
      <c r="O202" s="433"/>
      <c r="P202" s="433"/>
    </row>
    <row r="203" spans="2:16" ht="18" outlineLevel="1">
      <c r="B203" s="400"/>
      <c r="C203" s="641"/>
      <c r="D203" s="646">
        <v>10</v>
      </c>
      <c r="E203" s="649">
        <v>13.8</v>
      </c>
      <c r="F203" s="572"/>
      <c r="G203" s="433"/>
      <c r="H203" s="433"/>
      <c r="I203" s="433"/>
      <c r="J203" s="433"/>
      <c r="K203" s="433"/>
      <c r="L203" s="433"/>
      <c r="M203" s="433"/>
      <c r="N203" s="433"/>
      <c r="O203" s="433"/>
      <c r="P203" s="433"/>
    </row>
    <row r="204" spans="2:16" ht="18" outlineLevel="1">
      <c r="B204" s="400"/>
      <c r="C204" s="641"/>
      <c r="D204" s="646">
        <v>12</v>
      </c>
      <c r="E204" s="649">
        <v>16.100000000000001</v>
      </c>
      <c r="F204" s="572"/>
      <c r="G204" s="433"/>
      <c r="H204" s="433"/>
      <c r="I204" s="433"/>
      <c r="J204" s="433"/>
      <c r="K204" s="433"/>
      <c r="L204" s="433"/>
      <c r="M204" s="433"/>
      <c r="N204" s="433"/>
      <c r="O204" s="433"/>
      <c r="P204" s="433"/>
    </row>
    <row r="205" spans="2:16" ht="18" outlineLevel="1">
      <c r="B205" s="400"/>
      <c r="C205" s="641"/>
      <c r="D205" s="646">
        <v>14</v>
      </c>
      <c r="E205" s="649">
        <v>22.8</v>
      </c>
      <c r="F205" s="572"/>
      <c r="G205" s="433"/>
      <c r="H205" s="433"/>
      <c r="I205" s="433"/>
      <c r="J205" s="433"/>
      <c r="K205" s="433"/>
      <c r="L205" s="433"/>
      <c r="M205" s="433"/>
      <c r="N205" s="433"/>
      <c r="O205" s="433"/>
      <c r="P205" s="433"/>
    </row>
    <row r="206" spans="2:16" ht="18" outlineLevel="1">
      <c r="B206" s="400"/>
      <c r="C206" s="641"/>
      <c r="D206" s="646">
        <v>16</v>
      </c>
      <c r="E206" s="649">
        <v>27.6</v>
      </c>
      <c r="F206" s="572"/>
      <c r="G206" s="433"/>
      <c r="H206" s="433"/>
      <c r="I206" s="433"/>
      <c r="J206" s="433"/>
      <c r="K206" s="433"/>
      <c r="L206" s="433"/>
      <c r="M206" s="433"/>
      <c r="N206" s="433"/>
      <c r="O206" s="433"/>
      <c r="P206" s="433"/>
    </row>
    <row r="207" spans="2:16" ht="18" outlineLevel="1">
      <c r="B207" s="400"/>
      <c r="C207" s="641"/>
      <c r="D207" s="646">
        <v>18</v>
      </c>
      <c r="E207" s="649">
        <v>31.7</v>
      </c>
      <c r="F207" s="572"/>
      <c r="G207" s="433"/>
      <c r="H207" s="433"/>
      <c r="I207" s="433"/>
      <c r="J207" s="433"/>
      <c r="K207" s="433"/>
      <c r="L207" s="433"/>
      <c r="M207" s="433"/>
      <c r="N207" s="433"/>
      <c r="O207" s="433"/>
      <c r="P207" s="433"/>
    </row>
    <row r="208" spans="2:16" ht="18" outlineLevel="1">
      <c r="B208" s="400"/>
      <c r="C208" s="641"/>
      <c r="D208" s="646">
        <v>20</v>
      </c>
      <c r="E208" s="649">
        <v>37.700000000000003</v>
      </c>
      <c r="F208" s="572"/>
      <c r="G208" s="433"/>
      <c r="H208" s="433"/>
      <c r="I208" s="433"/>
      <c r="J208" s="433"/>
      <c r="K208" s="433"/>
      <c r="L208" s="433"/>
      <c r="M208" s="433"/>
      <c r="N208" s="433"/>
      <c r="O208" s="433"/>
      <c r="P208" s="433"/>
    </row>
    <row r="209" spans="2:16" ht="18" outlineLevel="1">
      <c r="B209" s="400"/>
      <c r="C209" s="641"/>
      <c r="D209" s="646">
        <v>24</v>
      </c>
      <c r="E209" s="649">
        <v>49.1</v>
      </c>
      <c r="F209" s="572"/>
      <c r="G209" s="433"/>
      <c r="H209" s="433"/>
      <c r="I209" s="433"/>
      <c r="J209" s="433"/>
      <c r="K209" s="433"/>
      <c r="L209" s="433"/>
      <c r="M209" s="433"/>
      <c r="N209" s="433"/>
      <c r="O209" s="433"/>
      <c r="P209" s="433"/>
    </row>
    <row r="210" spans="2:16" ht="18" outlineLevel="1">
      <c r="B210" s="400"/>
      <c r="C210" s="641"/>
      <c r="D210" s="646">
        <v>30</v>
      </c>
      <c r="E210" s="649">
        <v>72.2</v>
      </c>
      <c r="F210" s="572"/>
      <c r="G210" s="433"/>
      <c r="H210" s="433"/>
      <c r="I210" s="433"/>
      <c r="J210" s="433"/>
      <c r="K210" s="433"/>
      <c r="L210" s="433"/>
      <c r="M210" s="433"/>
      <c r="N210" s="433"/>
      <c r="O210" s="433"/>
      <c r="P210" s="433"/>
    </row>
    <row r="211" spans="2:16" ht="18" outlineLevel="1">
      <c r="B211" s="400"/>
      <c r="C211" s="641"/>
      <c r="D211" s="646">
        <v>36</v>
      </c>
      <c r="E211" s="649">
        <v>107.3</v>
      </c>
      <c r="F211" s="572"/>
      <c r="G211" s="433"/>
      <c r="H211" s="433"/>
      <c r="I211" s="433"/>
      <c r="J211" s="433"/>
      <c r="K211" s="433"/>
      <c r="L211" s="433"/>
      <c r="M211" s="433"/>
      <c r="N211" s="433"/>
      <c r="O211" s="433"/>
      <c r="P211" s="433"/>
    </row>
    <row r="212" spans="2:16" ht="18" outlineLevel="1">
      <c r="B212" s="400"/>
      <c r="C212" s="574" t="s">
        <v>1002</v>
      </c>
      <c r="D212" s="636"/>
      <c r="F212" s="572"/>
      <c r="G212" s="433"/>
      <c r="H212" s="433"/>
      <c r="I212" s="433"/>
      <c r="J212" s="433"/>
      <c r="K212" s="433"/>
      <c r="L212" s="433"/>
      <c r="M212" s="433"/>
      <c r="N212" s="433"/>
      <c r="O212" s="433"/>
      <c r="P212" s="433"/>
    </row>
    <row r="213" spans="2:16" ht="28.8" outlineLevel="1">
      <c r="B213" s="400"/>
      <c r="C213" s="650" t="s">
        <v>944</v>
      </c>
      <c r="D213" s="646" t="s">
        <v>946</v>
      </c>
      <c r="E213" s="646" t="s">
        <v>1157</v>
      </c>
      <c r="F213" s="572"/>
      <c r="G213" s="433"/>
      <c r="H213" s="433"/>
      <c r="I213" s="433"/>
      <c r="J213" s="433"/>
      <c r="K213" s="433"/>
      <c r="L213" s="433"/>
      <c r="M213" s="433"/>
      <c r="N213" s="433"/>
      <c r="O213" s="433"/>
      <c r="P213" s="433"/>
    </row>
    <row r="214" spans="2:16" ht="18" outlineLevel="1">
      <c r="B214" s="400"/>
      <c r="C214" s="651">
        <f>1/8</f>
        <v>0.125</v>
      </c>
      <c r="D214" s="646">
        <v>0.40500000000000003</v>
      </c>
      <c r="E214" s="652">
        <f>CONVERT(D214,"in","mm")</f>
        <v>10.286999999999999</v>
      </c>
      <c r="F214" s="572"/>
      <c r="G214" s="433"/>
      <c r="H214" s="433"/>
      <c r="I214" s="433"/>
      <c r="J214" s="433"/>
      <c r="K214" s="433"/>
      <c r="L214" s="433"/>
      <c r="M214" s="433"/>
      <c r="N214" s="433"/>
      <c r="O214" s="433"/>
      <c r="P214" s="433"/>
    </row>
    <row r="215" spans="2:16" ht="18" outlineLevel="1">
      <c r="B215" s="400"/>
      <c r="C215" s="650">
        <f>1/4</f>
        <v>0.25</v>
      </c>
      <c r="D215" s="646">
        <v>0.54</v>
      </c>
      <c r="E215" s="652">
        <f t="shared" ref="E215:E234" si="3">CONVERT(D215,"in","mm")</f>
        <v>13.716000000000001</v>
      </c>
      <c r="F215" s="572"/>
      <c r="G215" s="433"/>
      <c r="H215" s="433"/>
      <c r="I215" s="433"/>
      <c r="J215" s="433"/>
      <c r="K215" s="433"/>
      <c r="L215" s="433"/>
      <c r="M215" s="433"/>
      <c r="N215" s="433"/>
      <c r="O215" s="433"/>
      <c r="P215" s="433"/>
    </row>
    <row r="216" spans="2:16" ht="18" outlineLevel="1">
      <c r="B216" s="400"/>
      <c r="C216" s="650">
        <f>3/8</f>
        <v>0.375</v>
      </c>
      <c r="D216" s="646">
        <v>0.67500000000000004</v>
      </c>
      <c r="E216" s="652">
        <f t="shared" si="3"/>
        <v>17.145</v>
      </c>
      <c r="F216" s="572"/>
      <c r="G216" s="433"/>
      <c r="H216" s="433"/>
      <c r="I216" s="433"/>
      <c r="J216" s="433"/>
      <c r="K216" s="433"/>
      <c r="L216" s="433"/>
      <c r="M216" s="433"/>
      <c r="N216" s="433"/>
      <c r="O216" s="433"/>
      <c r="P216" s="433"/>
    </row>
    <row r="217" spans="2:16" ht="18" outlineLevel="1">
      <c r="B217" s="400"/>
      <c r="C217" s="650">
        <f>1/2</f>
        <v>0.5</v>
      </c>
      <c r="D217" s="646">
        <v>0.84</v>
      </c>
      <c r="E217" s="652">
        <f t="shared" si="3"/>
        <v>21.336000000000002</v>
      </c>
      <c r="F217" s="572"/>
      <c r="G217" s="433"/>
      <c r="H217" s="433"/>
      <c r="I217" s="433"/>
      <c r="J217" s="433"/>
      <c r="K217" s="433"/>
      <c r="L217" s="433"/>
      <c r="M217" s="433"/>
      <c r="N217" s="433"/>
      <c r="O217" s="433"/>
      <c r="P217" s="433"/>
    </row>
    <row r="218" spans="2:16" ht="18" outlineLevel="1">
      <c r="B218" s="400"/>
      <c r="C218" s="650">
        <f>3/4</f>
        <v>0.75</v>
      </c>
      <c r="D218" s="646">
        <v>1.05</v>
      </c>
      <c r="E218" s="652">
        <f t="shared" si="3"/>
        <v>26.669999999999998</v>
      </c>
      <c r="F218" s="572"/>
      <c r="G218" s="433"/>
      <c r="H218" s="433"/>
      <c r="I218" s="433"/>
      <c r="J218" s="433"/>
      <c r="K218" s="433"/>
      <c r="L218" s="433"/>
      <c r="M218" s="433"/>
      <c r="N218" s="433"/>
      <c r="O218" s="433"/>
      <c r="P218" s="433"/>
    </row>
    <row r="219" spans="2:16" ht="18" outlineLevel="1">
      <c r="B219" s="400"/>
      <c r="C219" s="650">
        <v>1</v>
      </c>
      <c r="D219" s="646">
        <v>1.3149999999999999</v>
      </c>
      <c r="E219" s="652">
        <f t="shared" si="3"/>
        <v>33.401000000000003</v>
      </c>
      <c r="F219" s="572"/>
      <c r="G219" s="433"/>
      <c r="H219" s="433"/>
      <c r="I219" s="433"/>
      <c r="J219" s="433"/>
      <c r="K219" s="433"/>
      <c r="L219" s="433"/>
      <c r="M219" s="433"/>
      <c r="N219" s="433"/>
      <c r="O219" s="433"/>
      <c r="P219" s="433"/>
    </row>
    <row r="220" spans="2:16" ht="18" outlineLevel="1">
      <c r="B220" s="400"/>
      <c r="C220" s="650">
        <f>1+1/4</f>
        <v>1.25</v>
      </c>
      <c r="D220" s="646">
        <v>1.66</v>
      </c>
      <c r="E220" s="652">
        <f t="shared" si="3"/>
        <v>42.164000000000001</v>
      </c>
      <c r="F220" s="572"/>
      <c r="G220" s="433"/>
      <c r="H220" s="433"/>
      <c r="I220" s="433"/>
      <c r="J220" s="433"/>
      <c r="K220" s="433"/>
      <c r="L220" s="433"/>
      <c r="M220" s="433"/>
      <c r="N220" s="433"/>
      <c r="O220" s="433"/>
      <c r="P220" s="433"/>
    </row>
    <row r="221" spans="2:16" ht="18" outlineLevel="1">
      <c r="B221" s="400"/>
      <c r="C221" s="650">
        <f>1+1/2</f>
        <v>1.5</v>
      </c>
      <c r="D221" s="646">
        <v>1.9</v>
      </c>
      <c r="E221" s="652">
        <f t="shared" si="3"/>
        <v>48.26</v>
      </c>
      <c r="F221" s="572"/>
      <c r="G221" s="433"/>
      <c r="H221" s="433"/>
      <c r="I221" s="433"/>
      <c r="J221" s="433"/>
      <c r="K221" s="433"/>
      <c r="L221" s="433"/>
      <c r="M221" s="433"/>
      <c r="N221" s="433"/>
      <c r="O221" s="433"/>
      <c r="P221" s="433"/>
    </row>
    <row r="222" spans="2:16" ht="18" outlineLevel="1">
      <c r="B222" s="400"/>
      <c r="C222" s="650">
        <v>2</v>
      </c>
      <c r="D222" s="646">
        <v>2.375</v>
      </c>
      <c r="E222" s="652">
        <f t="shared" si="3"/>
        <v>60.324999999999996</v>
      </c>
      <c r="F222" s="572"/>
      <c r="G222" s="433"/>
      <c r="H222" s="433"/>
      <c r="I222" s="433"/>
      <c r="J222" s="433"/>
      <c r="K222" s="433"/>
      <c r="L222" s="433"/>
      <c r="M222" s="433"/>
      <c r="N222" s="433"/>
      <c r="O222" s="433"/>
      <c r="P222" s="433"/>
    </row>
    <row r="223" spans="2:16" ht="18" outlineLevel="1">
      <c r="B223" s="400"/>
      <c r="C223" s="650">
        <f>2+1/2</f>
        <v>2.5</v>
      </c>
      <c r="D223" s="646">
        <v>2.875</v>
      </c>
      <c r="E223" s="652">
        <f t="shared" si="3"/>
        <v>73.025000000000006</v>
      </c>
      <c r="F223" s="572"/>
      <c r="G223" s="433"/>
      <c r="H223" s="433"/>
      <c r="I223" s="433"/>
      <c r="J223" s="433"/>
      <c r="K223" s="433"/>
      <c r="L223" s="433"/>
      <c r="M223" s="433"/>
      <c r="N223" s="433"/>
      <c r="O223" s="433"/>
      <c r="P223" s="433"/>
    </row>
    <row r="224" spans="2:16" ht="18" outlineLevel="1">
      <c r="B224" s="400"/>
      <c r="C224" s="650">
        <v>3</v>
      </c>
      <c r="D224" s="646">
        <v>3.5</v>
      </c>
      <c r="E224" s="652">
        <f t="shared" si="3"/>
        <v>88.9</v>
      </c>
      <c r="F224" s="572"/>
      <c r="G224" s="433"/>
      <c r="H224" s="433"/>
      <c r="I224" s="433"/>
      <c r="J224" s="433"/>
      <c r="K224" s="433"/>
      <c r="L224" s="433"/>
      <c r="M224" s="433"/>
      <c r="N224" s="433"/>
      <c r="O224" s="433"/>
      <c r="P224" s="433"/>
    </row>
    <row r="225" spans="2:16" ht="18" outlineLevel="1">
      <c r="B225" s="400"/>
      <c r="C225" s="650">
        <v>3.5</v>
      </c>
      <c r="D225" s="646">
        <v>4</v>
      </c>
      <c r="E225" s="652">
        <f t="shared" si="3"/>
        <v>101.6</v>
      </c>
      <c r="F225" s="572"/>
      <c r="G225" s="433"/>
      <c r="H225" s="433"/>
      <c r="I225" s="433"/>
      <c r="J225" s="433"/>
      <c r="K225" s="433"/>
      <c r="L225" s="433"/>
      <c r="M225" s="433"/>
      <c r="N225" s="433"/>
      <c r="O225" s="433"/>
      <c r="P225" s="433"/>
    </row>
    <row r="226" spans="2:16" ht="18" outlineLevel="1">
      <c r="B226" s="400"/>
      <c r="C226" s="650">
        <v>4</v>
      </c>
      <c r="D226" s="646">
        <v>4.5</v>
      </c>
      <c r="E226" s="652">
        <f t="shared" si="3"/>
        <v>114.3</v>
      </c>
      <c r="F226" s="572"/>
      <c r="G226" s="433"/>
      <c r="H226" s="433"/>
      <c r="I226" s="433"/>
      <c r="J226" s="433"/>
      <c r="K226" s="433"/>
      <c r="L226" s="433"/>
      <c r="M226" s="433"/>
      <c r="N226" s="433"/>
      <c r="O226" s="433"/>
      <c r="P226" s="433"/>
    </row>
    <row r="227" spans="2:16" ht="18" outlineLevel="1">
      <c r="B227" s="400"/>
      <c r="C227" s="650">
        <v>4.5</v>
      </c>
      <c r="D227" s="646">
        <v>5</v>
      </c>
      <c r="E227" s="652">
        <f t="shared" si="3"/>
        <v>127</v>
      </c>
      <c r="F227" s="572"/>
      <c r="G227" s="433"/>
      <c r="H227" s="433"/>
      <c r="I227" s="433"/>
      <c r="J227" s="433"/>
      <c r="K227" s="433"/>
      <c r="L227" s="433"/>
      <c r="M227" s="433"/>
      <c r="N227" s="433"/>
      <c r="O227" s="433"/>
      <c r="P227" s="433"/>
    </row>
    <row r="228" spans="2:16" ht="18" outlineLevel="1">
      <c r="B228" s="400"/>
      <c r="C228" s="650">
        <v>5</v>
      </c>
      <c r="D228" s="646">
        <v>5.5629999999999997</v>
      </c>
      <c r="E228" s="652">
        <f t="shared" si="3"/>
        <v>141.30019999999999</v>
      </c>
      <c r="F228" s="572"/>
      <c r="G228" s="433"/>
      <c r="H228" s="433"/>
      <c r="I228" s="433"/>
      <c r="J228" s="433"/>
      <c r="K228" s="433"/>
      <c r="L228" s="433"/>
      <c r="M228" s="433"/>
      <c r="N228" s="433"/>
      <c r="O228" s="433"/>
      <c r="P228" s="433"/>
    </row>
    <row r="229" spans="2:16" ht="18" outlineLevel="1">
      <c r="B229" s="400"/>
      <c r="C229" s="650">
        <v>6</v>
      </c>
      <c r="D229" s="646">
        <v>6.625</v>
      </c>
      <c r="E229" s="652">
        <f t="shared" si="3"/>
        <v>168.27500000000001</v>
      </c>
      <c r="F229" s="572"/>
      <c r="G229" s="433"/>
      <c r="H229" s="433"/>
      <c r="I229" s="433"/>
      <c r="J229" s="433"/>
      <c r="K229" s="433"/>
      <c r="L229" s="433"/>
      <c r="M229" s="433"/>
      <c r="N229" s="433"/>
      <c r="O229" s="433"/>
      <c r="P229" s="433"/>
    </row>
    <row r="230" spans="2:16" ht="18" outlineLevel="1">
      <c r="B230" s="400"/>
      <c r="C230" s="650">
        <v>7</v>
      </c>
      <c r="D230" s="646">
        <v>7.625</v>
      </c>
      <c r="E230" s="652">
        <f t="shared" si="3"/>
        <v>193.67500000000001</v>
      </c>
      <c r="F230" s="572"/>
      <c r="G230" s="433"/>
      <c r="H230" s="433"/>
      <c r="I230" s="433"/>
      <c r="J230" s="433"/>
      <c r="K230" s="433"/>
      <c r="L230" s="433"/>
      <c r="M230" s="433"/>
      <c r="N230" s="433"/>
      <c r="O230" s="433"/>
      <c r="P230" s="433"/>
    </row>
    <row r="231" spans="2:16" ht="18" outlineLevel="1">
      <c r="B231" s="400"/>
      <c r="C231" s="650">
        <v>8</v>
      </c>
      <c r="D231" s="646">
        <v>8.625</v>
      </c>
      <c r="E231" s="652">
        <f t="shared" si="3"/>
        <v>219.07499999999999</v>
      </c>
      <c r="F231" s="572"/>
      <c r="G231" s="433"/>
      <c r="H231" s="433"/>
      <c r="I231" s="433"/>
      <c r="J231" s="433"/>
      <c r="K231" s="433"/>
      <c r="L231" s="433"/>
      <c r="M231" s="433"/>
      <c r="N231" s="433"/>
      <c r="O231" s="433"/>
      <c r="P231" s="433"/>
    </row>
    <row r="232" spans="2:16" ht="18" outlineLevel="1">
      <c r="B232" s="400"/>
      <c r="C232" s="650">
        <v>9</v>
      </c>
      <c r="D232" s="646">
        <v>9.625</v>
      </c>
      <c r="E232" s="652">
        <f t="shared" si="3"/>
        <v>244.47499999999999</v>
      </c>
      <c r="F232" s="572"/>
      <c r="G232" s="433"/>
      <c r="H232" s="433"/>
      <c r="I232" s="433"/>
      <c r="J232" s="433"/>
      <c r="K232" s="433"/>
      <c r="L232" s="433"/>
      <c r="M232" s="433"/>
      <c r="N232" s="433"/>
      <c r="O232" s="433"/>
      <c r="P232" s="433"/>
    </row>
    <row r="233" spans="2:16" ht="18" outlineLevel="1">
      <c r="B233" s="400"/>
      <c r="C233" s="650">
        <v>10</v>
      </c>
      <c r="D233" s="646">
        <v>10.75</v>
      </c>
      <c r="E233" s="652">
        <f t="shared" si="3"/>
        <v>273.05</v>
      </c>
      <c r="F233" s="572"/>
      <c r="G233" s="433"/>
      <c r="H233" s="433"/>
      <c r="I233" s="433"/>
      <c r="J233" s="433"/>
      <c r="K233" s="433"/>
      <c r="L233" s="433"/>
      <c r="M233" s="433"/>
      <c r="N233" s="433"/>
      <c r="O233" s="433"/>
      <c r="P233" s="433"/>
    </row>
    <row r="234" spans="2:16" ht="18" outlineLevel="1">
      <c r="B234" s="400"/>
      <c r="C234" s="653">
        <v>12</v>
      </c>
      <c r="D234" s="577">
        <v>12.75</v>
      </c>
      <c r="E234" s="652">
        <f t="shared" si="3"/>
        <v>323.85000000000002</v>
      </c>
      <c r="F234" s="455"/>
      <c r="G234" s="433"/>
      <c r="H234" s="433"/>
      <c r="I234" s="433"/>
      <c r="J234" s="433"/>
      <c r="K234" s="433"/>
      <c r="L234" s="433"/>
      <c r="M234" s="433"/>
      <c r="N234" s="433"/>
      <c r="O234" s="433"/>
      <c r="P234" s="433"/>
    </row>
    <row r="235" spans="2:16" ht="18" outlineLevel="1">
      <c r="B235" s="400"/>
      <c r="C235" s="457"/>
      <c r="D235" s="455"/>
      <c r="E235" s="455"/>
      <c r="F235" s="455"/>
      <c r="G235" s="433"/>
      <c r="H235" s="433"/>
      <c r="I235" s="433"/>
      <c r="J235" s="433"/>
      <c r="K235" s="433"/>
      <c r="L235" s="433"/>
      <c r="M235" s="433"/>
      <c r="N235" s="433"/>
      <c r="O235" s="433"/>
      <c r="P235" s="433"/>
    </row>
    <row r="236" spans="2:16" ht="18" outlineLevel="1">
      <c r="B236" s="400"/>
      <c r="C236" s="638" t="s">
        <v>1003</v>
      </c>
      <c r="D236" s="639"/>
      <c r="E236" s="632"/>
      <c r="F236" s="640"/>
      <c r="G236" s="640"/>
      <c r="H236" s="640"/>
      <c r="I236" s="640"/>
      <c r="J236" s="640"/>
      <c r="K236" s="640"/>
      <c r="L236" s="640"/>
      <c r="M236" s="640"/>
      <c r="N236" s="640"/>
      <c r="O236" s="640"/>
      <c r="P236" s="640"/>
    </row>
    <row r="237" spans="2:16" ht="18" outlineLevel="1">
      <c r="B237" s="400"/>
      <c r="C237" s="433"/>
      <c r="D237" s="433"/>
      <c r="E237" s="433"/>
      <c r="F237" s="433"/>
      <c r="G237" s="433"/>
      <c r="H237" s="433"/>
      <c r="I237" s="433"/>
      <c r="J237" s="433"/>
      <c r="K237" s="433"/>
      <c r="L237" s="433"/>
      <c r="M237" s="433"/>
      <c r="N237" s="433"/>
      <c r="O237" s="433"/>
      <c r="P237" s="433"/>
    </row>
    <row r="238" spans="2:16" ht="18" outlineLevel="1">
      <c r="B238" s="400"/>
      <c r="C238" s="433"/>
      <c r="D238" s="433"/>
      <c r="E238" s="433"/>
      <c r="F238" s="433"/>
      <c r="G238" s="433"/>
      <c r="H238" s="433"/>
      <c r="I238" s="433"/>
      <c r="J238" s="433"/>
      <c r="K238" s="433"/>
      <c r="L238" s="433"/>
      <c r="M238" s="433"/>
      <c r="N238" s="433"/>
      <c r="O238" s="433"/>
      <c r="P238" s="433"/>
    </row>
    <row r="239" spans="2:16" ht="18" outlineLevel="1">
      <c r="B239" s="400"/>
      <c r="C239" s="433"/>
      <c r="D239" s="433"/>
      <c r="E239" s="433"/>
      <c r="F239" s="433"/>
      <c r="G239" s="433"/>
      <c r="H239" s="433"/>
      <c r="I239" s="433"/>
      <c r="J239" s="433"/>
      <c r="K239" s="433"/>
      <c r="L239" s="433"/>
      <c r="M239" s="433"/>
      <c r="N239" s="433"/>
      <c r="O239" s="433"/>
      <c r="P239" s="433"/>
    </row>
    <row r="240" spans="2:16" ht="18" outlineLevel="1">
      <c r="B240" s="400"/>
      <c r="C240" s="433"/>
      <c r="D240" s="433"/>
      <c r="E240" s="433"/>
      <c r="F240" s="433"/>
      <c r="G240" s="433"/>
      <c r="H240" s="433"/>
      <c r="I240" s="433"/>
      <c r="J240" s="433"/>
      <c r="K240" s="433"/>
      <c r="L240" s="433"/>
      <c r="M240" s="433"/>
      <c r="N240" s="433"/>
      <c r="O240" s="433"/>
      <c r="P240" s="433"/>
    </row>
    <row r="241" spans="2:16" ht="18" outlineLevel="1">
      <c r="B241" s="400"/>
      <c r="C241" s="433"/>
      <c r="D241" s="433"/>
      <c r="E241" s="433"/>
      <c r="F241" s="433"/>
      <c r="G241" s="433"/>
      <c r="H241" s="433"/>
      <c r="I241" s="433"/>
      <c r="J241" s="433"/>
      <c r="K241" s="433"/>
      <c r="L241" s="433"/>
      <c r="M241" s="433"/>
      <c r="N241" s="433"/>
      <c r="O241" s="433"/>
      <c r="P241" s="433"/>
    </row>
    <row r="242" spans="2:16" ht="18" outlineLevel="1">
      <c r="B242" s="400"/>
      <c r="C242" s="433" t="s">
        <v>786</v>
      </c>
      <c r="D242" s="433"/>
      <c r="E242" s="433"/>
      <c r="F242" s="433"/>
      <c r="G242" s="433"/>
      <c r="H242" s="433"/>
      <c r="I242" s="433"/>
      <c r="J242" s="433"/>
      <c r="K242" s="433"/>
      <c r="L242" s="433"/>
      <c r="M242" s="433"/>
      <c r="N242" s="433"/>
      <c r="O242" s="433"/>
      <c r="P242" s="433"/>
    </row>
    <row r="243" spans="2:16" ht="18" outlineLevel="1">
      <c r="B243" s="400"/>
      <c r="C243" s="6" t="s">
        <v>1216</v>
      </c>
      <c r="D243" s="433"/>
      <c r="E243" s="433"/>
      <c r="F243" s="433"/>
      <c r="G243" s="433"/>
      <c r="H243" s="433"/>
      <c r="I243" s="433"/>
      <c r="J243" s="433"/>
      <c r="K243" s="433"/>
      <c r="L243" s="433"/>
      <c r="M243" s="433"/>
      <c r="N243" s="433"/>
      <c r="O243" s="433"/>
      <c r="P243" s="433"/>
    </row>
    <row r="244" spans="2:16" ht="18" outlineLevel="1">
      <c r="B244" s="400"/>
      <c r="C244" s="454" t="s">
        <v>986</v>
      </c>
      <c r="D244" s="433"/>
      <c r="E244" s="433"/>
      <c r="F244" s="433"/>
      <c r="G244" s="433"/>
      <c r="H244" s="433"/>
      <c r="I244" s="433"/>
      <c r="J244" s="433"/>
      <c r="K244" s="433"/>
      <c r="L244" s="433"/>
      <c r="M244" s="433"/>
      <c r="N244" s="433"/>
      <c r="O244" s="433"/>
      <c r="P244" s="433"/>
    </row>
    <row r="245" spans="2:16" ht="18" outlineLevel="1">
      <c r="B245" s="400"/>
      <c r="C245" s="454" t="s">
        <v>1079</v>
      </c>
      <c r="D245" s="433"/>
      <c r="E245" s="433"/>
      <c r="F245" s="433"/>
      <c r="G245" s="433"/>
      <c r="H245" s="433"/>
      <c r="I245" s="433"/>
      <c r="J245" s="433"/>
      <c r="K245" s="433"/>
      <c r="L245" s="433"/>
      <c r="M245" s="433"/>
      <c r="N245" s="433"/>
      <c r="O245" s="433"/>
      <c r="P245" s="433"/>
    </row>
    <row r="246" spans="2:16" ht="18" outlineLevel="1">
      <c r="B246" s="400"/>
      <c r="C246" s="433" t="s">
        <v>988</v>
      </c>
      <c r="D246" s="433"/>
      <c r="E246" s="433"/>
      <c r="F246" s="433"/>
      <c r="G246" s="433"/>
      <c r="H246" s="433"/>
      <c r="I246" s="433"/>
      <c r="J246" s="433"/>
      <c r="K246" s="433"/>
      <c r="L246" s="433"/>
      <c r="M246" s="433"/>
      <c r="N246" s="433"/>
      <c r="O246" s="433"/>
      <c r="P246" s="433"/>
    </row>
    <row r="247" spans="2:16" ht="18" outlineLevel="1">
      <c r="B247" s="400"/>
      <c r="C247" s="433"/>
      <c r="D247" s="433"/>
      <c r="E247" s="433"/>
      <c r="F247" s="433"/>
      <c r="G247" s="433"/>
      <c r="H247" s="433"/>
      <c r="I247" s="433"/>
      <c r="J247" s="433"/>
      <c r="K247" s="433"/>
      <c r="L247" s="433"/>
      <c r="M247" s="433"/>
      <c r="N247" s="433"/>
      <c r="O247" s="433"/>
      <c r="P247" s="433"/>
    </row>
    <row r="248" spans="2:16" ht="18" outlineLevel="1">
      <c r="B248" s="400"/>
      <c r="C248" s="454" t="s">
        <v>984</v>
      </c>
      <c r="D248" s="611">
        <f>1/7.5</f>
        <v>0.13333333333333333</v>
      </c>
      <c r="E248" s="682" t="s">
        <v>1071</v>
      </c>
      <c r="F248" s="643"/>
      <c r="G248" s="643"/>
      <c r="H248" s="643"/>
      <c r="I248" s="643"/>
      <c r="J248" s="643"/>
      <c r="K248" s="643"/>
      <c r="L248" s="433"/>
      <c r="M248" s="433"/>
      <c r="N248" s="433"/>
      <c r="O248" s="433"/>
      <c r="P248" s="433"/>
    </row>
    <row r="249" spans="2:16" ht="18" outlineLevel="1">
      <c r="B249" s="400"/>
      <c r="C249" s="454"/>
      <c r="D249" s="612"/>
      <c r="E249" s="682"/>
      <c r="F249" s="643"/>
      <c r="G249" s="643"/>
      <c r="H249" s="643"/>
      <c r="I249" s="643"/>
      <c r="J249" s="643"/>
      <c r="K249" s="643"/>
      <c r="L249" s="433"/>
      <c r="M249" s="433"/>
      <c r="N249" s="433"/>
      <c r="O249" s="433"/>
      <c r="P249" s="433"/>
    </row>
    <row r="250" spans="2:16" ht="18" outlineLevel="1">
      <c r="B250" s="400"/>
      <c r="C250" s="638" t="s">
        <v>983</v>
      </c>
      <c r="D250" s="639"/>
      <c r="E250" s="632"/>
      <c r="F250" s="640"/>
      <c r="G250" s="640"/>
      <c r="H250" s="640"/>
      <c r="I250" s="640"/>
      <c r="J250" s="640"/>
      <c r="K250" s="640"/>
      <c r="L250" s="640"/>
      <c r="M250" s="640"/>
      <c r="N250" s="640"/>
      <c r="O250" s="640"/>
      <c r="P250" s="640"/>
    </row>
    <row r="251" spans="2:16" ht="18" outlineLevel="1">
      <c r="B251" s="400"/>
      <c r="C251" s="433"/>
      <c r="D251" s="433"/>
      <c r="E251" s="433"/>
      <c r="F251" s="433"/>
      <c r="G251" s="433"/>
      <c r="H251" s="433"/>
      <c r="I251" s="433"/>
      <c r="J251" s="433"/>
      <c r="K251" s="433"/>
      <c r="L251" s="433"/>
      <c r="M251" s="433"/>
      <c r="N251" s="433"/>
      <c r="O251" s="433"/>
      <c r="P251" s="433"/>
    </row>
    <row r="252" spans="2:16" ht="18" outlineLevel="1">
      <c r="B252" s="400"/>
      <c r="C252" s="433"/>
      <c r="D252" s="433"/>
      <c r="E252" s="433"/>
      <c r="F252" s="433"/>
      <c r="G252" s="433"/>
      <c r="H252" s="433"/>
      <c r="I252" s="433"/>
      <c r="J252" s="433"/>
      <c r="K252" s="433"/>
      <c r="L252" s="433"/>
      <c r="M252" s="433"/>
      <c r="N252" s="433"/>
      <c r="O252" s="433"/>
      <c r="P252" s="433"/>
    </row>
    <row r="253" spans="2:16" ht="18" outlineLevel="1">
      <c r="B253" s="400"/>
      <c r="C253" s="433"/>
      <c r="D253" s="433"/>
      <c r="E253" s="433"/>
      <c r="F253" s="433"/>
      <c r="G253" s="433"/>
      <c r="H253" s="433"/>
      <c r="I253" s="433"/>
      <c r="J253" s="433"/>
      <c r="K253" s="433"/>
      <c r="L253" s="433"/>
      <c r="M253" s="433"/>
      <c r="N253" s="433"/>
      <c r="O253" s="433"/>
      <c r="P253" s="433"/>
    </row>
    <row r="254" spans="2:16" ht="18" outlineLevel="1">
      <c r="B254" s="400"/>
      <c r="C254" s="433"/>
      <c r="D254" s="433"/>
      <c r="E254" s="433"/>
      <c r="F254" s="433"/>
      <c r="G254" s="433"/>
      <c r="H254" s="433"/>
      <c r="I254" s="433"/>
      <c r="J254" s="433"/>
      <c r="K254" s="433"/>
      <c r="L254" s="433"/>
      <c r="M254" s="433"/>
      <c r="N254" s="433"/>
      <c r="O254" s="433"/>
      <c r="P254" s="433"/>
    </row>
    <row r="255" spans="2:16" ht="18" outlineLevel="1">
      <c r="B255" s="400"/>
      <c r="C255" s="433"/>
      <c r="D255" s="433"/>
      <c r="E255" s="433"/>
      <c r="F255" s="433"/>
      <c r="G255" s="433"/>
      <c r="H255" s="433"/>
      <c r="I255" s="433"/>
      <c r="J255" s="433"/>
      <c r="K255" s="433"/>
      <c r="L255" s="433"/>
      <c r="M255" s="433"/>
      <c r="N255" s="433"/>
      <c r="O255" s="433"/>
      <c r="P255" s="433"/>
    </row>
    <row r="256" spans="2:16" ht="18" outlineLevel="1">
      <c r="B256" s="400"/>
      <c r="C256" s="433" t="s">
        <v>786</v>
      </c>
      <c r="D256" s="433"/>
      <c r="E256" s="433"/>
      <c r="F256" s="433"/>
      <c r="G256" s="433"/>
      <c r="H256" s="433"/>
      <c r="I256" s="433"/>
      <c r="J256" s="433"/>
      <c r="K256" s="433"/>
      <c r="L256" s="433"/>
      <c r="M256" s="433"/>
      <c r="N256" s="433"/>
      <c r="O256" s="433"/>
      <c r="P256" s="433"/>
    </row>
    <row r="257" spans="2:16" ht="18" outlineLevel="1">
      <c r="B257" s="400"/>
      <c r="C257" s="6" t="s">
        <v>985</v>
      </c>
      <c r="D257" s="433"/>
      <c r="E257" s="433"/>
      <c r="F257" s="433"/>
      <c r="G257" s="433"/>
      <c r="H257" s="433"/>
      <c r="I257" s="433"/>
      <c r="J257" s="433"/>
      <c r="K257" s="433"/>
      <c r="L257" s="433"/>
      <c r="M257" s="433"/>
      <c r="N257" s="433"/>
      <c r="O257" s="433"/>
      <c r="P257" s="433"/>
    </row>
    <row r="258" spans="2:16" ht="18" outlineLevel="1">
      <c r="B258" s="400"/>
      <c r="C258" s="454" t="s">
        <v>986</v>
      </c>
      <c r="D258" s="433"/>
      <c r="E258" s="433"/>
      <c r="F258" s="433"/>
      <c r="G258" s="433"/>
      <c r="H258" s="433"/>
      <c r="I258" s="433"/>
      <c r="J258" s="433"/>
      <c r="K258" s="433"/>
      <c r="L258" s="433"/>
      <c r="M258" s="433"/>
      <c r="N258" s="433"/>
      <c r="O258" s="433"/>
      <c r="P258" s="433"/>
    </row>
    <row r="259" spans="2:16" ht="18" outlineLevel="1">
      <c r="B259" s="400"/>
      <c r="C259" s="454" t="s">
        <v>987</v>
      </c>
      <c r="D259" s="433"/>
      <c r="E259" s="433"/>
      <c r="F259" s="433"/>
      <c r="G259" s="433"/>
      <c r="H259" s="433"/>
      <c r="I259" s="433"/>
      <c r="J259" s="433"/>
      <c r="K259" s="433"/>
      <c r="L259" s="433"/>
      <c r="M259" s="433"/>
      <c r="N259" s="433"/>
      <c r="O259" s="433"/>
      <c r="P259" s="433"/>
    </row>
    <row r="260" spans="2:16" ht="18" outlineLevel="1">
      <c r="B260" s="400"/>
      <c r="C260" s="433" t="s">
        <v>988</v>
      </c>
      <c r="D260" s="433"/>
      <c r="E260" s="433"/>
      <c r="F260" s="433"/>
      <c r="G260" s="433"/>
      <c r="H260" s="433"/>
      <c r="I260" s="433"/>
      <c r="J260" s="433"/>
      <c r="K260" s="433"/>
      <c r="L260" s="433"/>
      <c r="M260" s="433"/>
      <c r="N260" s="433"/>
      <c r="O260" s="433"/>
      <c r="P260" s="433"/>
    </row>
    <row r="261" spans="2:16" ht="18" outlineLevel="1">
      <c r="B261" s="400"/>
      <c r="C261" s="433"/>
      <c r="D261" s="433"/>
      <c r="E261" s="433"/>
      <c r="F261" s="433"/>
      <c r="G261" s="433"/>
      <c r="H261" s="433"/>
      <c r="I261" s="433"/>
      <c r="J261" s="433"/>
      <c r="K261" s="433"/>
      <c r="L261" s="433"/>
      <c r="M261" s="433"/>
      <c r="N261" s="433"/>
      <c r="O261" s="433"/>
      <c r="P261" s="433"/>
    </row>
    <row r="262" spans="2:16" ht="18" outlineLevel="1">
      <c r="B262" s="400"/>
      <c r="C262" s="454" t="s">
        <v>984</v>
      </c>
      <c r="D262" s="611">
        <v>1</v>
      </c>
      <c r="E262" s="682" t="s">
        <v>1073</v>
      </c>
      <c r="F262" s="643"/>
      <c r="G262" s="643"/>
      <c r="H262" s="643"/>
      <c r="I262" s="643"/>
      <c r="J262" s="643"/>
      <c r="K262" s="643"/>
      <c r="L262" s="433"/>
      <c r="M262" s="433"/>
      <c r="N262" s="433"/>
      <c r="O262" s="433"/>
      <c r="P262" s="433"/>
    </row>
    <row r="263" spans="2:16" ht="18" outlineLevel="1">
      <c r="B263" s="400"/>
      <c r="C263" s="454"/>
      <c r="D263" s="612"/>
      <c r="E263" s="682"/>
      <c r="F263" s="643"/>
      <c r="G263" s="643"/>
      <c r="H263" s="643"/>
      <c r="I263" s="643"/>
      <c r="J263" s="643"/>
      <c r="K263" s="643"/>
      <c r="L263" s="433"/>
      <c r="M263" s="433"/>
      <c r="N263" s="433"/>
      <c r="O263" s="433"/>
      <c r="P263" s="433"/>
    </row>
    <row r="264" spans="2:16" ht="18" outlineLevel="1">
      <c r="B264" s="400"/>
      <c r="C264" s="638" t="s">
        <v>1250</v>
      </c>
      <c r="D264" s="639"/>
      <c r="E264" s="632"/>
      <c r="F264" s="640"/>
      <c r="G264" s="640"/>
      <c r="H264" s="640"/>
      <c r="I264" s="640"/>
      <c r="J264" s="640"/>
      <c r="K264" s="640"/>
      <c r="L264" s="640"/>
      <c r="M264" s="640"/>
      <c r="N264" s="640"/>
      <c r="O264" s="640"/>
      <c r="P264" s="640"/>
    </row>
    <row r="265" spans="2:16" s="458" customFormat="1" ht="18" outlineLevel="1">
      <c r="B265" s="400"/>
      <c r="C265" s="807" t="s">
        <v>1251</v>
      </c>
      <c r="D265" s="797">
        <v>0.35</v>
      </c>
      <c r="E265" s="404" t="s">
        <v>1242</v>
      </c>
      <c r="F265" s="643"/>
      <c r="G265" s="643"/>
      <c r="H265" s="643"/>
      <c r="I265" s="643"/>
      <c r="J265" s="643"/>
      <c r="K265" s="643"/>
      <c r="L265" s="643"/>
      <c r="M265" s="643"/>
      <c r="N265" s="643"/>
      <c r="O265" s="643"/>
      <c r="P265" s="643"/>
    </row>
    <row r="266" spans="2:16" s="458" customFormat="1" ht="18" outlineLevel="1">
      <c r="B266" s="400"/>
      <c r="C266" s="454"/>
      <c r="D266" s="796"/>
      <c r="F266" s="643"/>
      <c r="G266" s="643"/>
      <c r="H266" s="643"/>
      <c r="I266" s="643"/>
      <c r="J266" s="643"/>
      <c r="K266" s="643"/>
      <c r="L266" s="643"/>
      <c r="M266" s="643"/>
      <c r="N266" s="643"/>
      <c r="O266" s="643"/>
      <c r="P266" s="643"/>
    </row>
    <row r="267" spans="2:16" s="458" customFormat="1" ht="18" outlineLevel="1">
      <c r="B267" s="400"/>
      <c r="C267" s="454"/>
      <c r="D267" s="798" t="s">
        <v>1238</v>
      </c>
      <c r="F267" s="643"/>
      <c r="G267" s="643"/>
      <c r="H267" s="643"/>
      <c r="I267" s="643"/>
      <c r="J267" s="643"/>
      <c r="K267" s="643"/>
      <c r="L267" s="643"/>
      <c r="M267" s="643"/>
      <c r="N267" s="643"/>
      <c r="O267" s="643"/>
      <c r="P267" s="643"/>
    </row>
    <row r="268" spans="2:16" s="458" customFormat="1" ht="18" outlineLevel="1">
      <c r="B268" s="400"/>
      <c r="C268" s="454"/>
      <c r="D268" s="799"/>
      <c r="F268" s="643"/>
      <c r="G268" s="643"/>
      <c r="H268" s="643"/>
      <c r="I268" s="643"/>
      <c r="J268" s="643"/>
      <c r="K268" s="643"/>
      <c r="L268" s="643"/>
      <c r="M268" s="643"/>
      <c r="N268" s="643"/>
      <c r="O268" s="643"/>
      <c r="P268" s="643"/>
    </row>
    <row r="269" spans="2:16" s="458" customFormat="1" ht="18" outlineLevel="1">
      <c r="B269" s="400"/>
      <c r="C269" s="454"/>
      <c r="D269" s="800" t="s">
        <v>1239</v>
      </c>
      <c r="F269" s="643"/>
      <c r="G269" s="643"/>
      <c r="H269" s="643"/>
      <c r="I269" s="643"/>
      <c r="J269" s="643"/>
      <c r="K269" s="643"/>
      <c r="L269" s="643"/>
      <c r="M269" s="643"/>
      <c r="N269" s="643"/>
      <c r="O269" s="643"/>
      <c r="P269" s="643"/>
    </row>
    <row r="270" spans="2:16" s="458" customFormat="1" ht="18" outlineLevel="1">
      <c r="B270" s="400"/>
      <c r="C270" s="454"/>
      <c r="D270" s="799"/>
      <c r="F270" s="643"/>
      <c r="G270" s="643"/>
      <c r="H270" s="643"/>
      <c r="I270" s="643"/>
      <c r="J270" s="643"/>
      <c r="K270" s="643"/>
      <c r="L270" s="643"/>
      <c r="M270" s="643"/>
      <c r="N270" s="643"/>
      <c r="O270" s="643"/>
      <c r="P270" s="643"/>
    </row>
    <row r="271" spans="2:16" s="458" customFormat="1" ht="18" outlineLevel="1">
      <c r="B271" s="400"/>
      <c r="C271" s="454"/>
      <c r="D271" s="800" t="s">
        <v>1240</v>
      </c>
      <c r="F271" s="643"/>
      <c r="G271" s="643"/>
      <c r="H271" s="643"/>
      <c r="I271" s="643"/>
      <c r="J271" s="643"/>
      <c r="K271" s="643"/>
      <c r="L271" s="643"/>
      <c r="M271" s="643"/>
      <c r="N271" s="643"/>
      <c r="O271" s="643"/>
      <c r="P271" s="643"/>
    </row>
    <row r="272" spans="2:16" s="458" customFormat="1" ht="18" outlineLevel="1">
      <c r="B272" s="400"/>
      <c r="C272" s="454"/>
      <c r="D272" s="799"/>
      <c r="F272" s="643"/>
      <c r="G272" s="643"/>
      <c r="H272" s="643"/>
      <c r="I272" s="643"/>
      <c r="J272" s="643"/>
      <c r="K272" s="643"/>
      <c r="L272" s="643"/>
      <c r="M272" s="643"/>
      <c r="N272" s="643"/>
      <c r="O272" s="643"/>
      <c r="P272" s="643"/>
    </row>
    <row r="273" spans="1:16" s="458" customFormat="1" ht="18" outlineLevel="1">
      <c r="B273" s="400"/>
      <c r="C273" s="454"/>
      <c r="D273" s="801" t="s">
        <v>1241</v>
      </c>
      <c r="F273" s="643"/>
      <c r="G273" s="643"/>
      <c r="H273" s="643"/>
      <c r="I273" s="643"/>
      <c r="J273" s="643"/>
      <c r="K273" s="643"/>
      <c r="L273" s="643"/>
      <c r="M273" s="643"/>
      <c r="N273" s="643"/>
      <c r="O273" s="643"/>
      <c r="P273" s="643"/>
    </row>
    <row r="274" spans="1:16" s="458" customFormat="1" ht="18" outlineLevel="1">
      <c r="B274" s="400"/>
      <c r="C274" s="641"/>
      <c r="D274" s="802"/>
      <c r="F274" s="643"/>
      <c r="G274" s="643"/>
      <c r="H274" s="643"/>
      <c r="I274" s="643"/>
      <c r="J274" s="643"/>
      <c r="K274" s="643"/>
      <c r="L274" s="643"/>
      <c r="M274" s="643"/>
      <c r="N274" s="643"/>
      <c r="O274" s="643"/>
      <c r="P274" s="643"/>
    </row>
    <row r="275" spans="1:16" ht="18.600000000000001" outlineLevel="1" thickBot="1">
      <c r="B275" s="400"/>
      <c r="C275" s="430" t="s">
        <v>110</v>
      </c>
      <c r="D275" s="417"/>
    </row>
    <row r="276" spans="1:16" ht="18" customHeight="1" outlineLevel="1">
      <c r="B276" s="400"/>
      <c r="C276" s="434" t="s">
        <v>949</v>
      </c>
      <c r="D276" s="435"/>
      <c r="E276" s="436"/>
      <c r="F276" s="436"/>
      <c r="G276" s="436"/>
      <c r="H276" s="436"/>
      <c r="I276" s="436"/>
      <c r="J276" s="436"/>
      <c r="K276" s="436"/>
      <c r="L276" s="436"/>
      <c r="M276" s="436"/>
      <c r="N276" s="436"/>
      <c r="O276" s="436"/>
      <c r="P276" s="437"/>
    </row>
    <row r="277" spans="1:16" ht="18" customHeight="1" outlineLevel="1">
      <c r="B277" s="400"/>
      <c r="C277" s="461" t="s">
        <v>950</v>
      </c>
      <c r="D277" s="462"/>
      <c r="P277" s="463"/>
    </row>
    <row r="278" spans="1:16" ht="18" outlineLevel="1">
      <c r="B278" s="400"/>
      <c r="C278" s="461" t="s">
        <v>951</v>
      </c>
      <c r="D278" s="462"/>
      <c r="P278" s="463"/>
    </row>
    <row r="279" spans="1:16" ht="18" outlineLevel="1">
      <c r="B279" s="400"/>
      <c r="C279" s="461" t="s">
        <v>953</v>
      </c>
      <c r="D279" s="462"/>
      <c r="P279" s="463"/>
    </row>
    <row r="280" spans="1:16" ht="18" outlineLevel="1">
      <c r="B280" s="400"/>
      <c r="C280" s="461" t="s">
        <v>954</v>
      </c>
      <c r="D280" s="462"/>
      <c r="P280" s="463"/>
    </row>
    <row r="281" spans="1:16" ht="18" outlineLevel="1">
      <c r="B281" s="400"/>
      <c r="C281" s="461" t="s">
        <v>1069</v>
      </c>
      <c r="D281" s="462"/>
      <c r="P281" s="463"/>
    </row>
    <row r="282" spans="1:16" ht="18" outlineLevel="1">
      <c r="B282" s="400"/>
      <c r="C282" s="461" t="s">
        <v>1070</v>
      </c>
      <c r="D282" s="462"/>
      <c r="P282" s="463"/>
    </row>
    <row r="283" spans="1:16" ht="18" outlineLevel="1">
      <c r="B283" s="400"/>
      <c r="C283" s="461" t="s">
        <v>1072</v>
      </c>
      <c r="D283" s="462"/>
      <c r="P283" s="463"/>
    </row>
    <row r="284" spans="1:16" ht="18.600000000000001" outlineLevel="1" thickBot="1">
      <c r="B284" s="400"/>
      <c r="C284" s="438" t="s">
        <v>1222</v>
      </c>
      <c r="D284" s="439"/>
      <c r="E284" s="440"/>
      <c r="F284" s="440"/>
      <c r="G284" s="440"/>
      <c r="H284" s="440"/>
      <c r="I284" s="440"/>
      <c r="J284" s="440"/>
      <c r="K284" s="440"/>
      <c r="L284" s="440"/>
      <c r="M284" s="440"/>
      <c r="N284" s="440"/>
      <c r="O284" s="440"/>
      <c r="P284" s="441"/>
    </row>
    <row r="285" spans="1:16" ht="18" outlineLevel="1">
      <c r="B285" s="400"/>
      <c r="C285" s="398"/>
    </row>
    <row r="286" spans="1:16" outlineLevel="1">
      <c r="A286" s="445"/>
      <c r="B286" s="5"/>
      <c r="C286" s="5"/>
      <c r="D286" s="5"/>
      <c r="E286" s="444"/>
      <c r="F286" s="444"/>
      <c r="G286" s="444"/>
      <c r="H286" s="444"/>
      <c r="I286" s="444"/>
      <c r="J286" s="444"/>
      <c r="K286" s="444"/>
      <c r="L286" s="444"/>
      <c r="M286" s="444"/>
      <c r="N286" s="444"/>
      <c r="O286" s="444"/>
      <c r="P286" s="444"/>
    </row>
    <row r="287" spans="1:16" outlineLevel="1"/>
    <row r="288" spans="1:16" ht="18" outlineLevel="1">
      <c r="B288" s="400" t="s">
        <v>445</v>
      </c>
      <c r="C288" s="398" t="s">
        <v>443</v>
      </c>
      <c r="D288" s="427"/>
      <c r="E288" s="427"/>
      <c r="F288" s="427"/>
      <c r="G288" s="427"/>
      <c r="H288" s="427"/>
    </row>
    <row r="289" spans="2:23" ht="16.2" outlineLevel="1" thickBot="1">
      <c r="C289" s="429" t="s">
        <v>456</v>
      </c>
      <c r="P289" s="432"/>
    </row>
    <row r="290" spans="2:23" outlineLevel="1">
      <c r="C290" s="1842" t="s">
        <v>735</v>
      </c>
      <c r="D290" s="1843"/>
      <c r="E290" s="1843"/>
      <c r="F290" s="1843"/>
      <c r="G290" s="1843"/>
      <c r="H290" s="1843"/>
      <c r="I290" s="1843"/>
      <c r="J290" s="1843"/>
      <c r="K290" s="1843"/>
      <c r="L290" s="1843"/>
      <c r="M290" s="1843"/>
      <c r="N290" s="1843"/>
      <c r="O290" s="1843"/>
      <c r="P290" s="1844"/>
    </row>
    <row r="291" spans="2:23" ht="18" outlineLevel="1">
      <c r="B291" s="400"/>
      <c r="C291" s="1845"/>
      <c r="D291" s="1846"/>
      <c r="E291" s="1846"/>
      <c r="F291" s="1846"/>
      <c r="G291" s="1846"/>
      <c r="H291" s="1846"/>
      <c r="I291" s="1846"/>
      <c r="J291" s="1846"/>
      <c r="K291" s="1846"/>
      <c r="L291" s="1846"/>
      <c r="M291" s="1846"/>
      <c r="N291" s="1846"/>
      <c r="O291" s="1846"/>
      <c r="P291" s="1847"/>
    </row>
    <row r="292" spans="2:23" outlineLevel="1">
      <c r="C292" s="1845"/>
      <c r="D292" s="1846"/>
      <c r="E292" s="1846"/>
      <c r="F292" s="1846"/>
      <c r="G292" s="1846"/>
      <c r="H292" s="1846"/>
      <c r="I292" s="1846"/>
      <c r="J292" s="1846"/>
      <c r="K292" s="1846"/>
      <c r="L292" s="1846"/>
      <c r="M292" s="1846"/>
      <c r="N292" s="1846"/>
      <c r="O292" s="1846"/>
      <c r="P292" s="1847"/>
    </row>
    <row r="293" spans="2:23" ht="15" outlineLevel="1" thickBot="1">
      <c r="C293" s="1848"/>
      <c r="D293" s="1849"/>
      <c r="E293" s="1849"/>
      <c r="F293" s="1849"/>
      <c r="G293" s="1849"/>
      <c r="H293" s="1849"/>
      <c r="I293" s="1849"/>
      <c r="J293" s="1849"/>
      <c r="K293" s="1849"/>
      <c r="L293" s="1849"/>
      <c r="M293" s="1849"/>
      <c r="N293" s="1849"/>
      <c r="O293" s="1849"/>
      <c r="P293" s="1850"/>
    </row>
    <row r="294" spans="2:23" outlineLevel="1">
      <c r="P294" s="431"/>
    </row>
    <row r="295" spans="2:23" ht="15" customHeight="1" outlineLevel="1">
      <c r="C295" s="1870" t="s">
        <v>761</v>
      </c>
      <c r="D295" s="1872" t="s">
        <v>425</v>
      </c>
      <c r="E295" s="1873"/>
      <c r="F295" s="1864" t="s">
        <v>424</v>
      </c>
      <c r="G295" s="1865"/>
    </row>
    <row r="296" spans="2:23" outlineLevel="1">
      <c r="C296" s="1871"/>
      <c r="D296" s="1874"/>
      <c r="E296" s="1875"/>
      <c r="F296" s="507" t="s">
        <v>428</v>
      </c>
      <c r="G296" s="485" t="s">
        <v>258</v>
      </c>
    </row>
    <row r="297" spans="2:23" ht="18" outlineLevel="1">
      <c r="B297" s="400"/>
      <c r="C297" s="1836" t="s">
        <v>430</v>
      </c>
      <c r="D297" s="501" t="s">
        <v>775</v>
      </c>
      <c r="E297" s="502"/>
      <c r="F297" s="1851"/>
      <c r="G297" s="506" t="s">
        <v>429</v>
      </c>
      <c r="H297" s="555"/>
      <c r="Q297" s="394"/>
      <c r="R297" s="394"/>
      <c r="S297" s="394"/>
      <c r="T297" s="394"/>
      <c r="U297" s="394"/>
      <c r="V297" s="394"/>
      <c r="W297" s="394"/>
    </row>
    <row r="298" spans="2:23" s="394" customFormat="1">
      <c r="C298" s="1869"/>
      <c r="D298" s="428" t="s">
        <v>426</v>
      </c>
      <c r="E298" s="6"/>
      <c r="F298" s="1876"/>
      <c r="G298" s="508" t="s">
        <v>429</v>
      </c>
      <c r="H298" s="6"/>
      <c r="J298" s="6"/>
      <c r="K298" s="6"/>
      <c r="L298" s="6"/>
      <c r="M298" s="6"/>
      <c r="N298" s="6"/>
      <c r="O298" s="6"/>
      <c r="P298" s="6"/>
      <c r="Q298" s="6"/>
      <c r="R298" s="6"/>
      <c r="S298" s="6"/>
      <c r="T298" s="6"/>
      <c r="U298" s="6"/>
      <c r="V298" s="6"/>
      <c r="W298" s="6"/>
    </row>
    <row r="299" spans="2:23" ht="18" customHeight="1">
      <c r="C299" s="1837"/>
      <c r="D299" s="504" t="s">
        <v>427</v>
      </c>
      <c r="E299" s="503"/>
      <c r="F299" s="1852"/>
      <c r="G299" s="505" t="s">
        <v>429</v>
      </c>
    </row>
    <row r="300" spans="2:23" ht="15" customHeight="1" outlineLevel="1">
      <c r="C300" s="1836" t="s">
        <v>258</v>
      </c>
      <c r="D300" s="1838" t="s">
        <v>1074</v>
      </c>
      <c r="E300" s="1839"/>
      <c r="F300" s="506" t="s">
        <v>429</v>
      </c>
      <c r="G300" s="1851"/>
      <c r="H300" s="555"/>
    </row>
    <row r="301" spans="2:23" outlineLevel="1">
      <c r="C301" s="1837"/>
      <c r="D301" s="1840"/>
      <c r="E301" s="1841"/>
      <c r="F301" s="505" t="s">
        <v>429</v>
      </c>
      <c r="G301" s="1852"/>
      <c r="H301" s="555"/>
    </row>
    <row r="302" spans="2:23" outlineLevel="1"/>
    <row r="303" spans="2:23" outlineLevel="1"/>
    <row r="304" spans="2:23" outlineLevel="1">
      <c r="C304" s="523" t="s">
        <v>776</v>
      </c>
      <c r="D304" s="524"/>
      <c r="E304" s="524"/>
      <c r="F304" s="524"/>
      <c r="G304" s="524"/>
      <c r="H304" s="524"/>
      <c r="I304" s="524"/>
    </row>
    <row r="305" spans="1:16" outlineLevel="1"/>
    <row r="306" spans="1:16" outlineLevel="1"/>
    <row r="307" spans="1:16" outlineLevel="1"/>
    <row r="308" spans="1:16" outlineLevel="1"/>
    <row r="309" spans="1:16" outlineLevel="1"/>
    <row r="310" spans="1:16" outlineLevel="1"/>
    <row r="312" spans="1:16">
      <c r="A312" s="445"/>
      <c r="B312" s="5"/>
      <c r="C312" s="5"/>
      <c r="D312" s="5"/>
      <c r="E312" s="444"/>
      <c r="F312" s="444"/>
      <c r="G312" s="444"/>
      <c r="H312" s="444"/>
      <c r="I312" s="444"/>
      <c r="J312" s="444"/>
      <c r="K312" s="444"/>
      <c r="L312" s="444"/>
      <c r="M312" s="444"/>
      <c r="N312" s="444"/>
      <c r="O312" s="444"/>
      <c r="P312" s="444"/>
    </row>
    <row r="314" spans="1:16" ht="18">
      <c r="B314" s="400" t="s">
        <v>446</v>
      </c>
      <c r="C314" s="398" t="s">
        <v>1027</v>
      </c>
      <c r="D314" s="427"/>
      <c r="E314" s="427"/>
      <c r="F314" s="427"/>
      <c r="G314" s="427"/>
      <c r="H314" s="427"/>
    </row>
    <row r="316" spans="1:16">
      <c r="C316" s="6" t="s">
        <v>1717</v>
      </c>
      <c r="D316" s="792"/>
    </row>
    <row r="318" spans="1:16">
      <c r="D318" s="571"/>
    </row>
    <row r="319" spans="1:16">
      <c r="D319" s="571"/>
    </row>
    <row r="321" spans="4:4">
      <c r="D321" s="571"/>
    </row>
    <row r="322" spans="4:4">
      <c r="D322" s="571"/>
    </row>
  </sheetData>
  <mergeCells count="17">
    <mergeCell ref="D46:G46"/>
    <mergeCell ref="C46:C47"/>
    <mergeCell ref="C297:C299"/>
    <mergeCell ref="C295:C296"/>
    <mergeCell ref="D295:E296"/>
    <mergeCell ref="F297:F299"/>
    <mergeCell ref="C300:C301"/>
    <mergeCell ref="D300:E301"/>
    <mergeCell ref="C62:P65"/>
    <mergeCell ref="C111:P114"/>
    <mergeCell ref="G300:G301"/>
    <mergeCell ref="C151:P156"/>
    <mergeCell ref="C290:P293"/>
    <mergeCell ref="G196:H196"/>
    <mergeCell ref="C160:E160"/>
    <mergeCell ref="C161:E161"/>
    <mergeCell ref="F295:G295"/>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AA60-5D45-43D1-9CC1-B8968FF19AF7}">
  <sheetPr codeName="Feuil6"/>
  <dimension ref="A1:AP207"/>
  <sheetViews>
    <sheetView topLeftCell="A41" workbookViewId="0">
      <selection activeCell="E14" sqref="E14:I14"/>
    </sheetView>
  </sheetViews>
  <sheetFormatPr baseColWidth="10" defaultColWidth="11.5546875" defaultRowHeight="14.4"/>
  <cols>
    <col min="1" max="1" width="4.77734375" style="6" customWidth="1"/>
    <col min="2" max="3" width="11.44140625" style="6"/>
    <col min="4" max="4" width="12.77734375" style="6" customWidth="1"/>
    <col min="5" max="5" width="17.5546875" style="737" bestFit="1" customWidth="1"/>
    <col min="6" max="6" width="13" style="6" customWidth="1"/>
    <col min="7" max="7" width="11.44140625" style="6"/>
    <col min="8" max="8" width="19.5546875" style="6" customWidth="1"/>
    <col min="9" max="18" width="11.44140625" style="6"/>
    <col min="19" max="19" width="21.77734375" style="6" bestFit="1" customWidth="1"/>
    <col min="20" max="23" width="11.44140625" style="6"/>
    <col min="24" max="24" width="11.44140625" style="738"/>
    <col min="25" max="25" width="19.77734375" style="6" customWidth="1"/>
    <col min="26" max="42" width="11.44140625" style="6"/>
  </cols>
  <sheetData>
    <row r="1" spans="2:30" s="6" customFormat="1" ht="36.6">
      <c r="B1" s="395" t="s">
        <v>975</v>
      </c>
      <c r="E1" s="737"/>
      <c r="X1" s="738"/>
    </row>
    <row r="2" spans="2:30" s="6" customFormat="1">
      <c r="B2" s="427"/>
      <c r="E2" s="737"/>
      <c r="X2" s="738"/>
    </row>
    <row r="3" spans="2:30">
      <c r="B3" s="669" t="s">
        <v>976</v>
      </c>
      <c r="C3" s="661"/>
      <c r="D3" s="662"/>
      <c r="E3" s="663"/>
      <c r="F3" s="662"/>
      <c r="G3" s="662"/>
      <c r="H3" s="662"/>
      <c r="I3" s="662"/>
      <c r="J3" s="662"/>
      <c r="K3" s="662"/>
      <c r="L3" s="662"/>
      <c r="M3" s="662"/>
      <c r="N3" s="662"/>
      <c r="O3" s="662"/>
      <c r="P3" s="662"/>
      <c r="Q3" s="662"/>
      <c r="R3" s="664"/>
      <c r="S3" s="664"/>
      <c r="T3" s="664"/>
      <c r="U3" s="664"/>
      <c r="V3" s="664"/>
      <c r="W3" s="664"/>
      <c r="X3" s="664"/>
      <c r="Y3" s="664"/>
      <c r="Z3" s="664"/>
      <c r="AA3" s="664"/>
      <c r="AB3" s="664"/>
      <c r="AC3" s="664"/>
      <c r="AD3" s="664"/>
    </row>
    <row r="4" spans="2:30" s="6" customFormat="1">
      <c r="E4" s="737"/>
      <c r="X4" s="738"/>
      <c r="Y4" s="6" t="s">
        <v>1245</v>
      </c>
    </row>
    <row r="5" spans="2:30" ht="52.8">
      <c r="B5" s="1889" t="s">
        <v>923</v>
      </c>
      <c r="C5" s="765" t="s">
        <v>967</v>
      </c>
      <c r="D5" s="765" t="s">
        <v>968</v>
      </c>
      <c r="E5" s="1890" t="s">
        <v>935</v>
      </c>
      <c r="F5" s="1889" t="s">
        <v>785</v>
      </c>
      <c r="G5" s="1889" t="s">
        <v>393</v>
      </c>
      <c r="H5" s="1889" t="s">
        <v>780</v>
      </c>
      <c r="I5" s="768" t="s">
        <v>17</v>
      </c>
      <c r="J5" s="1888" t="s">
        <v>991</v>
      </c>
      <c r="K5" s="1884"/>
      <c r="L5" s="765" t="s">
        <v>494</v>
      </c>
      <c r="M5" s="768" t="s">
        <v>972</v>
      </c>
      <c r="N5" s="1888" t="s">
        <v>965</v>
      </c>
      <c r="O5" s="1884"/>
      <c r="P5" s="765" t="s">
        <v>973</v>
      </c>
      <c r="Q5" s="765" t="s">
        <v>973</v>
      </c>
      <c r="R5" s="765" t="s">
        <v>974</v>
      </c>
      <c r="S5" s="1889" t="s">
        <v>1144</v>
      </c>
      <c r="T5" s="1889"/>
      <c r="U5" s="1889"/>
      <c r="V5" s="1889"/>
      <c r="W5" s="665" t="s">
        <v>1145</v>
      </c>
      <c r="Y5" s="1877" t="s">
        <v>923</v>
      </c>
      <c r="Z5" s="1877" t="s">
        <v>944</v>
      </c>
      <c r="AA5" s="1877" t="s">
        <v>925</v>
      </c>
      <c r="AB5" s="1877" t="s">
        <v>785</v>
      </c>
      <c r="AC5" s="1877" t="s">
        <v>991</v>
      </c>
      <c r="AD5" s="1879" t="s">
        <v>922</v>
      </c>
    </row>
    <row r="6" spans="2:30" ht="15.6">
      <c r="B6" s="1889"/>
      <c r="C6" s="764" t="s">
        <v>928</v>
      </c>
      <c r="D6" s="764" t="s">
        <v>966</v>
      </c>
      <c r="E6" s="1890"/>
      <c r="F6" s="1889"/>
      <c r="G6" s="1889"/>
      <c r="H6" s="1889"/>
      <c r="I6" s="766" t="s">
        <v>969</v>
      </c>
      <c r="J6" s="767" t="s">
        <v>945</v>
      </c>
      <c r="K6" s="764" t="s">
        <v>928</v>
      </c>
      <c r="L6" s="764" t="s">
        <v>977</v>
      </c>
      <c r="M6" s="766" t="s">
        <v>970</v>
      </c>
      <c r="N6" s="767" t="s">
        <v>797</v>
      </c>
      <c r="O6" s="764" t="s">
        <v>798</v>
      </c>
      <c r="P6" s="764" t="s">
        <v>1193</v>
      </c>
      <c r="Q6" s="764" t="s">
        <v>978</v>
      </c>
      <c r="R6" s="764" t="s">
        <v>978</v>
      </c>
      <c r="S6" s="665" t="s">
        <v>1143</v>
      </c>
      <c r="T6" s="665" t="s">
        <v>1104</v>
      </c>
      <c r="U6" s="665" t="s">
        <v>1137</v>
      </c>
      <c r="V6" s="665" t="s">
        <v>935</v>
      </c>
      <c r="W6" s="665" t="s">
        <v>1146</v>
      </c>
      <c r="Y6" s="1878"/>
      <c r="Z6" s="1878"/>
      <c r="AA6" s="1878"/>
      <c r="AB6" s="1878"/>
      <c r="AC6" s="1878"/>
      <c r="AD6" s="1880"/>
    </row>
    <row r="7" spans="2:30">
      <c r="B7" s="9">
        <v>1</v>
      </c>
      <c r="C7" s="657">
        <f>'3b. Calculator - EEM 1'!E36</f>
        <v>0</v>
      </c>
      <c r="D7" s="10">
        <f>'3b. Calculator - EEM 1'!F36</f>
        <v>0</v>
      </c>
      <c r="E7" s="658" t="str">
        <f t="shared" ref="E7:E26" si="0">IF(F7="Indoor",F7,F7&amp;"_"&amp;G7)</f>
        <v>&lt; select &gt;_</v>
      </c>
      <c r="F7" s="10" t="str">
        <f>'3b. Calculator - EEM 1'!G36</f>
        <v>&lt; select &gt;</v>
      </c>
      <c r="G7" s="10" t="str">
        <f>IF('3b. Calculator - EEM 1'!G9="&lt; select &gt;","",IF('3b. Calculator - EEM 1'!G9="HVAC","HVAC","Process"))</f>
        <v/>
      </c>
      <c r="H7" s="10">
        <f>'3b. Calculator - EEM 1'!I36</f>
        <v>0</v>
      </c>
      <c r="I7" s="671">
        <f>'3b. Calculator - EEM 1'!H36</f>
        <v>0</v>
      </c>
      <c r="J7" s="670">
        <f>IF(C7=0,0,VLOOKUP(C7,Hypothèses!$C$214:$E$234,3))</f>
        <v>0</v>
      </c>
      <c r="K7" s="659">
        <f>IF(C7=0,0,VLOOKUP(C7,Hypothèses!$C$214:$E$234,2))</f>
        <v>0</v>
      </c>
      <c r="L7" s="659">
        <f>IF(C7=0,0,C7^4*Hypothèses!$G$198+C7^3*Hypothèses!$H$198+C7^2*Hypothèses!$I$198+C7*Hypothèses!$J$198+Hypothèses!$K$198)</f>
        <v>0</v>
      </c>
      <c r="M7" s="672">
        <f>IF(C7=0,0,L7/PI()/(K7/12))</f>
        <v>0</v>
      </c>
      <c r="N7" s="670">
        <f>_xlfn.XLOOKUP(B7,$Y$8:$Y$67,$AD$8:$AD$67,0,0)</f>
        <v>0</v>
      </c>
      <c r="O7" s="659">
        <f>N7*'Facteurs conversion'!C$6/1000/'Facteurs conversion'!$C$23*M7</f>
        <v>0</v>
      </c>
      <c r="P7" s="573">
        <f>O7*I7*H7</f>
        <v>0</v>
      </c>
      <c r="Q7" s="573">
        <f>P7/'Facteurs conversion'!$C$11</f>
        <v>0</v>
      </c>
      <c r="R7" s="660">
        <f>Q7/Hypothèses!$D$166</f>
        <v>0</v>
      </c>
      <c r="S7" s="683" t="str">
        <f>'3b. Calculator - EEM 1'!D36</f>
        <v>&lt; select &gt;</v>
      </c>
      <c r="T7" s="683" t="e">
        <f>VLOOKUP(S7,Subvention!$E$53:$F$58,2,FALSE)</f>
        <v>#N/A</v>
      </c>
      <c r="U7" s="683">
        <f>IF(C7&lt;1,1,IF(AND(C7&gt;=1,C7&lt;=2),"1à2",IF(AND(C7&gt;2,C7&lt;=4),"2à4",IF(AND(C7&gt;4,C7&lt;=6),"4à6","6"))))</f>
        <v>1</v>
      </c>
      <c r="V7" s="683" t="e">
        <f>T7&amp;"_"&amp;U7</f>
        <v>#N/A</v>
      </c>
      <c r="W7" s="683">
        <f>IFERROR(VLOOKUP(V7,Subvention!$B$52:$C$81,2,FALSE),0)*H7</f>
        <v>0</v>
      </c>
      <c r="Y7" s="666"/>
      <c r="Z7" s="666" t="s">
        <v>928</v>
      </c>
      <c r="AA7" s="666" t="s">
        <v>929</v>
      </c>
      <c r="AB7" s="666"/>
      <c r="AC7" s="667" t="s">
        <v>945</v>
      </c>
      <c r="AD7" s="668" t="s">
        <v>797</v>
      </c>
    </row>
    <row r="8" spans="2:30">
      <c r="B8" s="9">
        <v>2</v>
      </c>
      <c r="C8" s="657">
        <f>'3b. Calculator - EEM 1'!E37</f>
        <v>0</v>
      </c>
      <c r="D8" s="10">
        <f>'3b. Calculator - EEM 1'!F37</f>
        <v>0</v>
      </c>
      <c r="E8" s="658" t="str">
        <f t="shared" si="0"/>
        <v>&lt; select &gt;_</v>
      </c>
      <c r="F8" s="10" t="str">
        <f>'3b. Calculator - EEM 1'!G37</f>
        <v>&lt; select &gt;</v>
      </c>
      <c r="G8" s="10" t="str">
        <f>$G$7</f>
        <v/>
      </c>
      <c r="H8" s="10">
        <f>'3b. Calculator - EEM 1'!I37</f>
        <v>0</v>
      </c>
      <c r="I8" s="671">
        <f>'3b. Calculator - EEM 1'!H37</f>
        <v>0</v>
      </c>
      <c r="J8" s="670">
        <f>IF(C8=0,0,VLOOKUP(C8,Hypothèses!$C$214:$E$234,3))</f>
        <v>0</v>
      </c>
      <c r="K8" s="659">
        <f>IF(C8=0,0,VLOOKUP(C8,Hypothèses!$C$214:$E$234,2))</f>
        <v>0</v>
      </c>
      <c r="L8" s="659">
        <f>IF(C8=0,0,C8^4*Hypothèses!$G$198+C8^3*Hypothèses!$H$198+C8^2*Hypothèses!$I$198+C8*Hypothèses!$J$198+Hypothèses!$K$198)</f>
        <v>0</v>
      </c>
      <c r="M8" s="672">
        <f t="shared" ref="M8:M26" si="1">IF(C8=0,0,L8/PI()/(K8/12))</f>
        <v>0</v>
      </c>
      <c r="N8" s="670">
        <f>_xlfn.XLOOKUP(B8,$Y$8:$Y$67,$AD$8:$AD$67,0,0)</f>
        <v>0</v>
      </c>
      <c r="O8" s="659">
        <f>N8*'Facteurs conversion'!C$6/1000/'Facteurs conversion'!$C$23*M8</f>
        <v>0</v>
      </c>
      <c r="P8" s="573">
        <f t="shared" ref="P8:P26" si="2">O8*I8*H8</f>
        <v>0</v>
      </c>
      <c r="Q8" s="573">
        <f>P8/'Facteurs conversion'!$C$11</f>
        <v>0</v>
      </c>
      <c r="R8" s="660">
        <f>Q8/Hypothèses!$D$166</f>
        <v>0</v>
      </c>
      <c r="S8" s="683" t="str">
        <f>'3b. Calculator - EEM 1'!D37</f>
        <v>&lt; select &gt;</v>
      </c>
      <c r="T8" s="683" t="e">
        <f>VLOOKUP(S8,Subvention!$E$53:$F$58,2,FALSE)</f>
        <v>#N/A</v>
      </c>
      <c r="U8" s="683">
        <f t="shared" ref="U8:U26" si="3">IF(C8&lt;1,1,IF(AND(C8&gt;=1,C8&lt;=2),"1à2",IF(AND(C8&gt;2,C8&lt;=4),"2à4",IF(AND(C8&gt;4,C8&lt;=6),"4à6","6"))))</f>
        <v>1</v>
      </c>
      <c r="V8" s="683" t="e">
        <f t="shared" ref="V8:V26" si="4">T8&amp;"_"&amp;U8</f>
        <v>#N/A</v>
      </c>
      <c r="W8" s="683">
        <f>IFERROR(VLOOKUP(V8,Subvention!$B$52:$C$81,2,FALSE),0)*H8</f>
        <v>0</v>
      </c>
      <c r="X8" s="739">
        <v>1</v>
      </c>
      <c r="Y8" s="199" t="e" cm="1" vm="1">
        <f t="array" ref="Y8">_xlfn._xlws.FILTER('Isolation - CAS 1'!N12:S31,'Isolation - CAS 1'!N12:N31&lt;&gt;"")</f>
        <v>#VALUE!</v>
      </c>
      <c r="Z8"/>
      <c r="AA8"/>
      <c r="AB8" s="654"/>
      <c r="AC8"/>
      <c r="AD8" s="624"/>
    </row>
    <row r="9" spans="2:30">
      <c r="B9" s="9">
        <v>3</v>
      </c>
      <c r="C9" s="657">
        <f>'3b. Calculator - EEM 1'!E38</f>
        <v>0</v>
      </c>
      <c r="D9" s="10">
        <f>'3b. Calculator - EEM 1'!F38</f>
        <v>0</v>
      </c>
      <c r="E9" s="658" t="str">
        <f t="shared" si="0"/>
        <v>&lt; select &gt;_</v>
      </c>
      <c r="F9" s="10" t="str">
        <f>'3b. Calculator - EEM 1'!G38</f>
        <v>&lt; select &gt;</v>
      </c>
      <c r="G9" s="10" t="str">
        <f t="shared" ref="G9:G26" si="5">$G$7</f>
        <v/>
      </c>
      <c r="H9" s="10">
        <f>'3b. Calculator - EEM 1'!I38</f>
        <v>0</v>
      </c>
      <c r="I9" s="671">
        <f>'3b. Calculator - EEM 1'!H38</f>
        <v>0</v>
      </c>
      <c r="J9" s="670">
        <f>IF(C9=0,0,VLOOKUP(C9,Hypothèses!$C$214:$E$234,3))</f>
        <v>0</v>
      </c>
      <c r="K9" s="659">
        <f>IF(C9=0,0,VLOOKUP(C9,Hypothèses!$C$214:$E$234,2))</f>
        <v>0</v>
      </c>
      <c r="L9" s="659">
        <f>IF(C9=0,0,C9^4*Hypothèses!$G$198+C9^3*Hypothèses!$H$198+C9^2*Hypothèses!$I$198+C9*Hypothèses!$J$198+Hypothèses!$K$198)</f>
        <v>0</v>
      </c>
      <c r="M9" s="672">
        <f t="shared" si="1"/>
        <v>0</v>
      </c>
      <c r="N9" s="670">
        <f t="shared" ref="N9:N25" si="6">_xlfn.XLOOKUP(B9,$Y$8:$Y$67,$AD$8:$AD$67,0,0)</f>
        <v>0</v>
      </c>
      <c r="O9" s="659">
        <f>N9*'Facteurs conversion'!C$6/1000/'Facteurs conversion'!$C$23*M9</f>
        <v>0</v>
      </c>
      <c r="P9" s="573">
        <f t="shared" si="2"/>
        <v>0</v>
      </c>
      <c r="Q9" s="573">
        <f>P9/'Facteurs conversion'!$C$11</f>
        <v>0</v>
      </c>
      <c r="R9" s="660">
        <f>Q9/Hypothèses!$D$166</f>
        <v>0</v>
      </c>
      <c r="S9" s="683" t="str">
        <f>'3b. Calculator - EEM 1'!D38</f>
        <v>&lt; select &gt;</v>
      </c>
      <c r="T9" s="683" t="e">
        <f>VLOOKUP(S9,Subvention!$E$53:$F$58,2,FALSE)</f>
        <v>#N/A</v>
      </c>
      <c r="U9" s="683">
        <f t="shared" si="3"/>
        <v>1</v>
      </c>
      <c r="V9" s="683" t="e">
        <f t="shared" si="4"/>
        <v>#N/A</v>
      </c>
      <c r="W9" s="683">
        <f>IFERROR(VLOOKUP(V9,Subvention!$B$52:$C$81,2,FALSE),0)*H9</f>
        <v>0</v>
      </c>
      <c r="X9" s="739">
        <v>2</v>
      </c>
      <c r="Y9" s="199"/>
      <c r="Z9"/>
      <c r="AA9"/>
      <c r="AB9" s="654"/>
      <c r="AC9"/>
      <c r="AD9" s="624"/>
    </row>
    <row r="10" spans="2:30">
      <c r="B10" s="9">
        <v>4</v>
      </c>
      <c r="C10" s="657">
        <f>'3b. Calculator - EEM 1'!E39</f>
        <v>0</v>
      </c>
      <c r="D10" s="10">
        <f>'3b. Calculator - EEM 1'!F39</f>
        <v>0</v>
      </c>
      <c r="E10" s="658" t="str">
        <f t="shared" si="0"/>
        <v>&lt; select &gt;_</v>
      </c>
      <c r="F10" s="10" t="str">
        <f>'3b. Calculator - EEM 1'!G39</f>
        <v>&lt; select &gt;</v>
      </c>
      <c r="G10" s="10" t="str">
        <f t="shared" si="5"/>
        <v/>
      </c>
      <c r="H10" s="10">
        <f>'3b. Calculator - EEM 1'!I39</f>
        <v>0</v>
      </c>
      <c r="I10" s="671">
        <f>'3b. Calculator - EEM 1'!H39</f>
        <v>0</v>
      </c>
      <c r="J10" s="670">
        <f>IF(C10=0,0,VLOOKUP(C10,Hypothèses!$C$214:$E$234,3))</f>
        <v>0</v>
      </c>
      <c r="K10" s="659">
        <f>IF(C10=0,0,VLOOKUP(C10,Hypothèses!$C$214:$E$234,2))</f>
        <v>0</v>
      </c>
      <c r="L10" s="659">
        <f>IF(C10=0,0,C10^4*Hypothèses!$G$198+C10^3*Hypothèses!$H$198+C10^2*Hypothèses!$I$198+C10*Hypothèses!$J$198+Hypothèses!$K$198)</f>
        <v>0</v>
      </c>
      <c r="M10" s="672">
        <f t="shared" si="1"/>
        <v>0</v>
      </c>
      <c r="N10" s="670">
        <f t="shared" si="6"/>
        <v>0</v>
      </c>
      <c r="O10" s="659">
        <f>N10*'Facteurs conversion'!C$6/1000/'Facteurs conversion'!$C$23*M10</f>
        <v>0</v>
      </c>
      <c r="P10" s="573">
        <f t="shared" si="2"/>
        <v>0</v>
      </c>
      <c r="Q10" s="573">
        <f>P10/'Facteurs conversion'!$C$11</f>
        <v>0</v>
      </c>
      <c r="R10" s="660">
        <f>Q10/Hypothèses!$D$166</f>
        <v>0</v>
      </c>
      <c r="S10" s="683" t="str">
        <f>'3b. Calculator - EEM 1'!D39</f>
        <v>&lt; select &gt;</v>
      </c>
      <c r="T10" s="683" t="e">
        <f>VLOOKUP(S10,Subvention!$E$53:$F$58,2,FALSE)</f>
        <v>#N/A</v>
      </c>
      <c r="U10" s="683">
        <f t="shared" si="3"/>
        <v>1</v>
      </c>
      <c r="V10" s="683" t="e">
        <f t="shared" si="4"/>
        <v>#N/A</v>
      </c>
      <c r="W10" s="683">
        <f>IFERROR(VLOOKUP(V10,Subvention!$B$52:$C$81,2,FALSE),0)*H10</f>
        <v>0</v>
      </c>
      <c r="X10" s="739">
        <v>3</v>
      </c>
      <c r="Y10" s="199"/>
      <c r="Z10"/>
      <c r="AA10"/>
      <c r="AB10" s="654"/>
      <c r="AC10"/>
      <c r="AD10" s="624"/>
    </row>
    <row r="11" spans="2:30" ht="19.5" customHeight="1">
      <c r="B11" s="9">
        <v>5</v>
      </c>
      <c r="C11" s="657">
        <f>'3b. Calculator - EEM 1'!E40</f>
        <v>0</v>
      </c>
      <c r="D11" s="10">
        <f>'3b. Calculator - EEM 1'!F40</f>
        <v>0</v>
      </c>
      <c r="E11" s="658" t="str">
        <f t="shared" si="0"/>
        <v>&lt; select &gt;_</v>
      </c>
      <c r="F11" s="10" t="str">
        <f>'3b. Calculator - EEM 1'!G40</f>
        <v>&lt; select &gt;</v>
      </c>
      <c r="G11" s="10" t="str">
        <f t="shared" si="5"/>
        <v/>
      </c>
      <c r="H11" s="10">
        <f>'3b. Calculator - EEM 1'!I40</f>
        <v>0</v>
      </c>
      <c r="I11" s="671">
        <f>'3b. Calculator - EEM 1'!H40</f>
        <v>0</v>
      </c>
      <c r="J11" s="670">
        <f>IF(C11=0,0,VLOOKUP(C11,Hypothèses!$C$214:$E$234,3))</f>
        <v>0</v>
      </c>
      <c r="K11" s="659">
        <f>IF(C11=0,0,VLOOKUP(C11,Hypothèses!$C$214:$E$234,2))</f>
        <v>0</v>
      </c>
      <c r="L11" s="659">
        <f>IF(C11=0,0,C11^4*Hypothèses!$G$198+C11^3*Hypothèses!$H$198+C11^2*Hypothèses!$I$198+C11*Hypothèses!$J$198+Hypothèses!$K$198)</f>
        <v>0</v>
      </c>
      <c r="M11" s="672">
        <f t="shared" si="1"/>
        <v>0</v>
      </c>
      <c r="N11" s="670">
        <f t="shared" si="6"/>
        <v>0</v>
      </c>
      <c r="O11" s="659">
        <f>N11*'Facteurs conversion'!C$6/1000/'Facteurs conversion'!$C$23*M11</f>
        <v>0</v>
      </c>
      <c r="P11" s="573">
        <f t="shared" si="2"/>
        <v>0</v>
      </c>
      <c r="Q11" s="573">
        <f>P11/'Facteurs conversion'!$C$11</f>
        <v>0</v>
      </c>
      <c r="R11" s="660">
        <f>Q11/Hypothèses!$D$166</f>
        <v>0</v>
      </c>
      <c r="S11" s="683" t="str">
        <f>'3b. Calculator - EEM 1'!D40</f>
        <v>&lt; select &gt;</v>
      </c>
      <c r="T11" s="683" t="e">
        <f>VLOOKUP(S11,Subvention!$E$53:$F$58,2,FALSE)</f>
        <v>#N/A</v>
      </c>
      <c r="U11" s="683">
        <f t="shared" si="3"/>
        <v>1</v>
      </c>
      <c r="V11" s="683" t="e">
        <f t="shared" si="4"/>
        <v>#N/A</v>
      </c>
      <c r="W11" s="683">
        <f>IFERROR(VLOOKUP(V11,Subvention!$B$52:$C$81,2,FALSE),0)*H11</f>
        <v>0</v>
      </c>
      <c r="X11" s="739">
        <v>4</v>
      </c>
      <c r="Y11" s="199"/>
      <c r="Z11"/>
      <c r="AA11"/>
      <c r="AB11" s="654"/>
      <c r="AC11"/>
      <c r="AD11" s="624"/>
    </row>
    <row r="12" spans="2:30">
      <c r="B12" s="9">
        <v>6</v>
      </c>
      <c r="C12" s="657">
        <f>'3b. Calculator - EEM 1'!E41</f>
        <v>0</v>
      </c>
      <c r="D12" s="10">
        <f>'3b. Calculator - EEM 1'!F41</f>
        <v>0</v>
      </c>
      <c r="E12" s="658" t="str">
        <f t="shared" si="0"/>
        <v>&lt; select &gt;_</v>
      </c>
      <c r="F12" s="10" t="str">
        <f>'3b. Calculator - EEM 1'!G41</f>
        <v>&lt; select &gt;</v>
      </c>
      <c r="G12" s="10" t="str">
        <f t="shared" si="5"/>
        <v/>
      </c>
      <c r="H12" s="10">
        <f>'3b. Calculator - EEM 1'!I41</f>
        <v>0</v>
      </c>
      <c r="I12" s="671">
        <f>'3b. Calculator - EEM 1'!H41</f>
        <v>0</v>
      </c>
      <c r="J12" s="670">
        <f>IF(C12=0,0,VLOOKUP(C12,Hypothèses!$C$214:$E$234,3))</f>
        <v>0</v>
      </c>
      <c r="K12" s="659">
        <f>IF(C12=0,0,VLOOKUP(C12,Hypothèses!$C$214:$E$234,2))</f>
        <v>0</v>
      </c>
      <c r="L12" s="659">
        <f>IF(C12=0,0,C12^4*Hypothèses!$G$198+C12^3*Hypothèses!$H$198+C12^2*Hypothèses!$I$198+C12*Hypothèses!$J$198+Hypothèses!$K$198)</f>
        <v>0</v>
      </c>
      <c r="M12" s="672">
        <f t="shared" si="1"/>
        <v>0</v>
      </c>
      <c r="N12" s="670">
        <f t="shared" si="6"/>
        <v>0</v>
      </c>
      <c r="O12" s="659">
        <f>N12*'Facteurs conversion'!C$6/1000/'Facteurs conversion'!$C$23*M12</f>
        <v>0</v>
      </c>
      <c r="P12" s="573">
        <f t="shared" si="2"/>
        <v>0</v>
      </c>
      <c r="Q12" s="573">
        <f>P12/'Facteurs conversion'!$C$11</f>
        <v>0</v>
      </c>
      <c r="R12" s="660">
        <f>Q12/Hypothèses!$D$166</f>
        <v>0</v>
      </c>
      <c r="S12" s="683" t="str">
        <f>'3b. Calculator - EEM 1'!D41</f>
        <v>&lt; select &gt;</v>
      </c>
      <c r="T12" s="683" t="e">
        <f>VLOOKUP(S12,Subvention!$E$53:$F$58,2,FALSE)</f>
        <v>#N/A</v>
      </c>
      <c r="U12" s="683">
        <f t="shared" si="3"/>
        <v>1</v>
      </c>
      <c r="V12" s="683" t="e">
        <f t="shared" si="4"/>
        <v>#N/A</v>
      </c>
      <c r="W12" s="683">
        <f>IFERROR(VLOOKUP(V12,Subvention!$B$52:$C$81,2,FALSE),0)*H12</f>
        <v>0</v>
      </c>
      <c r="X12" s="739">
        <v>5</v>
      </c>
      <c r="Y12" s="199"/>
      <c r="Z12"/>
      <c r="AA12"/>
      <c r="AB12" s="654"/>
      <c r="AC12"/>
      <c r="AD12" s="624"/>
    </row>
    <row r="13" spans="2:30">
      <c r="B13" s="9">
        <v>7</v>
      </c>
      <c r="C13" s="657">
        <f>'3b. Calculator - EEM 1'!E42</f>
        <v>0</v>
      </c>
      <c r="D13" s="10">
        <f>'3b. Calculator - EEM 1'!F42</f>
        <v>0</v>
      </c>
      <c r="E13" s="658" t="str">
        <f t="shared" si="0"/>
        <v>&lt; select &gt;_</v>
      </c>
      <c r="F13" s="10" t="str">
        <f>'3b. Calculator - EEM 1'!G42</f>
        <v>&lt; select &gt;</v>
      </c>
      <c r="G13" s="10" t="str">
        <f t="shared" si="5"/>
        <v/>
      </c>
      <c r="H13" s="10">
        <f>'3b. Calculator - EEM 1'!I42</f>
        <v>0</v>
      </c>
      <c r="I13" s="671">
        <f>'3b. Calculator - EEM 1'!H42</f>
        <v>0</v>
      </c>
      <c r="J13" s="670">
        <f>IF(C13=0,0,VLOOKUP(C13,Hypothèses!$C$214:$E$234,3))</f>
        <v>0</v>
      </c>
      <c r="K13" s="659">
        <f>IF(C13=0,0,VLOOKUP(C13,Hypothèses!$C$214:$E$234,2))</f>
        <v>0</v>
      </c>
      <c r="L13" s="659">
        <f>IF(C13=0,0,C13^4*Hypothèses!$G$198+C13^3*Hypothèses!$H$198+C13^2*Hypothèses!$I$198+C13*Hypothèses!$J$198+Hypothèses!$K$198)</f>
        <v>0</v>
      </c>
      <c r="M13" s="672">
        <f t="shared" si="1"/>
        <v>0</v>
      </c>
      <c r="N13" s="670">
        <f t="shared" si="6"/>
        <v>0</v>
      </c>
      <c r="O13" s="659">
        <f>N13*'Facteurs conversion'!C$6/1000/'Facteurs conversion'!$C$23*M13</f>
        <v>0</v>
      </c>
      <c r="P13" s="573">
        <f t="shared" si="2"/>
        <v>0</v>
      </c>
      <c r="Q13" s="573">
        <f>P13/'Facteurs conversion'!$C$11</f>
        <v>0</v>
      </c>
      <c r="R13" s="660">
        <f>Q13/Hypothèses!$D$166</f>
        <v>0</v>
      </c>
      <c r="S13" s="683" t="str">
        <f>'3b. Calculator - EEM 1'!D42</f>
        <v>&lt; select &gt;</v>
      </c>
      <c r="T13" s="683" t="e">
        <f>VLOOKUP(S13,Subvention!$E$53:$F$58,2,FALSE)</f>
        <v>#N/A</v>
      </c>
      <c r="U13" s="683">
        <f t="shared" si="3"/>
        <v>1</v>
      </c>
      <c r="V13" s="683" t="e">
        <f t="shared" si="4"/>
        <v>#N/A</v>
      </c>
      <c r="W13" s="683">
        <f>IFERROR(VLOOKUP(V13,Subvention!$B$52:$C$81,2,FALSE),0)*H13</f>
        <v>0</v>
      </c>
      <c r="X13" s="739">
        <v>6</v>
      </c>
      <c r="Y13" s="199"/>
      <c r="Z13"/>
      <c r="AA13"/>
      <c r="AB13" s="654"/>
      <c r="AC13"/>
      <c r="AD13" s="624"/>
    </row>
    <row r="14" spans="2:30">
      <c r="B14" s="9">
        <v>8</v>
      </c>
      <c r="C14" s="657">
        <f>'3b. Calculator - EEM 1'!E43</f>
        <v>0</v>
      </c>
      <c r="D14" s="10">
        <f>'3b. Calculator - EEM 1'!F43</f>
        <v>0</v>
      </c>
      <c r="E14" s="658" t="str">
        <f t="shared" si="0"/>
        <v>&lt; select &gt;_</v>
      </c>
      <c r="F14" s="10" t="str">
        <f>'3b. Calculator - EEM 1'!G43</f>
        <v>&lt; select &gt;</v>
      </c>
      <c r="G14" s="10" t="str">
        <f t="shared" si="5"/>
        <v/>
      </c>
      <c r="H14" s="10">
        <f>'3b. Calculator - EEM 1'!I43</f>
        <v>0</v>
      </c>
      <c r="I14" s="671">
        <f>'3b. Calculator - EEM 1'!H43</f>
        <v>0</v>
      </c>
      <c r="J14" s="670">
        <f>IF(C14=0,0,VLOOKUP(C14,Hypothèses!$C$214:$E$234,3))</f>
        <v>0</v>
      </c>
      <c r="K14" s="659">
        <f>IF(C14=0,0,VLOOKUP(C14,Hypothèses!$C$214:$E$234,2))</f>
        <v>0</v>
      </c>
      <c r="L14" s="659">
        <f>IF(C14=0,0,C14^4*Hypothèses!$G$198+C14^3*Hypothèses!$H$198+C14^2*Hypothèses!$I$198+C14*Hypothèses!$J$198+Hypothèses!$K$198)</f>
        <v>0</v>
      </c>
      <c r="M14" s="672">
        <f t="shared" si="1"/>
        <v>0</v>
      </c>
      <c r="N14" s="670">
        <f t="shared" si="6"/>
        <v>0</v>
      </c>
      <c r="O14" s="659">
        <f>N14*'Facteurs conversion'!C$6/1000/'Facteurs conversion'!$C$23*M14</f>
        <v>0</v>
      </c>
      <c r="P14" s="573">
        <f>O14*I14*H14</f>
        <v>0</v>
      </c>
      <c r="Q14" s="573">
        <f>P14/'Facteurs conversion'!$C$11</f>
        <v>0</v>
      </c>
      <c r="R14" s="660">
        <f>Q14/Hypothèses!$D$166</f>
        <v>0</v>
      </c>
      <c r="S14" s="683" t="str">
        <f>'3b. Calculator - EEM 1'!D43</f>
        <v>&lt; select &gt;</v>
      </c>
      <c r="T14" s="683" t="e">
        <f>VLOOKUP(S14,Subvention!$E$53:$F$58,2,FALSE)</f>
        <v>#N/A</v>
      </c>
      <c r="U14" s="683">
        <f t="shared" si="3"/>
        <v>1</v>
      </c>
      <c r="V14" s="683" t="e">
        <f t="shared" si="4"/>
        <v>#N/A</v>
      </c>
      <c r="W14" s="683">
        <f>IFERROR(VLOOKUP(V14,Subvention!$B$52:$C$81,2,FALSE),0)*H14</f>
        <v>0</v>
      </c>
      <c r="X14" s="739">
        <v>7</v>
      </c>
      <c r="Y14" s="199"/>
      <c r="Z14"/>
      <c r="AA14"/>
      <c r="AB14" s="654"/>
      <c r="AC14"/>
      <c r="AD14" s="624"/>
    </row>
    <row r="15" spans="2:30">
      <c r="B15" s="9">
        <v>9</v>
      </c>
      <c r="C15" s="657">
        <f>'3b. Calculator - EEM 1'!E44</f>
        <v>0</v>
      </c>
      <c r="D15" s="10">
        <f>'3b. Calculator - EEM 1'!F44</f>
        <v>0</v>
      </c>
      <c r="E15" s="658" t="str">
        <f t="shared" si="0"/>
        <v>&lt; select &gt;_</v>
      </c>
      <c r="F15" s="10" t="str">
        <f>'3b. Calculator - EEM 1'!G44</f>
        <v>&lt; select &gt;</v>
      </c>
      <c r="G15" s="10" t="str">
        <f t="shared" si="5"/>
        <v/>
      </c>
      <c r="H15" s="10">
        <f>'3b. Calculator - EEM 1'!I44</f>
        <v>0</v>
      </c>
      <c r="I15" s="671">
        <f>'3b. Calculator - EEM 1'!H44</f>
        <v>0</v>
      </c>
      <c r="J15" s="670">
        <f>IF(C15=0,0,VLOOKUP(C15,Hypothèses!$C$214:$E$234,3))</f>
        <v>0</v>
      </c>
      <c r="K15" s="659">
        <f>IF(C15=0,0,VLOOKUP(C15,Hypothèses!$C$214:$E$234,2))</f>
        <v>0</v>
      </c>
      <c r="L15" s="659">
        <f>IF(C15=0,0,C15^4*Hypothèses!$G$198+C15^3*Hypothèses!$H$198+C15^2*Hypothèses!$I$198+C15*Hypothèses!$J$198+Hypothèses!$K$198)</f>
        <v>0</v>
      </c>
      <c r="M15" s="672">
        <f t="shared" si="1"/>
        <v>0</v>
      </c>
      <c r="N15" s="670">
        <f t="shared" si="6"/>
        <v>0</v>
      </c>
      <c r="O15" s="659">
        <f>N15*'Facteurs conversion'!C$6/1000/'Facteurs conversion'!$C$23*M15</f>
        <v>0</v>
      </c>
      <c r="P15" s="573">
        <f t="shared" si="2"/>
        <v>0</v>
      </c>
      <c r="Q15" s="573">
        <f>P15/'Facteurs conversion'!$C$11</f>
        <v>0</v>
      </c>
      <c r="R15" s="660">
        <f>Q15/Hypothèses!$D$166</f>
        <v>0</v>
      </c>
      <c r="S15" s="683" t="str">
        <f>'3b. Calculator - EEM 1'!D44</f>
        <v>&lt; select &gt;</v>
      </c>
      <c r="T15" s="683" t="e">
        <f>VLOOKUP(S15,Subvention!$E$53:$F$58,2,FALSE)</f>
        <v>#N/A</v>
      </c>
      <c r="U15" s="683">
        <f t="shared" si="3"/>
        <v>1</v>
      </c>
      <c r="V15" s="683" t="e">
        <f t="shared" si="4"/>
        <v>#N/A</v>
      </c>
      <c r="W15" s="683">
        <f>IFERROR(VLOOKUP(V15,Subvention!$B$52:$C$81,2,FALSE),0)*H15</f>
        <v>0</v>
      </c>
      <c r="X15" s="739">
        <v>8</v>
      </c>
      <c r="Y15" s="199"/>
      <c r="Z15"/>
      <c r="AA15"/>
      <c r="AB15" s="654"/>
      <c r="AC15"/>
      <c r="AD15" s="624"/>
    </row>
    <row r="16" spans="2:30">
      <c r="B16" s="9">
        <v>10</v>
      </c>
      <c r="C16" s="657">
        <f>'3b. Calculator - EEM 1'!E45</f>
        <v>0</v>
      </c>
      <c r="D16" s="10">
        <f>'3b. Calculator - EEM 1'!F45</f>
        <v>0</v>
      </c>
      <c r="E16" s="658" t="str">
        <f t="shared" si="0"/>
        <v>&lt; select &gt;_</v>
      </c>
      <c r="F16" s="10" t="str">
        <f>'3b. Calculator - EEM 1'!G45</f>
        <v>&lt; select &gt;</v>
      </c>
      <c r="G16" s="10" t="str">
        <f t="shared" si="5"/>
        <v/>
      </c>
      <c r="H16" s="10">
        <f>'3b. Calculator - EEM 1'!I45</f>
        <v>0</v>
      </c>
      <c r="I16" s="671">
        <f>'3b. Calculator - EEM 1'!H45</f>
        <v>0</v>
      </c>
      <c r="J16" s="670">
        <f>IF(C16=0,0,VLOOKUP(C16,Hypothèses!$C$214:$E$234,3))</f>
        <v>0</v>
      </c>
      <c r="K16" s="659">
        <f>IF(C16=0,0,VLOOKUP(C16,Hypothèses!$C$214:$E$234,2))</f>
        <v>0</v>
      </c>
      <c r="L16" s="659">
        <f>IF(C16=0,0,C16^4*Hypothèses!$G$198+C16^3*Hypothèses!$H$198+C16^2*Hypothèses!$I$198+C16*Hypothèses!$J$198+Hypothèses!$K$198)</f>
        <v>0</v>
      </c>
      <c r="M16" s="672">
        <f t="shared" si="1"/>
        <v>0</v>
      </c>
      <c r="N16" s="670">
        <f t="shared" si="6"/>
        <v>0</v>
      </c>
      <c r="O16" s="659">
        <f>N16*'Facteurs conversion'!C$6/1000/'Facteurs conversion'!$C$23*M16</f>
        <v>0</v>
      </c>
      <c r="P16" s="573">
        <f t="shared" si="2"/>
        <v>0</v>
      </c>
      <c r="Q16" s="573">
        <f>P16/'Facteurs conversion'!$C$11</f>
        <v>0</v>
      </c>
      <c r="R16" s="660">
        <f>Q16/Hypothèses!$D$166</f>
        <v>0</v>
      </c>
      <c r="S16" s="683" t="str">
        <f>'3b. Calculator - EEM 1'!D45</f>
        <v>&lt; select &gt;</v>
      </c>
      <c r="T16" s="683" t="e">
        <f>VLOOKUP(S16,Subvention!$E$53:$F$58,2,FALSE)</f>
        <v>#N/A</v>
      </c>
      <c r="U16" s="683">
        <f t="shared" si="3"/>
        <v>1</v>
      </c>
      <c r="V16" s="683" t="e">
        <f t="shared" si="4"/>
        <v>#N/A</v>
      </c>
      <c r="W16" s="683">
        <f>IFERROR(VLOOKUP(V16,Subvention!$B$52:$C$81,2,FALSE),0)*H16</f>
        <v>0</v>
      </c>
      <c r="X16" s="739">
        <v>9</v>
      </c>
      <c r="Y16" s="199"/>
      <c r="Z16"/>
      <c r="AA16"/>
      <c r="AB16" s="654"/>
      <c r="AC16"/>
      <c r="AD16" s="624"/>
    </row>
    <row r="17" spans="2:30">
      <c r="B17" s="9">
        <v>11</v>
      </c>
      <c r="C17" s="657">
        <f>'3b. Calculator - EEM 1'!E46</f>
        <v>0</v>
      </c>
      <c r="D17" s="10">
        <f>'3b. Calculator - EEM 1'!F46</f>
        <v>0</v>
      </c>
      <c r="E17" s="658" t="str">
        <f t="shared" si="0"/>
        <v>&lt; select &gt;_</v>
      </c>
      <c r="F17" s="10" t="str">
        <f>'3b. Calculator - EEM 1'!G46</f>
        <v>&lt; select &gt;</v>
      </c>
      <c r="G17" s="10" t="str">
        <f t="shared" si="5"/>
        <v/>
      </c>
      <c r="H17" s="10">
        <f>'3b. Calculator - EEM 1'!I46</f>
        <v>0</v>
      </c>
      <c r="I17" s="671">
        <f>'3b. Calculator - EEM 1'!H46</f>
        <v>0</v>
      </c>
      <c r="J17" s="670">
        <f>IF(C17=0,0,VLOOKUP(C17,Hypothèses!$C$214:$E$234,3))</f>
        <v>0</v>
      </c>
      <c r="K17" s="659">
        <f>IF(C17=0,0,VLOOKUP(C17,Hypothèses!$C$214:$E$234,2))</f>
        <v>0</v>
      </c>
      <c r="L17" s="659">
        <f>IF(C17=0,0,C17^4*Hypothèses!$G$198+C17^3*Hypothèses!$H$198+C17^2*Hypothèses!$I$198+C17*Hypothèses!$J$198+Hypothèses!$K$198)</f>
        <v>0</v>
      </c>
      <c r="M17" s="672">
        <f t="shared" si="1"/>
        <v>0</v>
      </c>
      <c r="N17" s="670">
        <f t="shared" si="6"/>
        <v>0</v>
      </c>
      <c r="O17" s="659">
        <f>N17*'Facteurs conversion'!C$6/1000/'Facteurs conversion'!$C$23*M17</f>
        <v>0</v>
      </c>
      <c r="P17" s="573">
        <f t="shared" si="2"/>
        <v>0</v>
      </c>
      <c r="Q17" s="573">
        <f>P17/'Facteurs conversion'!$C$11</f>
        <v>0</v>
      </c>
      <c r="R17" s="660">
        <f>Q17/Hypothèses!$D$166</f>
        <v>0</v>
      </c>
      <c r="S17" s="683" t="str">
        <f>'3b. Calculator - EEM 1'!D46</f>
        <v>&lt; select &gt;</v>
      </c>
      <c r="T17" s="683" t="e">
        <f>VLOOKUP(S17,Subvention!$E$53:$F$58,2,FALSE)</f>
        <v>#N/A</v>
      </c>
      <c r="U17" s="683">
        <f t="shared" si="3"/>
        <v>1</v>
      </c>
      <c r="V17" s="683" t="e">
        <f t="shared" si="4"/>
        <v>#N/A</v>
      </c>
      <c r="W17" s="683">
        <f>IFERROR(VLOOKUP(V17,Subvention!$B$52:$C$81,2,FALSE),0)*H17</f>
        <v>0</v>
      </c>
      <c r="X17" s="739">
        <v>10</v>
      </c>
      <c r="Y17" s="199"/>
      <c r="Z17"/>
      <c r="AA17"/>
      <c r="AB17" s="654"/>
      <c r="AC17"/>
      <c r="AD17" s="624"/>
    </row>
    <row r="18" spans="2:30">
      <c r="B18" s="9">
        <v>12</v>
      </c>
      <c r="C18" s="657">
        <f>'3b. Calculator - EEM 1'!E47</f>
        <v>0</v>
      </c>
      <c r="D18" s="10">
        <f>'3b. Calculator - EEM 1'!F47</f>
        <v>0</v>
      </c>
      <c r="E18" s="658" t="str">
        <f t="shared" si="0"/>
        <v>&lt; select &gt;_</v>
      </c>
      <c r="F18" s="10" t="str">
        <f>'3b. Calculator - EEM 1'!G47</f>
        <v>&lt; select &gt;</v>
      </c>
      <c r="G18" s="10" t="str">
        <f t="shared" si="5"/>
        <v/>
      </c>
      <c r="H18" s="10">
        <f>'3b. Calculator - EEM 1'!I47</f>
        <v>0</v>
      </c>
      <c r="I18" s="671">
        <f>'3b. Calculator - EEM 1'!H47</f>
        <v>0</v>
      </c>
      <c r="J18" s="670">
        <f>IF(C18=0,0,VLOOKUP(C18,Hypothèses!$C$214:$E$234,3))</f>
        <v>0</v>
      </c>
      <c r="K18" s="659">
        <f>IF(C18=0,0,VLOOKUP(C18,Hypothèses!$C$214:$E$234,2))</f>
        <v>0</v>
      </c>
      <c r="L18" s="659">
        <f>IF(C18=0,0,C18^4*Hypothèses!$G$198+C18^3*Hypothèses!$H$198+C18^2*Hypothèses!$I$198+C18*Hypothèses!$J$198+Hypothèses!$K$198)</f>
        <v>0</v>
      </c>
      <c r="M18" s="672">
        <f t="shared" si="1"/>
        <v>0</v>
      </c>
      <c r="N18" s="670">
        <f t="shared" si="6"/>
        <v>0</v>
      </c>
      <c r="O18" s="659">
        <f>N18*'Facteurs conversion'!C$6/1000/'Facteurs conversion'!$C$23*M18</f>
        <v>0</v>
      </c>
      <c r="P18" s="573">
        <f t="shared" si="2"/>
        <v>0</v>
      </c>
      <c r="Q18" s="573">
        <f>P18/'Facteurs conversion'!$C$11</f>
        <v>0</v>
      </c>
      <c r="R18" s="660">
        <f>Q18/Hypothèses!$D$166</f>
        <v>0</v>
      </c>
      <c r="S18" s="683" t="str">
        <f>'3b. Calculator - EEM 1'!D47</f>
        <v>&lt; select &gt;</v>
      </c>
      <c r="T18" s="683" t="e">
        <f>VLOOKUP(S18,Subvention!$E$53:$F$58,2,FALSE)</f>
        <v>#N/A</v>
      </c>
      <c r="U18" s="683">
        <f t="shared" si="3"/>
        <v>1</v>
      </c>
      <c r="V18" s="683" t="e">
        <f t="shared" si="4"/>
        <v>#N/A</v>
      </c>
      <c r="W18" s="683">
        <f>IFERROR(VLOOKUP(V18,Subvention!$B$52:$C$81,2,FALSE),0)*H18</f>
        <v>0</v>
      </c>
      <c r="X18" s="739">
        <v>11</v>
      </c>
      <c r="Y18" s="199"/>
      <c r="Z18"/>
      <c r="AA18"/>
      <c r="AB18" s="654"/>
      <c r="AC18"/>
      <c r="AD18" s="624"/>
    </row>
    <row r="19" spans="2:30">
      <c r="B19" s="9">
        <v>13</v>
      </c>
      <c r="C19" s="657">
        <f>'3b. Calculator - EEM 1'!E48</f>
        <v>0</v>
      </c>
      <c r="D19" s="10">
        <f>'3b. Calculator - EEM 1'!F48</f>
        <v>0</v>
      </c>
      <c r="E19" s="658" t="str">
        <f t="shared" si="0"/>
        <v>&lt; select &gt;_</v>
      </c>
      <c r="F19" s="10" t="str">
        <f>'3b. Calculator - EEM 1'!G48</f>
        <v>&lt; select &gt;</v>
      </c>
      <c r="G19" s="10" t="str">
        <f t="shared" si="5"/>
        <v/>
      </c>
      <c r="H19" s="10">
        <f>'3b. Calculator - EEM 1'!I48</f>
        <v>0</v>
      </c>
      <c r="I19" s="671">
        <f>'3b. Calculator - EEM 1'!H48</f>
        <v>0</v>
      </c>
      <c r="J19" s="670">
        <f>IF(C19=0,0,VLOOKUP(C19,Hypothèses!$C$214:$E$234,3))</f>
        <v>0</v>
      </c>
      <c r="K19" s="659">
        <f>IF(C19=0,0,VLOOKUP(C19,Hypothèses!$C$214:$E$234,2))</f>
        <v>0</v>
      </c>
      <c r="L19" s="659">
        <f>IF(C19=0,0,C19^4*Hypothèses!$G$198+C19^3*Hypothèses!$H$198+C19^2*Hypothèses!$I$198+C19*Hypothèses!$J$198+Hypothèses!$K$198)</f>
        <v>0</v>
      </c>
      <c r="M19" s="672">
        <f t="shared" si="1"/>
        <v>0</v>
      </c>
      <c r="N19" s="670">
        <f t="shared" si="6"/>
        <v>0</v>
      </c>
      <c r="O19" s="659">
        <f>N19*'Facteurs conversion'!C$6/1000/'Facteurs conversion'!$C$23*M19</f>
        <v>0</v>
      </c>
      <c r="P19" s="573">
        <f t="shared" si="2"/>
        <v>0</v>
      </c>
      <c r="Q19" s="573">
        <f>P19/'Facteurs conversion'!$C$11</f>
        <v>0</v>
      </c>
      <c r="R19" s="660">
        <f>Q19/Hypothèses!$D$166</f>
        <v>0</v>
      </c>
      <c r="S19" s="683" t="str">
        <f>'3b. Calculator - EEM 1'!D48</f>
        <v>&lt; select &gt;</v>
      </c>
      <c r="T19" s="683" t="e">
        <f>VLOOKUP(S19,Subvention!$E$53:$F$58,2,FALSE)</f>
        <v>#N/A</v>
      </c>
      <c r="U19" s="683">
        <f t="shared" si="3"/>
        <v>1</v>
      </c>
      <c r="V19" s="683" t="e">
        <f t="shared" si="4"/>
        <v>#N/A</v>
      </c>
      <c r="W19" s="683">
        <f>IFERROR(VLOOKUP(V19,Subvention!$B$52:$C$81,2,FALSE),0)*H19</f>
        <v>0</v>
      </c>
      <c r="X19" s="739">
        <v>12</v>
      </c>
      <c r="Y19" s="199"/>
      <c r="Z19"/>
      <c r="AA19"/>
      <c r="AB19" s="654"/>
      <c r="AC19"/>
      <c r="AD19" s="624"/>
    </row>
    <row r="20" spans="2:30">
      <c r="B20" s="9">
        <v>14</v>
      </c>
      <c r="C20" s="657">
        <f>'3b. Calculator - EEM 1'!E49</f>
        <v>0</v>
      </c>
      <c r="D20" s="10">
        <f>'3b. Calculator - EEM 1'!F49</f>
        <v>0</v>
      </c>
      <c r="E20" s="658" t="str">
        <f t="shared" si="0"/>
        <v>&lt; select &gt;_</v>
      </c>
      <c r="F20" s="10" t="str">
        <f>'3b. Calculator - EEM 1'!G49</f>
        <v>&lt; select &gt;</v>
      </c>
      <c r="G20" s="10" t="str">
        <f t="shared" si="5"/>
        <v/>
      </c>
      <c r="H20" s="10">
        <f>'3b. Calculator - EEM 1'!I49</f>
        <v>0</v>
      </c>
      <c r="I20" s="671">
        <f>'3b. Calculator - EEM 1'!H49</f>
        <v>0</v>
      </c>
      <c r="J20" s="670">
        <f>IF(C20=0,0,VLOOKUP(C20,Hypothèses!$C$214:$E$234,3))</f>
        <v>0</v>
      </c>
      <c r="K20" s="659">
        <f>IF(C20=0,0,VLOOKUP(C20,Hypothèses!$C$214:$E$234,2))</f>
        <v>0</v>
      </c>
      <c r="L20" s="659">
        <f>IF(C20=0,0,C20^4*Hypothèses!$G$198+C20^3*Hypothèses!$H$198+C20^2*Hypothèses!$I$198+C20*Hypothèses!$J$198+Hypothèses!$K$198)</f>
        <v>0</v>
      </c>
      <c r="M20" s="672">
        <f t="shared" si="1"/>
        <v>0</v>
      </c>
      <c r="N20" s="670">
        <f t="shared" si="6"/>
        <v>0</v>
      </c>
      <c r="O20" s="659">
        <f>N20*'Facteurs conversion'!C$6/1000/'Facteurs conversion'!$C$23*M20</f>
        <v>0</v>
      </c>
      <c r="P20" s="573">
        <f t="shared" si="2"/>
        <v>0</v>
      </c>
      <c r="Q20" s="573">
        <f>P20/'Facteurs conversion'!$C$11</f>
        <v>0</v>
      </c>
      <c r="R20" s="660">
        <f>Q20/Hypothèses!$D$166</f>
        <v>0</v>
      </c>
      <c r="S20" s="683" t="str">
        <f>'3b. Calculator - EEM 1'!D49</f>
        <v>&lt; select &gt;</v>
      </c>
      <c r="T20" s="683" t="e">
        <f>VLOOKUP(S20,Subvention!$E$53:$F$58,2,FALSE)</f>
        <v>#N/A</v>
      </c>
      <c r="U20" s="683">
        <f t="shared" si="3"/>
        <v>1</v>
      </c>
      <c r="V20" s="683" t="e">
        <f t="shared" si="4"/>
        <v>#N/A</v>
      </c>
      <c r="W20" s="683">
        <f>IFERROR(VLOOKUP(V20,Subvention!$B$52:$C$81,2,FALSE),0)*H20</f>
        <v>0</v>
      </c>
      <c r="X20" s="739">
        <v>13</v>
      </c>
      <c r="Y20" s="199"/>
      <c r="Z20"/>
      <c r="AA20"/>
      <c r="AB20" s="654"/>
      <c r="AC20"/>
      <c r="AD20" s="624"/>
    </row>
    <row r="21" spans="2:30">
      <c r="B21" s="9">
        <v>15</v>
      </c>
      <c r="C21" s="657">
        <f>'3b. Calculator - EEM 1'!E50</f>
        <v>0</v>
      </c>
      <c r="D21" s="10">
        <f>'3b. Calculator - EEM 1'!F50</f>
        <v>0</v>
      </c>
      <c r="E21" s="658" t="str">
        <f t="shared" si="0"/>
        <v>&lt; select &gt;_</v>
      </c>
      <c r="F21" s="10" t="str">
        <f>'3b. Calculator - EEM 1'!G50</f>
        <v>&lt; select &gt;</v>
      </c>
      <c r="G21" s="10" t="str">
        <f t="shared" si="5"/>
        <v/>
      </c>
      <c r="H21" s="10">
        <f>'3b. Calculator - EEM 1'!I50</f>
        <v>0</v>
      </c>
      <c r="I21" s="671">
        <f>'3b. Calculator - EEM 1'!H50</f>
        <v>0</v>
      </c>
      <c r="J21" s="670">
        <f>IF(C21=0,0,VLOOKUP(C21,Hypothèses!$C$214:$E$234,3))</f>
        <v>0</v>
      </c>
      <c r="K21" s="659">
        <f>IF(C21=0,0,VLOOKUP(C21,Hypothèses!$C$214:$E$234,2))</f>
        <v>0</v>
      </c>
      <c r="L21" s="659">
        <f>IF(C21=0,0,C21^4*Hypothèses!$G$198+C21^3*Hypothèses!$H$198+C21^2*Hypothèses!$I$198+C21*Hypothèses!$J$198+Hypothèses!$K$198)</f>
        <v>0</v>
      </c>
      <c r="M21" s="672">
        <f t="shared" si="1"/>
        <v>0</v>
      </c>
      <c r="N21" s="670">
        <f t="shared" si="6"/>
        <v>0</v>
      </c>
      <c r="O21" s="659">
        <f>N21*'Facteurs conversion'!C$6/1000/'Facteurs conversion'!$C$23*M21</f>
        <v>0</v>
      </c>
      <c r="P21" s="573">
        <f t="shared" si="2"/>
        <v>0</v>
      </c>
      <c r="Q21" s="573">
        <f>P21/'Facteurs conversion'!$C$11</f>
        <v>0</v>
      </c>
      <c r="R21" s="660">
        <f>Q21/Hypothèses!$D$166</f>
        <v>0</v>
      </c>
      <c r="S21" s="683" t="str">
        <f>'3b. Calculator - EEM 1'!D50</f>
        <v>&lt; select &gt;</v>
      </c>
      <c r="T21" s="683" t="e">
        <f>VLOOKUP(S21,Subvention!$E$53:$F$58,2,FALSE)</f>
        <v>#N/A</v>
      </c>
      <c r="U21" s="683">
        <f t="shared" si="3"/>
        <v>1</v>
      </c>
      <c r="V21" s="683" t="e">
        <f t="shared" si="4"/>
        <v>#N/A</v>
      </c>
      <c r="W21" s="683">
        <f>IFERROR(VLOOKUP(V21,Subvention!$B$52:$C$81,2,FALSE),0)*H21</f>
        <v>0</v>
      </c>
      <c r="X21" s="739">
        <v>14</v>
      </c>
      <c r="Y21" s="199"/>
      <c r="Z21"/>
      <c r="AA21"/>
      <c r="AB21" s="654"/>
      <c r="AC21"/>
      <c r="AD21" s="624"/>
    </row>
    <row r="22" spans="2:30">
      <c r="B22" s="9">
        <v>16</v>
      </c>
      <c r="C22" s="657">
        <f>'3b. Calculator - EEM 1'!E51</f>
        <v>0</v>
      </c>
      <c r="D22" s="10">
        <f>'3b. Calculator - EEM 1'!F51</f>
        <v>0</v>
      </c>
      <c r="E22" s="658" t="str">
        <f t="shared" si="0"/>
        <v>&lt; select &gt;_</v>
      </c>
      <c r="F22" s="10" t="str">
        <f>'3b. Calculator - EEM 1'!G51</f>
        <v>&lt; select &gt;</v>
      </c>
      <c r="G22" s="10" t="str">
        <f t="shared" si="5"/>
        <v/>
      </c>
      <c r="H22" s="10">
        <f>'3b. Calculator - EEM 1'!I51</f>
        <v>0</v>
      </c>
      <c r="I22" s="671">
        <f>'3b. Calculator - EEM 1'!H51</f>
        <v>0</v>
      </c>
      <c r="J22" s="670">
        <f>IF(C22=0,0,VLOOKUP(C22,Hypothèses!$C$214:$E$234,3))</f>
        <v>0</v>
      </c>
      <c r="K22" s="659">
        <f>IF(C22=0,0,VLOOKUP(C22,Hypothèses!$C$214:$E$234,2))</f>
        <v>0</v>
      </c>
      <c r="L22" s="659">
        <f>IF(C22=0,0,C22^4*Hypothèses!$G$198+C22^3*Hypothèses!$H$198+C22^2*Hypothèses!$I$198+C22*Hypothèses!$J$198+Hypothèses!$K$198)</f>
        <v>0</v>
      </c>
      <c r="M22" s="672">
        <f t="shared" si="1"/>
        <v>0</v>
      </c>
      <c r="N22" s="670">
        <f t="shared" si="6"/>
        <v>0</v>
      </c>
      <c r="O22" s="659">
        <f>N22*'Facteurs conversion'!C$6/1000/'Facteurs conversion'!$C$23*M22</f>
        <v>0</v>
      </c>
      <c r="P22" s="573">
        <f t="shared" si="2"/>
        <v>0</v>
      </c>
      <c r="Q22" s="573">
        <f>P22/'Facteurs conversion'!$C$11</f>
        <v>0</v>
      </c>
      <c r="R22" s="660">
        <f>Q22/Hypothèses!$D$166</f>
        <v>0</v>
      </c>
      <c r="S22" s="683" t="str">
        <f>'3b. Calculator - EEM 1'!D51</f>
        <v>&lt; select &gt;</v>
      </c>
      <c r="T22" s="683" t="e">
        <f>VLOOKUP(S22,Subvention!$E$53:$F$58,2,FALSE)</f>
        <v>#N/A</v>
      </c>
      <c r="U22" s="683">
        <f t="shared" si="3"/>
        <v>1</v>
      </c>
      <c r="V22" s="683" t="e">
        <f t="shared" si="4"/>
        <v>#N/A</v>
      </c>
      <c r="W22" s="683">
        <f>IFERROR(VLOOKUP(V22,Subvention!$B$52:$C$81,2,FALSE),0)*H22</f>
        <v>0</v>
      </c>
      <c r="X22" s="739">
        <v>15</v>
      </c>
      <c r="Y22" s="199"/>
      <c r="Z22"/>
      <c r="AA22"/>
      <c r="AB22" s="654"/>
      <c r="AC22"/>
      <c r="AD22" s="624"/>
    </row>
    <row r="23" spans="2:30">
      <c r="B23" s="9">
        <v>17</v>
      </c>
      <c r="C23" s="657">
        <f>'3b. Calculator - EEM 1'!E52</f>
        <v>0</v>
      </c>
      <c r="D23" s="10">
        <f>'3b. Calculator - EEM 1'!F52</f>
        <v>0</v>
      </c>
      <c r="E23" s="658" t="str">
        <f t="shared" si="0"/>
        <v>&lt; select &gt;_</v>
      </c>
      <c r="F23" s="10" t="str">
        <f>'3b. Calculator - EEM 1'!G52</f>
        <v>&lt; select &gt;</v>
      </c>
      <c r="G23" s="10" t="str">
        <f t="shared" si="5"/>
        <v/>
      </c>
      <c r="H23" s="10">
        <f>'3b. Calculator - EEM 1'!I52</f>
        <v>0</v>
      </c>
      <c r="I23" s="671">
        <f>'3b. Calculator - EEM 1'!H52</f>
        <v>0</v>
      </c>
      <c r="J23" s="670">
        <f>IF(C23=0,0,VLOOKUP(C23,Hypothèses!$C$214:$E$234,3))</f>
        <v>0</v>
      </c>
      <c r="K23" s="659">
        <f>IF(C23=0,0,VLOOKUP(C23,Hypothèses!$C$214:$E$234,2))</f>
        <v>0</v>
      </c>
      <c r="L23" s="659">
        <f>IF(C23=0,0,C23^4*Hypothèses!$G$198+C23^3*Hypothèses!$H$198+C23^2*Hypothèses!$I$198+C23*Hypothèses!$J$198+Hypothèses!$K$198)</f>
        <v>0</v>
      </c>
      <c r="M23" s="672">
        <f t="shared" si="1"/>
        <v>0</v>
      </c>
      <c r="N23" s="670">
        <f t="shared" si="6"/>
        <v>0</v>
      </c>
      <c r="O23" s="659">
        <f>N23*'Facteurs conversion'!C$6/1000/'Facteurs conversion'!$C$23*M23</f>
        <v>0</v>
      </c>
      <c r="P23" s="573">
        <f t="shared" si="2"/>
        <v>0</v>
      </c>
      <c r="Q23" s="573">
        <f>P23/'Facteurs conversion'!$C$11</f>
        <v>0</v>
      </c>
      <c r="R23" s="660">
        <f>Q23/Hypothèses!$D$166</f>
        <v>0</v>
      </c>
      <c r="S23" s="683" t="str">
        <f>'3b. Calculator - EEM 1'!D52</f>
        <v>&lt; select &gt;</v>
      </c>
      <c r="T23" s="683" t="e">
        <f>VLOOKUP(S23,Subvention!$E$53:$F$58,2,FALSE)</f>
        <v>#N/A</v>
      </c>
      <c r="U23" s="683">
        <f t="shared" si="3"/>
        <v>1</v>
      </c>
      <c r="V23" s="683" t="e">
        <f t="shared" si="4"/>
        <v>#N/A</v>
      </c>
      <c r="W23" s="683">
        <f>IFERROR(VLOOKUP(V23,Subvention!$B$52:$C$81,2,FALSE),0)*H23</f>
        <v>0</v>
      </c>
      <c r="X23" s="739">
        <v>16</v>
      </c>
      <c r="Y23" s="199"/>
      <c r="Z23"/>
      <c r="AA23"/>
      <c r="AB23" s="654"/>
      <c r="AC23"/>
      <c r="AD23" s="624"/>
    </row>
    <row r="24" spans="2:30">
      <c r="B24" s="9">
        <v>18</v>
      </c>
      <c r="C24" s="657">
        <f>'3b. Calculator - EEM 1'!E53</f>
        <v>0</v>
      </c>
      <c r="D24" s="10">
        <f>'3b. Calculator - EEM 1'!F53</f>
        <v>0</v>
      </c>
      <c r="E24" s="658" t="str">
        <f t="shared" si="0"/>
        <v>&lt; select &gt;_</v>
      </c>
      <c r="F24" s="10" t="str">
        <f>'3b. Calculator - EEM 1'!G53</f>
        <v>&lt; select &gt;</v>
      </c>
      <c r="G24" s="10" t="str">
        <f t="shared" si="5"/>
        <v/>
      </c>
      <c r="H24" s="10">
        <f>'3b. Calculator - EEM 1'!I53</f>
        <v>0</v>
      </c>
      <c r="I24" s="671">
        <f>'3b. Calculator - EEM 1'!H53</f>
        <v>0</v>
      </c>
      <c r="J24" s="670">
        <f>IF(C24=0,0,VLOOKUP(C24,Hypothèses!$C$214:$E$234,3))</f>
        <v>0</v>
      </c>
      <c r="K24" s="659">
        <f>IF(C24=0,0,VLOOKUP(C24,Hypothèses!$C$214:$E$234,2))</f>
        <v>0</v>
      </c>
      <c r="L24" s="659">
        <f>IF(C24=0,0,C24^4*Hypothèses!$G$198+C24^3*Hypothèses!$H$198+C24^2*Hypothèses!$I$198+C24*Hypothèses!$J$198+Hypothèses!$K$198)</f>
        <v>0</v>
      </c>
      <c r="M24" s="672">
        <f t="shared" si="1"/>
        <v>0</v>
      </c>
      <c r="N24" s="670">
        <f t="shared" si="6"/>
        <v>0</v>
      </c>
      <c r="O24" s="659">
        <f>N24*'Facteurs conversion'!C$6/1000/'Facteurs conversion'!$C$23*M24</f>
        <v>0</v>
      </c>
      <c r="P24" s="573">
        <f t="shared" si="2"/>
        <v>0</v>
      </c>
      <c r="Q24" s="573">
        <f>P24/'Facteurs conversion'!$C$11</f>
        <v>0</v>
      </c>
      <c r="R24" s="660">
        <f>Q24/Hypothèses!$D$166</f>
        <v>0</v>
      </c>
      <c r="S24" s="683" t="str">
        <f>'3b. Calculator - EEM 1'!D53</f>
        <v>&lt; select &gt;</v>
      </c>
      <c r="T24" s="683" t="e">
        <f>VLOOKUP(S24,Subvention!$E$53:$F$58,2,FALSE)</f>
        <v>#N/A</v>
      </c>
      <c r="U24" s="683">
        <f t="shared" si="3"/>
        <v>1</v>
      </c>
      <c r="V24" s="683" t="e">
        <f t="shared" si="4"/>
        <v>#N/A</v>
      </c>
      <c r="W24" s="683">
        <f>IFERROR(VLOOKUP(V24,Subvention!$B$52:$C$81,2,FALSE),0)*H24</f>
        <v>0</v>
      </c>
      <c r="X24" s="739">
        <v>17</v>
      </c>
      <c r="Y24" s="199"/>
      <c r="Z24"/>
      <c r="AA24"/>
      <c r="AB24" s="654"/>
      <c r="AC24"/>
      <c r="AD24" s="624"/>
    </row>
    <row r="25" spans="2:30">
      <c r="B25" s="9">
        <v>19</v>
      </c>
      <c r="C25" s="657">
        <f>'3b. Calculator - EEM 1'!E54</f>
        <v>0</v>
      </c>
      <c r="D25" s="10">
        <f>'3b. Calculator - EEM 1'!F54</f>
        <v>0</v>
      </c>
      <c r="E25" s="658" t="str">
        <f t="shared" si="0"/>
        <v>&lt; select &gt;_</v>
      </c>
      <c r="F25" s="10" t="str">
        <f>'3b. Calculator - EEM 1'!G54</f>
        <v>&lt; select &gt;</v>
      </c>
      <c r="G25" s="10" t="str">
        <f t="shared" si="5"/>
        <v/>
      </c>
      <c r="H25" s="10">
        <f>'3b. Calculator - EEM 1'!I54</f>
        <v>0</v>
      </c>
      <c r="I25" s="671">
        <f>'3b. Calculator - EEM 1'!H54</f>
        <v>0</v>
      </c>
      <c r="J25" s="670">
        <f>IF(C25=0,0,VLOOKUP(C25,Hypothèses!$C$214:$E$234,3))</f>
        <v>0</v>
      </c>
      <c r="K25" s="659">
        <f>IF(C25=0,0,VLOOKUP(C25,Hypothèses!$C$214:$E$234,2))</f>
        <v>0</v>
      </c>
      <c r="L25" s="659">
        <f>IF(C25=0,0,C25^4*Hypothèses!$G$198+C25^3*Hypothèses!$H$198+C25^2*Hypothèses!$I$198+C25*Hypothèses!$J$198+Hypothèses!$K$198)</f>
        <v>0</v>
      </c>
      <c r="M25" s="672">
        <f t="shared" si="1"/>
        <v>0</v>
      </c>
      <c r="N25" s="670">
        <f t="shared" si="6"/>
        <v>0</v>
      </c>
      <c r="O25" s="659">
        <f>N25*'Facteurs conversion'!C$6/1000/'Facteurs conversion'!$C$23*M25</f>
        <v>0</v>
      </c>
      <c r="P25" s="573">
        <f t="shared" si="2"/>
        <v>0</v>
      </c>
      <c r="Q25" s="573">
        <f>P25/'Facteurs conversion'!$C$11</f>
        <v>0</v>
      </c>
      <c r="R25" s="660">
        <f>Q25/Hypothèses!$D$166</f>
        <v>0</v>
      </c>
      <c r="S25" s="683" t="str">
        <f>'3b. Calculator - EEM 1'!D54</f>
        <v>&lt; select &gt;</v>
      </c>
      <c r="T25" s="683" t="e">
        <f>VLOOKUP(S25,Subvention!$E$53:$F$58,2,FALSE)</f>
        <v>#N/A</v>
      </c>
      <c r="U25" s="683">
        <f t="shared" si="3"/>
        <v>1</v>
      </c>
      <c r="V25" s="683" t="e">
        <f t="shared" si="4"/>
        <v>#N/A</v>
      </c>
      <c r="W25" s="683">
        <f>IFERROR(VLOOKUP(V25,Subvention!$B$52:$C$81,2,FALSE),0)*H25</f>
        <v>0</v>
      </c>
      <c r="X25" s="739">
        <v>18</v>
      </c>
      <c r="Y25" s="199"/>
      <c r="Z25"/>
      <c r="AA25"/>
      <c r="AB25" s="654"/>
      <c r="AC25"/>
      <c r="AD25" s="624"/>
    </row>
    <row r="26" spans="2:30">
      <c r="B26" s="9">
        <v>20</v>
      </c>
      <c r="C26" s="657">
        <f>'3b. Calculator - EEM 1'!E55</f>
        <v>0</v>
      </c>
      <c r="D26" s="10">
        <f>'3b. Calculator - EEM 1'!F55</f>
        <v>0</v>
      </c>
      <c r="E26" s="658" t="str">
        <f t="shared" si="0"/>
        <v>&lt; select &gt;_</v>
      </c>
      <c r="F26" s="10" t="str">
        <f>'3b. Calculator - EEM 1'!G55</f>
        <v>&lt; select &gt;</v>
      </c>
      <c r="G26" s="10" t="str">
        <f t="shared" si="5"/>
        <v/>
      </c>
      <c r="H26" s="10">
        <f>'3b. Calculator - EEM 1'!I55</f>
        <v>0</v>
      </c>
      <c r="I26" s="671">
        <f>'3b. Calculator - EEM 1'!H55</f>
        <v>0</v>
      </c>
      <c r="J26" s="670">
        <f>IF(C26=0,0,VLOOKUP(C26,Hypothèses!$C$214:$E$234,3))</f>
        <v>0</v>
      </c>
      <c r="K26" s="659">
        <f>IF(C26=0,0,VLOOKUP(C26,Hypothèses!$C$214:$E$234,2))</f>
        <v>0</v>
      </c>
      <c r="L26" s="659">
        <f>IF(C26=0,0,C26^4*Hypothèses!$G$198+C26^3*Hypothèses!$H$198+C26^2*Hypothèses!$I$198+C26*Hypothèses!$J$198+Hypothèses!$K$198)</f>
        <v>0</v>
      </c>
      <c r="M26" s="672">
        <f t="shared" si="1"/>
        <v>0</v>
      </c>
      <c r="N26" s="670">
        <f>_xlfn.XLOOKUP(B26,$Y$8:$Y$67,$AD$8:$AD$67,0,0)</f>
        <v>0</v>
      </c>
      <c r="O26" s="659">
        <f>N26*'Facteurs conversion'!C$6/1000/'Facteurs conversion'!$C$23*M26</f>
        <v>0</v>
      </c>
      <c r="P26" s="573">
        <f t="shared" si="2"/>
        <v>0</v>
      </c>
      <c r="Q26" s="573">
        <f>P26/'Facteurs conversion'!$C$11</f>
        <v>0</v>
      </c>
      <c r="R26" s="660">
        <f>Q26/Hypothèses!$D$166</f>
        <v>0</v>
      </c>
      <c r="S26" s="683" t="str">
        <f>'3b. Calculator - EEM 1'!D55</f>
        <v>&lt; select &gt;</v>
      </c>
      <c r="T26" s="683" t="e">
        <f>VLOOKUP(S26,Subvention!$E$53:$F$58,2,FALSE)</f>
        <v>#N/A</v>
      </c>
      <c r="U26" s="683">
        <f t="shared" si="3"/>
        <v>1</v>
      </c>
      <c r="V26" s="683" t="e">
        <f t="shared" si="4"/>
        <v>#N/A</v>
      </c>
      <c r="W26" s="683">
        <f>IFERROR(VLOOKUP(V26,Subvention!$B$52:$C$81,2,FALSE),0)*H26</f>
        <v>0</v>
      </c>
      <c r="X26" s="739">
        <v>19</v>
      </c>
      <c r="Y26" s="199"/>
      <c r="Z26"/>
      <c r="AA26"/>
      <c r="AB26" s="654"/>
      <c r="AC26"/>
      <c r="AD26" s="624"/>
    </row>
    <row r="27" spans="2:30" s="6" customFormat="1">
      <c r="E27" s="737"/>
      <c r="X27" s="739">
        <v>20</v>
      </c>
      <c r="Y27" s="199"/>
      <c r="Z27"/>
      <c r="AA27"/>
      <c r="AB27" s="654"/>
      <c r="AC27"/>
      <c r="AD27" s="624"/>
    </row>
    <row r="28" spans="2:30">
      <c r="B28" s="669" t="s">
        <v>25</v>
      </c>
      <c r="C28" s="661"/>
      <c r="D28" s="662"/>
      <c r="E28" s="663"/>
      <c r="F28" s="662"/>
      <c r="G28" s="662"/>
      <c r="H28" s="662"/>
      <c r="I28" s="662"/>
      <c r="J28" s="662"/>
      <c r="K28" s="662"/>
      <c r="L28" s="662"/>
      <c r="M28" s="662"/>
      <c r="N28" s="662"/>
      <c r="O28" s="662"/>
      <c r="P28" s="662"/>
      <c r="Q28" s="662"/>
      <c r="R28" s="664"/>
      <c r="S28" s="664"/>
      <c r="T28" s="664"/>
      <c r="U28" s="664"/>
      <c r="V28" s="664"/>
      <c r="W28" s="664"/>
      <c r="X28" s="739">
        <v>1</v>
      </c>
      <c r="Y28" s="199" t="e" cm="1" vm="1">
        <f t="array" ref="Y28">_xlfn._xlws.FILTER('Isolation - CAS 2'!N12:S31,'Isolation - CAS 2'!N12:N31&lt;&gt;"")</f>
        <v>#VALUE!</v>
      </c>
      <c r="Z28"/>
      <c r="AA28"/>
      <c r="AB28" s="654"/>
      <c r="AC28"/>
      <c r="AD28" s="624"/>
    </row>
    <row r="29" spans="2:30" s="6" customFormat="1">
      <c r="E29" s="737"/>
      <c r="X29" s="739">
        <v>2</v>
      </c>
      <c r="Y29" s="199"/>
      <c r="Z29"/>
      <c r="AA29"/>
      <c r="AB29" s="654"/>
      <c r="AC29"/>
      <c r="AD29" s="624"/>
    </row>
    <row r="30" spans="2:30" ht="52.8">
      <c r="B30" s="1889" t="s">
        <v>923</v>
      </c>
      <c r="C30" s="765" t="s">
        <v>993</v>
      </c>
      <c r="D30" s="765" t="s">
        <v>968</v>
      </c>
      <c r="E30" s="1890" t="s">
        <v>935</v>
      </c>
      <c r="F30" s="1889" t="s">
        <v>785</v>
      </c>
      <c r="G30" s="1889" t="s">
        <v>393</v>
      </c>
      <c r="H30" s="1889" t="s">
        <v>780</v>
      </c>
      <c r="I30" s="768" t="s">
        <v>17</v>
      </c>
      <c r="J30" s="1881" t="s">
        <v>991</v>
      </c>
      <c r="K30" s="1881"/>
      <c r="L30" s="1881"/>
      <c r="M30" s="1882"/>
      <c r="N30" s="1883" t="s">
        <v>965</v>
      </c>
      <c r="O30" s="1884"/>
      <c r="P30" s="765" t="s">
        <v>973</v>
      </c>
      <c r="Q30" s="765" t="s">
        <v>973</v>
      </c>
      <c r="R30" s="765" t="s">
        <v>974</v>
      </c>
      <c r="W30" s="740"/>
      <c r="X30" s="739">
        <v>3</v>
      </c>
      <c r="Y30" s="199"/>
      <c r="Z30"/>
      <c r="AA30"/>
      <c r="AB30" s="654"/>
      <c r="AC30"/>
      <c r="AD30" s="624"/>
    </row>
    <row r="31" spans="2:30" ht="15.6">
      <c r="B31" s="1889"/>
      <c r="C31" s="764" t="s">
        <v>994</v>
      </c>
      <c r="D31" s="764" t="s">
        <v>966</v>
      </c>
      <c r="E31" s="1890"/>
      <c r="F31" s="1889"/>
      <c r="G31" s="1889"/>
      <c r="H31" s="1889"/>
      <c r="I31" s="766" t="s">
        <v>969</v>
      </c>
      <c r="J31" s="1885" t="s">
        <v>945</v>
      </c>
      <c r="K31" s="1886"/>
      <c r="L31" s="1886" t="s">
        <v>928</v>
      </c>
      <c r="M31" s="1887"/>
      <c r="N31" s="767" t="s">
        <v>995</v>
      </c>
      <c r="O31" s="764" t="s">
        <v>798</v>
      </c>
      <c r="P31" s="764" t="s">
        <v>971</v>
      </c>
      <c r="Q31" s="764" t="s">
        <v>978</v>
      </c>
      <c r="R31" s="764" t="s">
        <v>978</v>
      </c>
      <c r="X31" s="739">
        <v>4</v>
      </c>
      <c r="Y31" s="199"/>
      <c r="Z31"/>
      <c r="AA31"/>
      <c r="AB31" s="654"/>
      <c r="AC31"/>
      <c r="AD31" s="624"/>
    </row>
    <row r="32" spans="2:30">
      <c r="B32" s="9">
        <v>1</v>
      </c>
      <c r="C32" s="657">
        <f>'3b. Calculator - EEM 1'!E74</f>
        <v>0</v>
      </c>
      <c r="D32" s="657">
        <f>'3b. Calculator - EEM 1'!F74</f>
        <v>0</v>
      </c>
      <c r="E32" s="658" t="str">
        <f t="shared" ref="E32:E41" si="7">IF(F32="Indoor",F32,F32&amp;"_"&amp;G32)</f>
        <v>&lt; select &gt;_</v>
      </c>
      <c r="F32" s="10" t="str">
        <f>'3b. Calculator - EEM 1'!G74</f>
        <v>&lt; select &gt;</v>
      </c>
      <c r="G32" s="10" t="str">
        <f>$G$7</f>
        <v/>
      </c>
      <c r="H32" s="10">
        <f>'3b. Calculator - EEM 1'!I74</f>
        <v>0</v>
      </c>
      <c r="I32" s="671">
        <f>'3b. Calculator - EEM 1'!H74</f>
        <v>0</v>
      </c>
      <c r="J32" s="692">
        <f t="shared" ref="J32:J41" si="8">CONVERT(L32,"in","mm")</f>
        <v>0</v>
      </c>
      <c r="K32" s="693"/>
      <c r="L32" s="694">
        <f>SQRT(Hypothèses!$D$248*Isolation!C32/PI())*12</f>
        <v>0</v>
      </c>
      <c r="M32" s="695"/>
      <c r="N32" s="670">
        <f>_xlfn.XLOOKUP(B32,$Y$73:$Y$102,$AD$73:$AD$102,0,0)</f>
        <v>0</v>
      </c>
      <c r="O32" s="659">
        <f>N32*'Facteurs conversion'!$C$6/1000/'Facteurs conversion'!$C$23^2*C32</f>
        <v>0</v>
      </c>
      <c r="P32" s="573">
        <f>O32*I32*H32</f>
        <v>0</v>
      </c>
      <c r="Q32" s="573">
        <f>P32/'Facteurs conversion'!$C$11</f>
        <v>0</v>
      </c>
      <c r="R32" s="660">
        <f>Q32/Hypothèses!$D$166</f>
        <v>0</v>
      </c>
      <c r="S32" s="740"/>
      <c r="T32" s="740"/>
      <c r="U32" s="740"/>
      <c r="V32" s="740"/>
      <c r="W32" s="740"/>
      <c r="X32" s="739">
        <v>5</v>
      </c>
      <c r="Y32" s="199"/>
      <c r="Z32"/>
      <c r="AA32"/>
      <c r="AB32" s="654"/>
      <c r="AC32"/>
      <c r="AD32" s="624"/>
    </row>
    <row r="33" spans="2:30">
      <c r="B33" s="9">
        <v>2</v>
      </c>
      <c r="C33" s="657">
        <f>'3b. Calculator - EEM 1'!E75</f>
        <v>0</v>
      </c>
      <c r="D33" s="657">
        <f>'3b. Calculator - EEM 1'!F75</f>
        <v>0</v>
      </c>
      <c r="E33" s="658" t="str">
        <f t="shared" si="7"/>
        <v>&lt; select &gt;_</v>
      </c>
      <c r="F33" s="10" t="str">
        <f>'3b. Calculator - EEM 1'!G75</f>
        <v>&lt; select &gt;</v>
      </c>
      <c r="G33" s="10" t="str">
        <f t="shared" ref="G33:G41" si="9">$G$7</f>
        <v/>
      </c>
      <c r="H33" s="10">
        <f>'3b. Calculator - EEM 1'!I75</f>
        <v>0</v>
      </c>
      <c r="I33" s="671">
        <f>'3b. Calculator - EEM 1'!H75</f>
        <v>0</v>
      </c>
      <c r="J33" s="692">
        <f t="shared" si="8"/>
        <v>0</v>
      </c>
      <c r="K33" s="693"/>
      <c r="L33" s="694">
        <f>SQRT(Hypothèses!$D$248*Isolation!C33/PI())*12</f>
        <v>0</v>
      </c>
      <c r="M33" s="695"/>
      <c r="N33" s="670">
        <f>_xlfn.XLOOKUP(B33,$Y$73:$Y$102,$AD$73:$AD$102,0,0)</f>
        <v>0</v>
      </c>
      <c r="O33" s="659">
        <f>N33*'Facteurs conversion'!$C$6/1000/'Facteurs conversion'!$C$23^2*C33</f>
        <v>0</v>
      </c>
      <c r="P33" s="573">
        <f t="shared" ref="P33:P41" si="10">O33*I33*H33</f>
        <v>0</v>
      </c>
      <c r="Q33" s="573">
        <f>P33/'Facteurs conversion'!$C$11</f>
        <v>0</v>
      </c>
      <c r="R33" s="660">
        <f>Q33/Hypothèses!$D$166</f>
        <v>0</v>
      </c>
      <c r="S33" s="740"/>
      <c r="T33" s="740"/>
      <c r="U33" s="740"/>
      <c r="V33" s="740"/>
      <c r="W33" s="740"/>
      <c r="X33" s="739">
        <v>6</v>
      </c>
      <c r="Y33" s="199"/>
      <c r="Z33"/>
      <c r="AA33"/>
      <c r="AB33" s="654"/>
      <c r="AC33"/>
      <c r="AD33" s="624"/>
    </row>
    <row r="34" spans="2:30">
      <c r="B34" s="9">
        <v>3</v>
      </c>
      <c r="C34" s="657">
        <f>'3b. Calculator - EEM 1'!E76</f>
        <v>0</v>
      </c>
      <c r="D34" s="657">
        <f>'3b. Calculator - EEM 1'!F76</f>
        <v>0</v>
      </c>
      <c r="E34" s="658" t="str">
        <f t="shared" si="7"/>
        <v>&lt; select &gt;_</v>
      </c>
      <c r="F34" s="10" t="str">
        <f>'3b. Calculator - EEM 1'!G76</f>
        <v>&lt; select &gt;</v>
      </c>
      <c r="G34" s="10" t="str">
        <f t="shared" si="9"/>
        <v/>
      </c>
      <c r="H34" s="10">
        <f>'3b. Calculator - EEM 1'!I76</f>
        <v>0</v>
      </c>
      <c r="I34" s="671">
        <f>'3b. Calculator - EEM 1'!H76</f>
        <v>0</v>
      </c>
      <c r="J34" s="692">
        <f t="shared" si="8"/>
        <v>0</v>
      </c>
      <c r="K34" s="693"/>
      <c r="L34" s="694">
        <f>SQRT(Hypothèses!$D$248*Isolation!C34/PI())*12</f>
        <v>0</v>
      </c>
      <c r="M34" s="695"/>
      <c r="N34" s="670">
        <f t="shared" ref="N34:N41" si="11">_xlfn.XLOOKUP(B34,$Y$73:$Y$102,$AD$73:$AD$102,0,0)</f>
        <v>0</v>
      </c>
      <c r="O34" s="659">
        <f>N34*'Facteurs conversion'!$C$6/1000/'Facteurs conversion'!$C$23^2*C34</f>
        <v>0</v>
      </c>
      <c r="P34" s="573">
        <f t="shared" si="10"/>
        <v>0</v>
      </c>
      <c r="Q34" s="573">
        <f>P34/'Facteurs conversion'!$C$11</f>
        <v>0</v>
      </c>
      <c r="R34" s="660">
        <f>Q34/Hypothèses!$D$166</f>
        <v>0</v>
      </c>
      <c r="S34" s="740"/>
      <c r="T34" s="740"/>
      <c r="U34" s="740"/>
      <c r="V34" s="740"/>
      <c r="W34" s="740"/>
      <c r="X34" s="739">
        <v>7</v>
      </c>
      <c r="Y34" s="199"/>
      <c r="Z34"/>
      <c r="AA34"/>
      <c r="AB34" s="654"/>
      <c r="AC34"/>
      <c r="AD34" s="624"/>
    </row>
    <row r="35" spans="2:30">
      <c r="B35" s="9">
        <v>4</v>
      </c>
      <c r="C35" s="657">
        <f>'3b. Calculator - EEM 1'!E77</f>
        <v>0</v>
      </c>
      <c r="D35" s="657">
        <f>'3b. Calculator - EEM 1'!F77</f>
        <v>0</v>
      </c>
      <c r="E35" s="658" t="str">
        <f t="shared" si="7"/>
        <v>&lt; select &gt;_</v>
      </c>
      <c r="F35" s="10" t="str">
        <f>'3b. Calculator - EEM 1'!G77</f>
        <v>&lt; select &gt;</v>
      </c>
      <c r="G35" s="10" t="str">
        <f t="shared" si="9"/>
        <v/>
      </c>
      <c r="H35" s="10">
        <f>'3b. Calculator - EEM 1'!I77</f>
        <v>0</v>
      </c>
      <c r="I35" s="671">
        <f>'3b. Calculator - EEM 1'!H77</f>
        <v>0</v>
      </c>
      <c r="J35" s="692">
        <f t="shared" si="8"/>
        <v>0</v>
      </c>
      <c r="K35" s="693"/>
      <c r="L35" s="694">
        <f>SQRT(Hypothèses!$D$248*Isolation!C35/PI())*12</f>
        <v>0</v>
      </c>
      <c r="M35" s="695"/>
      <c r="N35" s="670">
        <f t="shared" si="11"/>
        <v>0</v>
      </c>
      <c r="O35" s="659">
        <f>N35*'Facteurs conversion'!$C$6/1000/'Facteurs conversion'!$C$23^2*C35</f>
        <v>0</v>
      </c>
      <c r="P35" s="573">
        <f t="shared" si="10"/>
        <v>0</v>
      </c>
      <c r="Q35" s="573">
        <f>P35/'Facteurs conversion'!$C$11</f>
        <v>0</v>
      </c>
      <c r="R35" s="660">
        <f>Q35/Hypothèses!$D$166</f>
        <v>0</v>
      </c>
      <c r="S35" s="740"/>
      <c r="T35" s="740"/>
      <c r="U35" s="740"/>
      <c r="V35" s="740"/>
      <c r="W35" s="740"/>
      <c r="X35" s="739">
        <v>8</v>
      </c>
      <c r="Y35" s="199"/>
      <c r="Z35"/>
      <c r="AA35"/>
      <c r="AB35" s="654"/>
      <c r="AC35"/>
      <c r="AD35" s="624"/>
    </row>
    <row r="36" spans="2:30">
      <c r="B36" s="9">
        <v>5</v>
      </c>
      <c r="C36" s="657">
        <f>'3b. Calculator - EEM 1'!E78</f>
        <v>0</v>
      </c>
      <c r="D36" s="657">
        <f>'3b. Calculator - EEM 1'!F78</f>
        <v>0</v>
      </c>
      <c r="E36" s="658" t="str">
        <f t="shared" si="7"/>
        <v>&lt; select &gt;_</v>
      </c>
      <c r="F36" s="10" t="str">
        <f>'3b. Calculator - EEM 1'!G78</f>
        <v>&lt; select &gt;</v>
      </c>
      <c r="G36" s="10" t="str">
        <f t="shared" si="9"/>
        <v/>
      </c>
      <c r="H36" s="10">
        <f>'3b. Calculator - EEM 1'!I78</f>
        <v>0</v>
      </c>
      <c r="I36" s="671">
        <f>'3b. Calculator - EEM 1'!H78</f>
        <v>0</v>
      </c>
      <c r="J36" s="692">
        <f t="shared" si="8"/>
        <v>0</v>
      </c>
      <c r="K36" s="693"/>
      <c r="L36" s="694">
        <f>SQRT(Hypothèses!$D$248*Isolation!C36/PI())*12</f>
        <v>0</v>
      </c>
      <c r="M36" s="695"/>
      <c r="N36" s="670">
        <f t="shared" si="11"/>
        <v>0</v>
      </c>
      <c r="O36" s="659">
        <f>N36*'Facteurs conversion'!$C$6/1000/'Facteurs conversion'!$C$23^2*C36</f>
        <v>0</v>
      </c>
      <c r="P36" s="573">
        <f t="shared" si="10"/>
        <v>0</v>
      </c>
      <c r="Q36" s="573">
        <f>P36/'Facteurs conversion'!$C$11</f>
        <v>0</v>
      </c>
      <c r="R36" s="660">
        <f>Q36/Hypothèses!$D$166</f>
        <v>0</v>
      </c>
      <c r="S36" s="740"/>
      <c r="T36" s="740"/>
      <c r="U36" s="740"/>
      <c r="V36" s="740"/>
      <c r="W36" s="740"/>
      <c r="X36" s="739">
        <v>9</v>
      </c>
      <c r="Y36" s="199"/>
      <c r="Z36"/>
      <c r="AA36"/>
      <c r="AB36" s="654"/>
      <c r="AC36"/>
      <c r="AD36" s="624"/>
    </row>
    <row r="37" spans="2:30">
      <c r="B37" s="9">
        <v>6</v>
      </c>
      <c r="C37" s="657">
        <f>'3b. Calculator - EEM 1'!E79</f>
        <v>0</v>
      </c>
      <c r="D37" s="657">
        <f>'3b. Calculator - EEM 1'!F79</f>
        <v>0</v>
      </c>
      <c r="E37" s="658" t="str">
        <f t="shared" si="7"/>
        <v>&lt; select &gt;_</v>
      </c>
      <c r="F37" s="10" t="str">
        <f>'3b. Calculator - EEM 1'!G79</f>
        <v>&lt; select &gt;</v>
      </c>
      <c r="G37" s="10" t="str">
        <f t="shared" si="9"/>
        <v/>
      </c>
      <c r="H37" s="10">
        <f>'3b. Calculator - EEM 1'!I79</f>
        <v>0</v>
      </c>
      <c r="I37" s="671">
        <f>'3b. Calculator - EEM 1'!H79</f>
        <v>0</v>
      </c>
      <c r="J37" s="692">
        <f t="shared" si="8"/>
        <v>0</v>
      </c>
      <c r="K37" s="693"/>
      <c r="L37" s="694">
        <f>SQRT(Hypothèses!$D$248*Isolation!C37/PI())*12</f>
        <v>0</v>
      </c>
      <c r="M37" s="695"/>
      <c r="N37" s="670">
        <f t="shared" si="11"/>
        <v>0</v>
      </c>
      <c r="O37" s="659">
        <f>N37*'Facteurs conversion'!$C$6/1000/'Facteurs conversion'!$C$23^2*C37</f>
        <v>0</v>
      </c>
      <c r="P37" s="573">
        <f t="shared" si="10"/>
        <v>0</v>
      </c>
      <c r="Q37" s="573">
        <f>P37/'Facteurs conversion'!$C$11</f>
        <v>0</v>
      </c>
      <c r="R37" s="660">
        <f>Q37/Hypothèses!$D$166</f>
        <v>0</v>
      </c>
      <c r="X37" s="739">
        <v>10</v>
      </c>
      <c r="Y37" s="199"/>
      <c r="Z37"/>
      <c r="AA37"/>
      <c r="AB37" s="654"/>
      <c r="AC37"/>
      <c r="AD37" s="624"/>
    </row>
    <row r="38" spans="2:30">
      <c r="B38" s="9">
        <v>7</v>
      </c>
      <c r="C38" s="657">
        <f>'3b. Calculator - EEM 1'!E80</f>
        <v>0</v>
      </c>
      <c r="D38" s="657">
        <f>'3b. Calculator - EEM 1'!F80</f>
        <v>0</v>
      </c>
      <c r="E38" s="658" t="str">
        <f t="shared" si="7"/>
        <v>&lt; select &gt;_</v>
      </c>
      <c r="F38" s="10" t="str">
        <f>'3b. Calculator - EEM 1'!G80</f>
        <v>&lt; select &gt;</v>
      </c>
      <c r="G38" s="10" t="str">
        <f t="shared" si="9"/>
        <v/>
      </c>
      <c r="H38" s="10">
        <f>'3b. Calculator - EEM 1'!I80</f>
        <v>0</v>
      </c>
      <c r="I38" s="671">
        <f>'3b. Calculator - EEM 1'!H80</f>
        <v>0</v>
      </c>
      <c r="J38" s="692">
        <f t="shared" si="8"/>
        <v>0</v>
      </c>
      <c r="K38" s="693"/>
      <c r="L38" s="694">
        <f>SQRT(Hypothèses!$D$248*Isolation!C38/PI())*12</f>
        <v>0</v>
      </c>
      <c r="M38" s="695"/>
      <c r="N38" s="670">
        <f t="shared" si="11"/>
        <v>0</v>
      </c>
      <c r="O38" s="659">
        <f>N38*'Facteurs conversion'!$C$6/1000/'Facteurs conversion'!$C$23^2*C38</f>
        <v>0</v>
      </c>
      <c r="P38" s="573">
        <f t="shared" si="10"/>
        <v>0</v>
      </c>
      <c r="Q38" s="573">
        <f>P38/'Facteurs conversion'!$C$11</f>
        <v>0</v>
      </c>
      <c r="R38" s="660">
        <f>Q38/Hypothèses!$D$166</f>
        <v>0</v>
      </c>
      <c r="X38" s="739">
        <v>11</v>
      </c>
      <c r="Y38" s="199"/>
      <c r="Z38"/>
      <c r="AA38"/>
      <c r="AB38" s="654"/>
      <c r="AC38"/>
      <c r="AD38" s="624"/>
    </row>
    <row r="39" spans="2:30">
      <c r="B39" s="9">
        <v>8</v>
      </c>
      <c r="C39" s="657">
        <f>'3b. Calculator - EEM 1'!E81</f>
        <v>0</v>
      </c>
      <c r="D39" s="657">
        <f>'3b. Calculator - EEM 1'!F81</f>
        <v>0</v>
      </c>
      <c r="E39" s="658" t="str">
        <f t="shared" si="7"/>
        <v>&lt; select &gt;_</v>
      </c>
      <c r="F39" s="10" t="str">
        <f>'3b. Calculator - EEM 1'!G81</f>
        <v>&lt; select &gt;</v>
      </c>
      <c r="G39" s="10" t="str">
        <f t="shared" si="9"/>
        <v/>
      </c>
      <c r="H39" s="10">
        <f>'3b. Calculator - EEM 1'!I81</f>
        <v>0</v>
      </c>
      <c r="I39" s="671">
        <f>'3b. Calculator - EEM 1'!H81</f>
        <v>0</v>
      </c>
      <c r="J39" s="692">
        <f t="shared" si="8"/>
        <v>0</v>
      </c>
      <c r="K39" s="693"/>
      <c r="L39" s="694">
        <f>SQRT(Hypothèses!$D$248*Isolation!C39/PI())*12</f>
        <v>0</v>
      </c>
      <c r="M39" s="695"/>
      <c r="N39" s="670">
        <f t="shared" si="11"/>
        <v>0</v>
      </c>
      <c r="O39" s="659">
        <f>N39*'Facteurs conversion'!$C$6/1000/'Facteurs conversion'!$C$23^2*C39</f>
        <v>0</v>
      </c>
      <c r="P39" s="573">
        <f t="shared" si="10"/>
        <v>0</v>
      </c>
      <c r="Q39" s="573">
        <f>P39/'Facteurs conversion'!$C$11</f>
        <v>0</v>
      </c>
      <c r="R39" s="660">
        <f>Q39/Hypothèses!$D$166</f>
        <v>0</v>
      </c>
      <c r="X39" s="739">
        <v>12</v>
      </c>
      <c r="Y39" s="199"/>
      <c r="Z39"/>
      <c r="AA39"/>
      <c r="AB39" s="654"/>
      <c r="AC39"/>
      <c r="AD39" s="624"/>
    </row>
    <row r="40" spans="2:30">
      <c r="B40" s="9">
        <v>9</v>
      </c>
      <c r="C40" s="657">
        <f>'3b. Calculator - EEM 1'!E82</f>
        <v>0</v>
      </c>
      <c r="D40" s="657">
        <f>'3b. Calculator - EEM 1'!F82</f>
        <v>0</v>
      </c>
      <c r="E40" s="658" t="str">
        <f t="shared" si="7"/>
        <v>&lt; select &gt;_</v>
      </c>
      <c r="F40" s="10" t="str">
        <f>'3b. Calculator - EEM 1'!G82</f>
        <v>&lt; select &gt;</v>
      </c>
      <c r="G40" s="10" t="str">
        <f t="shared" si="9"/>
        <v/>
      </c>
      <c r="H40" s="10">
        <f>'3b. Calculator - EEM 1'!I82</f>
        <v>0</v>
      </c>
      <c r="I40" s="671">
        <f>'3b. Calculator - EEM 1'!H82</f>
        <v>0</v>
      </c>
      <c r="J40" s="692">
        <f t="shared" si="8"/>
        <v>0</v>
      </c>
      <c r="K40" s="693"/>
      <c r="L40" s="694">
        <f>SQRT(Hypothèses!$D$248*Isolation!C40/PI())*12</f>
        <v>0</v>
      </c>
      <c r="M40" s="695"/>
      <c r="N40" s="670">
        <f t="shared" si="11"/>
        <v>0</v>
      </c>
      <c r="O40" s="659">
        <f>N40*'Facteurs conversion'!$C$6/1000/'Facteurs conversion'!$C$23^2*C40</f>
        <v>0</v>
      </c>
      <c r="P40" s="573">
        <f t="shared" si="10"/>
        <v>0</v>
      </c>
      <c r="Q40" s="573">
        <f>P40/'Facteurs conversion'!$C$11</f>
        <v>0</v>
      </c>
      <c r="R40" s="660">
        <f>Q40/Hypothèses!$D$166</f>
        <v>0</v>
      </c>
      <c r="X40" s="739">
        <v>13</v>
      </c>
      <c r="Y40" s="199"/>
      <c r="Z40"/>
      <c r="AA40"/>
      <c r="AB40" s="654"/>
      <c r="AC40"/>
      <c r="AD40" s="624"/>
    </row>
    <row r="41" spans="2:30">
      <c r="B41" s="9">
        <v>10</v>
      </c>
      <c r="C41" s="657">
        <f>'3b. Calculator - EEM 1'!E83</f>
        <v>0</v>
      </c>
      <c r="D41" s="657">
        <f>'3b. Calculator - EEM 1'!F83</f>
        <v>0</v>
      </c>
      <c r="E41" s="658" t="str">
        <f t="shared" si="7"/>
        <v>&lt; select &gt;_</v>
      </c>
      <c r="F41" s="10" t="str">
        <f>'3b. Calculator - EEM 1'!G83</f>
        <v>&lt; select &gt;</v>
      </c>
      <c r="G41" s="10" t="str">
        <f t="shared" si="9"/>
        <v/>
      </c>
      <c r="H41" s="10">
        <f>'3b. Calculator - EEM 1'!I83</f>
        <v>0</v>
      </c>
      <c r="I41" s="671">
        <f>'3b. Calculator - EEM 1'!H83</f>
        <v>0</v>
      </c>
      <c r="J41" s="692">
        <f t="shared" si="8"/>
        <v>0</v>
      </c>
      <c r="K41" s="693"/>
      <c r="L41" s="694">
        <f>SQRT(Hypothèses!$D$248*Isolation!C41/PI())*12</f>
        <v>0</v>
      </c>
      <c r="M41" s="695"/>
      <c r="N41" s="670">
        <f t="shared" si="11"/>
        <v>0</v>
      </c>
      <c r="O41" s="659">
        <f>N41*'Facteurs conversion'!$C$6/1000/'Facteurs conversion'!$C$23^2*C41</f>
        <v>0</v>
      </c>
      <c r="P41" s="573">
        <f t="shared" si="10"/>
        <v>0</v>
      </c>
      <c r="Q41" s="573">
        <f>P41/'Facteurs conversion'!$C$11</f>
        <v>0</v>
      </c>
      <c r="R41" s="660">
        <f>Q41/Hypothèses!$D$166</f>
        <v>0</v>
      </c>
      <c r="X41" s="739">
        <v>14</v>
      </c>
      <c r="Y41" s="199"/>
      <c r="Z41"/>
      <c r="AA41"/>
      <c r="AB41" s="654"/>
      <c r="AC41"/>
      <c r="AD41" s="624"/>
    </row>
    <row r="42" spans="2:30" s="6" customFormat="1">
      <c r="E42" s="737"/>
      <c r="X42" s="739">
        <v>15</v>
      </c>
      <c r="Y42" s="199"/>
      <c r="Z42"/>
      <c r="AA42"/>
      <c r="AB42" s="654"/>
      <c r="AC42"/>
      <c r="AD42" s="624"/>
    </row>
    <row r="43" spans="2:30">
      <c r="B43" s="669" t="s">
        <v>26</v>
      </c>
      <c r="C43" s="661"/>
      <c r="D43" s="662"/>
      <c r="E43" s="663"/>
      <c r="F43" s="662"/>
      <c r="G43" s="662"/>
      <c r="H43" s="662"/>
      <c r="I43" s="662"/>
      <c r="J43" s="662"/>
      <c r="K43" s="662"/>
      <c r="L43" s="662"/>
      <c r="M43" s="662"/>
      <c r="N43" s="662"/>
      <c r="O43" s="662"/>
      <c r="P43" s="662"/>
      <c r="Q43" s="662"/>
      <c r="R43" s="664"/>
      <c r="S43" s="664"/>
      <c r="T43" s="664"/>
      <c r="U43" s="664"/>
      <c r="V43" s="664"/>
      <c r="W43" s="664"/>
      <c r="X43" s="739">
        <v>16</v>
      </c>
      <c r="Y43" s="199"/>
      <c r="Z43"/>
      <c r="AA43"/>
      <c r="AB43" s="654"/>
      <c r="AC43"/>
      <c r="AD43" s="624"/>
    </row>
    <row r="44" spans="2:30" s="6" customFormat="1">
      <c r="E44" s="737"/>
      <c r="X44" s="739">
        <v>17</v>
      </c>
      <c r="Y44" s="199"/>
      <c r="Z44"/>
      <c r="AA44"/>
      <c r="AB44" s="654"/>
      <c r="AC44"/>
      <c r="AD44" s="624"/>
    </row>
    <row r="45" spans="2:30" ht="52.8">
      <c r="B45" s="1889" t="s">
        <v>923</v>
      </c>
      <c r="C45" s="765" t="s">
        <v>993</v>
      </c>
      <c r="D45" s="765" t="s">
        <v>968</v>
      </c>
      <c r="E45" s="1890" t="s">
        <v>935</v>
      </c>
      <c r="F45" s="1889" t="s">
        <v>785</v>
      </c>
      <c r="G45" s="1889" t="s">
        <v>393</v>
      </c>
      <c r="H45" s="1889" t="s">
        <v>780</v>
      </c>
      <c r="I45" s="768" t="s">
        <v>17</v>
      </c>
      <c r="J45" s="1881" t="s">
        <v>991</v>
      </c>
      <c r="K45" s="1881"/>
      <c r="L45" s="1881"/>
      <c r="M45" s="1882"/>
      <c r="N45" s="1888" t="s">
        <v>965</v>
      </c>
      <c r="O45" s="1884"/>
      <c r="P45" s="765" t="s">
        <v>973</v>
      </c>
      <c r="Q45" s="765" t="s">
        <v>973</v>
      </c>
      <c r="R45" s="765" t="s">
        <v>974</v>
      </c>
      <c r="S45" s="765" t="s">
        <v>1255</v>
      </c>
      <c r="T45" s="765" t="s">
        <v>1256</v>
      </c>
      <c r="U45" s="765" t="s">
        <v>1254</v>
      </c>
      <c r="X45" s="739">
        <v>18</v>
      </c>
      <c r="Y45" s="199"/>
      <c r="Z45"/>
      <c r="AA45"/>
      <c r="AB45" s="654"/>
      <c r="AC45"/>
      <c r="AD45" s="624"/>
    </row>
    <row r="46" spans="2:30" ht="15.6">
      <c r="B46" s="1889"/>
      <c r="C46" s="764" t="s">
        <v>994</v>
      </c>
      <c r="D46" s="764" t="s">
        <v>966</v>
      </c>
      <c r="E46" s="1890"/>
      <c r="F46" s="1889"/>
      <c r="G46" s="1889"/>
      <c r="H46" s="1889"/>
      <c r="I46" s="766" t="s">
        <v>969</v>
      </c>
      <c r="J46" s="1885" t="s">
        <v>945</v>
      </c>
      <c r="K46" s="1886"/>
      <c r="L46" s="1886" t="s">
        <v>928</v>
      </c>
      <c r="M46" s="1887"/>
      <c r="N46" s="767" t="s">
        <v>995</v>
      </c>
      <c r="O46" s="764" t="s">
        <v>798</v>
      </c>
      <c r="P46" s="764" t="s">
        <v>971</v>
      </c>
      <c r="Q46" s="764" t="s">
        <v>978</v>
      </c>
      <c r="R46" s="764" t="s">
        <v>978</v>
      </c>
      <c r="S46" s="764" t="s">
        <v>970</v>
      </c>
      <c r="T46" s="764" t="s">
        <v>970</v>
      </c>
      <c r="U46" s="764" t="s">
        <v>977</v>
      </c>
      <c r="X46" s="739">
        <v>19</v>
      </c>
      <c r="Y46" s="199"/>
      <c r="Z46"/>
      <c r="AA46"/>
      <c r="AB46" s="654"/>
      <c r="AC46"/>
      <c r="AD46" s="624"/>
    </row>
    <row r="47" spans="2:30">
      <c r="B47" s="9">
        <v>1</v>
      </c>
      <c r="C47" s="657">
        <f>'3b. Calculator - EEM 1'!E88</f>
        <v>0</v>
      </c>
      <c r="D47" s="657">
        <f>'3b. Calculator - EEM 1'!F88</f>
        <v>0</v>
      </c>
      <c r="E47" s="658" t="str">
        <f t="shared" ref="E47:E56" si="12">IF(F47="Indoor",F47,F47&amp;"_"&amp;G47)</f>
        <v>&lt; select &gt;_</v>
      </c>
      <c r="F47" s="10" t="str">
        <f>'3b. Calculator - EEM 1'!G88</f>
        <v>&lt; select &gt;</v>
      </c>
      <c r="G47" s="10" t="str">
        <f>$G$7</f>
        <v/>
      </c>
      <c r="H47" s="10">
        <f>'3b. Calculator - EEM 1'!I88</f>
        <v>0</v>
      </c>
      <c r="I47" s="671">
        <f>'3b. Calculator - EEM 1'!H88</f>
        <v>0</v>
      </c>
      <c r="J47" s="692">
        <f t="shared" ref="J47:J56" si="13">CONVERT(L47,"in","mm")</f>
        <v>0</v>
      </c>
      <c r="K47" s="693"/>
      <c r="L47" s="694">
        <f>SQRT(Hypothèses!$D$262*Isolation!C47/PI())*12</f>
        <v>0</v>
      </c>
      <c r="M47" s="695"/>
      <c r="N47" s="670">
        <f>_xlfn.XLOOKUP(B47,$Y$108:$Y$137,$AD$108:$AD$137,0,0)</f>
        <v>0</v>
      </c>
      <c r="O47" s="659">
        <f>N47*'Facteurs conversion'!$C$6/1000/'Facteurs conversion'!$C$23^2*C47</f>
        <v>0</v>
      </c>
      <c r="P47" s="573">
        <f>O47*I47*H47</f>
        <v>0</v>
      </c>
      <c r="Q47" s="573">
        <f>P47/'Facteurs conversion'!$C$11</f>
        <v>0</v>
      </c>
      <c r="R47" s="660">
        <f>Q47/Hypothèses!$D$166</f>
        <v>0</v>
      </c>
      <c r="S47" s="804" t="e">
        <f>C47/(L47/12)/PI()</f>
        <v>#DIV/0!</v>
      </c>
      <c r="T47" s="804">
        <f>IF(F47="Indoor",Hypothèses!$D$183/12,Hypothèses!$D$184/12)</f>
        <v>0.16666666666666666</v>
      </c>
      <c r="U47" s="805" t="e">
        <f>PI()*S47*(L47/12+2*T47)*H47</f>
        <v>#DIV/0!</v>
      </c>
      <c r="V47" s="806"/>
      <c r="X47" s="739">
        <v>20</v>
      </c>
      <c r="Y47" s="199"/>
      <c r="Z47"/>
      <c r="AA47"/>
      <c r="AB47" s="654"/>
      <c r="AC47"/>
      <c r="AD47" s="624"/>
    </row>
    <row r="48" spans="2:30">
      <c r="B48" s="9">
        <v>2</v>
      </c>
      <c r="C48" s="657">
        <f>'3b. Calculator - EEM 1'!E89</f>
        <v>0</v>
      </c>
      <c r="D48" s="657">
        <f>'3b. Calculator - EEM 1'!F89</f>
        <v>0</v>
      </c>
      <c r="E48" s="658" t="str">
        <f t="shared" si="12"/>
        <v>&lt; select &gt;_</v>
      </c>
      <c r="F48" s="10" t="str">
        <f>'3b. Calculator - EEM 1'!G89</f>
        <v>&lt; select &gt;</v>
      </c>
      <c r="G48" s="10" t="str">
        <f t="shared" ref="G48:G56" si="14">$G$7</f>
        <v/>
      </c>
      <c r="H48" s="10">
        <f>'3b. Calculator - EEM 1'!I89</f>
        <v>0</v>
      </c>
      <c r="I48" s="671">
        <f>'3b. Calculator - EEM 1'!H89</f>
        <v>0</v>
      </c>
      <c r="J48" s="692">
        <f t="shared" si="13"/>
        <v>0</v>
      </c>
      <c r="K48" s="693"/>
      <c r="L48" s="694">
        <f>SQRT(Hypothèses!$D$262*Isolation!C48/PI())*12</f>
        <v>0</v>
      </c>
      <c r="M48" s="695"/>
      <c r="N48" s="670">
        <f>_xlfn.XLOOKUP(B48,$Y$108:$Y$137,$AD$108:$AD$137,0,0)</f>
        <v>0</v>
      </c>
      <c r="O48" s="659">
        <f>N48*'Facteurs conversion'!$C$6/1000/'Facteurs conversion'!$C$23^2*C48</f>
        <v>0</v>
      </c>
      <c r="P48" s="573">
        <f t="shared" ref="P48:P56" si="15">O48*I48*H48</f>
        <v>0</v>
      </c>
      <c r="Q48" s="573">
        <f>P48/'Facteurs conversion'!$C$11</f>
        <v>0</v>
      </c>
      <c r="R48" s="660">
        <f>Q48/Hypothèses!$D$166</f>
        <v>0</v>
      </c>
      <c r="S48" s="804" t="e">
        <f>C48/(L48/12)/PI()</f>
        <v>#DIV/0!</v>
      </c>
      <c r="T48" s="804">
        <f>IF(F48="Indoor",Hypothèses!$D$183/12,Hypothèses!$D$184/12)</f>
        <v>0.16666666666666666</v>
      </c>
      <c r="U48" s="805" t="e">
        <f>PI()*S48*(L48/12+2*T48)*H48</f>
        <v>#DIV/0!</v>
      </c>
      <c r="V48" s="806"/>
      <c r="X48" s="739">
        <v>1</v>
      </c>
      <c r="Y48" s="199" t="e" cm="1" vm="1">
        <f t="array" ref="Y48">_xlfn._xlws.FILTER('Isolation - CAS 3'!N12:S31,'Isolation - CAS 3'!N12:N31&lt;&gt;"")</f>
        <v>#VALUE!</v>
      </c>
      <c r="Z48"/>
      <c r="AA48"/>
      <c r="AB48" s="654"/>
      <c r="AC48"/>
      <c r="AD48" s="624"/>
    </row>
    <row r="49" spans="2:30">
      <c r="B49" s="9">
        <v>3</v>
      </c>
      <c r="C49" s="657">
        <f>'3b. Calculator - EEM 1'!E90</f>
        <v>0</v>
      </c>
      <c r="D49" s="657">
        <f>'3b. Calculator - EEM 1'!F90</f>
        <v>0</v>
      </c>
      <c r="E49" s="658" t="str">
        <f t="shared" si="12"/>
        <v>&lt; select &gt;_</v>
      </c>
      <c r="F49" s="10" t="str">
        <f>'3b. Calculator - EEM 1'!G90</f>
        <v>&lt; select &gt;</v>
      </c>
      <c r="G49" s="10" t="str">
        <f t="shared" si="14"/>
        <v/>
      </c>
      <c r="H49" s="10">
        <f>'3b. Calculator - EEM 1'!I90</f>
        <v>0</v>
      </c>
      <c r="I49" s="671">
        <f>'3b. Calculator - EEM 1'!H90</f>
        <v>0</v>
      </c>
      <c r="J49" s="692">
        <f t="shared" si="13"/>
        <v>0</v>
      </c>
      <c r="K49" s="693"/>
      <c r="L49" s="694">
        <f>SQRT(Hypothèses!$D$262*Isolation!C49/PI())*12</f>
        <v>0</v>
      </c>
      <c r="M49" s="695"/>
      <c r="N49" s="670">
        <f t="shared" ref="N49:N56" si="16">_xlfn.XLOOKUP(B49,$Y$108:$Y$137,$AD$108:$AD$137,0,0)</f>
        <v>0</v>
      </c>
      <c r="O49" s="659">
        <f>N49*'Facteurs conversion'!$C$6/1000/'Facteurs conversion'!$C$23^2*C49</f>
        <v>0</v>
      </c>
      <c r="P49" s="573">
        <f t="shared" si="15"/>
        <v>0</v>
      </c>
      <c r="Q49" s="573">
        <f>P49/'Facteurs conversion'!$C$11</f>
        <v>0</v>
      </c>
      <c r="R49" s="660">
        <f>Q49/Hypothèses!$D$166</f>
        <v>0</v>
      </c>
      <c r="S49" s="804" t="e">
        <f t="shared" ref="S49:S56" si="17">C49/(L49/12)/PI()</f>
        <v>#DIV/0!</v>
      </c>
      <c r="T49" s="804">
        <f>IF(F49="Indoor",Hypothèses!$D$183/12,Hypothèses!$D$184/12)</f>
        <v>0.16666666666666666</v>
      </c>
      <c r="U49" s="805" t="e">
        <f t="shared" ref="U49:U56" si="18">PI()*S49*(L49/12+2*T49)*H49</f>
        <v>#DIV/0!</v>
      </c>
      <c r="V49" s="806"/>
      <c r="X49" s="739">
        <v>2</v>
      </c>
      <c r="Y49" s="199"/>
      <c r="Z49"/>
      <c r="AA49"/>
      <c r="AB49" s="654"/>
      <c r="AC49"/>
      <c r="AD49" s="624"/>
    </row>
    <row r="50" spans="2:30">
      <c r="B50" s="9">
        <v>4</v>
      </c>
      <c r="C50" s="657">
        <f>'3b. Calculator - EEM 1'!E91</f>
        <v>0</v>
      </c>
      <c r="D50" s="657">
        <f>'3b. Calculator - EEM 1'!F91</f>
        <v>0</v>
      </c>
      <c r="E50" s="658" t="str">
        <f t="shared" si="12"/>
        <v>&lt; select &gt;_</v>
      </c>
      <c r="F50" s="10" t="str">
        <f>'3b. Calculator - EEM 1'!G91</f>
        <v>&lt; select &gt;</v>
      </c>
      <c r="G50" s="10" t="str">
        <f t="shared" si="14"/>
        <v/>
      </c>
      <c r="H50" s="10">
        <f>'3b. Calculator - EEM 1'!I91</f>
        <v>0</v>
      </c>
      <c r="I50" s="671">
        <f>'3b. Calculator - EEM 1'!H91</f>
        <v>0</v>
      </c>
      <c r="J50" s="692">
        <f t="shared" si="13"/>
        <v>0</v>
      </c>
      <c r="K50" s="693"/>
      <c r="L50" s="694">
        <f>SQRT(Hypothèses!$D$262*Isolation!C50/PI())*12</f>
        <v>0</v>
      </c>
      <c r="M50" s="695"/>
      <c r="N50" s="670">
        <f t="shared" si="16"/>
        <v>0</v>
      </c>
      <c r="O50" s="659">
        <f>N50*'Facteurs conversion'!$C$6/1000/'Facteurs conversion'!$C$23^2*C50</f>
        <v>0</v>
      </c>
      <c r="P50" s="573">
        <f t="shared" si="15"/>
        <v>0</v>
      </c>
      <c r="Q50" s="573">
        <f>P50/'Facteurs conversion'!$C$11</f>
        <v>0</v>
      </c>
      <c r="R50" s="660">
        <f>Q50/Hypothèses!$D$166</f>
        <v>0</v>
      </c>
      <c r="S50" s="804" t="e">
        <f t="shared" si="17"/>
        <v>#DIV/0!</v>
      </c>
      <c r="T50" s="804">
        <f>IF(F50="Indoor",Hypothèses!$D$183/12,Hypothèses!$D$184/12)</f>
        <v>0.16666666666666666</v>
      </c>
      <c r="U50" s="805" t="e">
        <f t="shared" si="18"/>
        <v>#DIV/0!</v>
      </c>
      <c r="V50" s="806"/>
      <c r="X50" s="739">
        <v>3</v>
      </c>
      <c r="Y50" s="199"/>
      <c r="Z50"/>
      <c r="AA50"/>
      <c r="AB50" s="654"/>
      <c r="AC50"/>
      <c r="AD50" s="624"/>
    </row>
    <row r="51" spans="2:30">
      <c r="B51" s="9">
        <v>5</v>
      </c>
      <c r="C51" s="657">
        <f>'3b. Calculator - EEM 1'!E92</f>
        <v>0</v>
      </c>
      <c r="D51" s="657">
        <f>'3b. Calculator - EEM 1'!F92</f>
        <v>0</v>
      </c>
      <c r="E51" s="658" t="str">
        <f t="shared" si="12"/>
        <v>&lt; select &gt;_</v>
      </c>
      <c r="F51" s="10" t="str">
        <f>'3b. Calculator - EEM 1'!G92</f>
        <v>&lt; select &gt;</v>
      </c>
      <c r="G51" s="10" t="str">
        <f t="shared" si="14"/>
        <v/>
      </c>
      <c r="H51" s="10">
        <f>'3b. Calculator - EEM 1'!I92</f>
        <v>0</v>
      </c>
      <c r="I51" s="671">
        <f>'3b. Calculator - EEM 1'!H92</f>
        <v>0</v>
      </c>
      <c r="J51" s="692">
        <f t="shared" si="13"/>
        <v>0</v>
      </c>
      <c r="K51" s="693"/>
      <c r="L51" s="694">
        <f>SQRT(Hypothèses!$D$262*Isolation!C51/PI())*12</f>
        <v>0</v>
      </c>
      <c r="M51" s="695"/>
      <c r="N51" s="670">
        <f t="shared" si="16"/>
        <v>0</v>
      </c>
      <c r="O51" s="659">
        <f>N51*'Facteurs conversion'!$C$6/1000/'Facteurs conversion'!$C$23^2*C51</f>
        <v>0</v>
      </c>
      <c r="P51" s="573">
        <f t="shared" si="15"/>
        <v>0</v>
      </c>
      <c r="Q51" s="573">
        <f>P51/'Facteurs conversion'!$C$11</f>
        <v>0</v>
      </c>
      <c r="R51" s="660">
        <f>Q51/Hypothèses!$D$166</f>
        <v>0</v>
      </c>
      <c r="S51" s="804" t="e">
        <f t="shared" si="17"/>
        <v>#DIV/0!</v>
      </c>
      <c r="T51" s="804">
        <f>IF(F51="Indoor",Hypothèses!$D$183/12,Hypothèses!$D$184/12)</f>
        <v>0.16666666666666666</v>
      </c>
      <c r="U51" s="805" t="e">
        <f t="shared" si="18"/>
        <v>#DIV/0!</v>
      </c>
      <c r="V51" s="806"/>
      <c r="X51" s="739">
        <v>4</v>
      </c>
      <c r="Y51" s="199"/>
      <c r="Z51"/>
      <c r="AA51"/>
      <c r="AB51" s="654"/>
      <c r="AC51"/>
      <c r="AD51" s="624"/>
    </row>
    <row r="52" spans="2:30">
      <c r="B52" s="9">
        <v>6</v>
      </c>
      <c r="C52" s="657">
        <f>'3b. Calculator - EEM 1'!E93</f>
        <v>0</v>
      </c>
      <c r="D52" s="657">
        <f>'3b. Calculator - EEM 1'!F93</f>
        <v>0</v>
      </c>
      <c r="E52" s="658" t="str">
        <f t="shared" si="12"/>
        <v>&lt; select &gt;_</v>
      </c>
      <c r="F52" s="10" t="str">
        <f>'3b. Calculator - EEM 1'!G93</f>
        <v>&lt; select &gt;</v>
      </c>
      <c r="G52" s="10" t="str">
        <f t="shared" si="14"/>
        <v/>
      </c>
      <c r="H52" s="10">
        <f>'3b. Calculator - EEM 1'!I93</f>
        <v>0</v>
      </c>
      <c r="I52" s="671">
        <f>'3b. Calculator - EEM 1'!H93</f>
        <v>0</v>
      </c>
      <c r="J52" s="692">
        <f t="shared" si="13"/>
        <v>0</v>
      </c>
      <c r="K52" s="693"/>
      <c r="L52" s="694">
        <f>SQRT(Hypothèses!$D$262*Isolation!C52/PI())*12</f>
        <v>0</v>
      </c>
      <c r="M52" s="695"/>
      <c r="N52" s="670">
        <f>_xlfn.XLOOKUP(B52,$Y$108:$Y$137,$AD$108:$AD$137,0,0)</f>
        <v>0</v>
      </c>
      <c r="O52" s="659">
        <f>N52*'Facteurs conversion'!$C$6/1000/'Facteurs conversion'!$C$23^2*C52</f>
        <v>0</v>
      </c>
      <c r="P52" s="573">
        <f t="shared" si="15"/>
        <v>0</v>
      </c>
      <c r="Q52" s="573">
        <f>P52/'Facteurs conversion'!$C$11</f>
        <v>0</v>
      </c>
      <c r="R52" s="660">
        <f>Q52/Hypothèses!$D$166</f>
        <v>0</v>
      </c>
      <c r="S52" s="804" t="e">
        <f t="shared" si="17"/>
        <v>#DIV/0!</v>
      </c>
      <c r="T52" s="804">
        <f>IF(F52="Indoor",Hypothèses!$D$183/12,Hypothèses!$D$184/12)</f>
        <v>0.16666666666666666</v>
      </c>
      <c r="U52" s="805" t="e">
        <f t="shared" si="18"/>
        <v>#DIV/0!</v>
      </c>
      <c r="V52" s="806"/>
      <c r="X52" s="739">
        <v>5</v>
      </c>
      <c r="Y52" s="199"/>
      <c r="Z52"/>
      <c r="AA52"/>
      <c r="AB52" s="654"/>
      <c r="AC52"/>
      <c r="AD52" s="624"/>
    </row>
    <row r="53" spans="2:30">
      <c r="B53" s="9">
        <v>7</v>
      </c>
      <c r="C53" s="657">
        <f>'3b. Calculator - EEM 1'!E94</f>
        <v>0</v>
      </c>
      <c r="D53" s="657">
        <f>'3b. Calculator - EEM 1'!F94</f>
        <v>0</v>
      </c>
      <c r="E53" s="658" t="str">
        <f t="shared" si="12"/>
        <v>&lt; select &gt;_</v>
      </c>
      <c r="F53" s="10" t="str">
        <f>'3b. Calculator - EEM 1'!G94</f>
        <v>&lt; select &gt;</v>
      </c>
      <c r="G53" s="10" t="str">
        <f t="shared" si="14"/>
        <v/>
      </c>
      <c r="H53" s="10">
        <f>'3b. Calculator - EEM 1'!I94</f>
        <v>0</v>
      </c>
      <c r="I53" s="671">
        <f>'3b. Calculator - EEM 1'!H94</f>
        <v>0</v>
      </c>
      <c r="J53" s="692">
        <f t="shared" si="13"/>
        <v>0</v>
      </c>
      <c r="K53" s="693"/>
      <c r="L53" s="694">
        <f>SQRT(Hypothèses!$D$262*Isolation!C53/PI())*12</f>
        <v>0</v>
      </c>
      <c r="M53" s="695"/>
      <c r="N53" s="670">
        <f t="shared" si="16"/>
        <v>0</v>
      </c>
      <c r="O53" s="659">
        <f>N53*'Facteurs conversion'!$C$6/1000/'Facteurs conversion'!$C$23^2*C53</f>
        <v>0</v>
      </c>
      <c r="P53" s="573">
        <f t="shared" si="15"/>
        <v>0</v>
      </c>
      <c r="Q53" s="573">
        <f>P53/'Facteurs conversion'!$C$11</f>
        <v>0</v>
      </c>
      <c r="R53" s="660">
        <f>Q53/Hypothèses!$D$166</f>
        <v>0</v>
      </c>
      <c r="S53" s="804" t="e">
        <f t="shared" si="17"/>
        <v>#DIV/0!</v>
      </c>
      <c r="T53" s="804">
        <f>IF(F53="Indoor",Hypothèses!$D$183/12,Hypothèses!$D$184/12)</f>
        <v>0.16666666666666666</v>
      </c>
      <c r="U53" s="805" t="e">
        <f t="shared" si="18"/>
        <v>#DIV/0!</v>
      </c>
      <c r="V53" s="806"/>
      <c r="X53" s="739">
        <v>6</v>
      </c>
      <c r="Y53" s="199"/>
      <c r="Z53"/>
      <c r="AA53"/>
      <c r="AB53" s="654"/>
      <c r="AC53"/>
      <c r="AD53" s="624"/>
    </row>
    <row r="54" spans="2:30">
      <c r="B54" s="9">
        <v>8</v>
      </c>
      <c r="C54" s="657">
        <f>'3b. Calculator - EEM 1'!E95</f>
        <v>0</v>
      </c>
      <c r="D54" s="657">
        <f>'3b. Calculator - EEM 1'!F95</f>
        <v>0</v>
      </c>
      <c r="E54" s="658" t="str">
        <f t="shared" si="12"/>
        <v>&lt; select &gt;_</v>
      </c>
      <c r="F54" s="10" t="str">
        <f>'3b. Calculator - EEM 1'!G95</f>
        <v>&lt; select &gt;</v>
      </c>
      <c r="G54" s="10" t="str">
        <f t="shared" si="14"/>
        <v/>
      </c>
      <c r="H54" s="10">
        <f>'3b. Calculator - EEM 1'!I95</f>
        <v>0</v>
      </c>
      <c r="I54" s="671">
        <f>'3b. Calculator - EEM 1'!H95</f>
        <v>0</v>
      </c>
      <c r="J54" s="692">
        <f t="shared" si="13"/>
        <v>0</v>
      </c>
      <c r="K54" s="693"/>
      <c r="L54" s="694">
        <f>SQRT(Hypothèses!$D$262*Isolation!C54/PI())*12</f>
        <v>0</v>
      </c>
      <c r="M54" s="695"/>
      <c r="N54" s="670">
        <f t="shared" si="16"/>
        <v>0</v>
      </c>
      <c r="O54" s="659">
        <f>N54*'Facteurs conversion'!$C$6/1000/'Facteurs conversion'!$C$23^2*C54</f>
        <v>0</v>
      </c>
      <c r="P54" s="573">
        <f t="shared" si="15"/>
        <v>0</v>
      </c>
      <c r="Q54" s="573">
        <f>P54/'Facteurs conversion'!$C$11</f>
        <v>0</v>
      </c>
      <c r="R54" s="660">
        <f>Q54/Hypothèses!$D$166</f>
        <v>0</v>
      </c>
      <c r="S54" s="804" t="e">
        <f t="shared" si="17"/>
        <v>#DIV/0!</v>
      </c>
      <c r="T54" s="804">
        <f>IF(F54="Indoor",Hypothèses!$D$183/12,Hypothèses!$D$184/12)</f>
        <v>0.16666666666666666</v>
      </c>
      <c r="U54" s="805" t="e">
        <f t="shared" si="18"/>
        <v>#DIV/0!</v>
      </c>
      <c r="V54" s="806"/>
      <c r="X54" s="739">
        <v>7</v>
      </c>
      <c r="Y54" s="199"/>
      <c r="Z54"/>
      <c r="AA54"/>
      <c r="AB54" s="654"/>
      <c r="AC54"/>
      <c r="AD54" s="624"/>
    </row>
    <row r="55" spans="2:30">
      <c r="B55" s="9">
        <v>9</v>
      </c>
      <c r="C55" s="657">
        <f>'3b. Calculator - EEM 1'!E96</f>
        <v>0</v>
      </c>
      <c r="D55" s="657">
        <f>'3b. Calculator - EEM 1'!F96</f>
        <v>0</v>
      </c>
      <c r="E55" s="658" t="str">
        <f t="shared" si="12"/>
        <v>&lt; select &gt;_</v>
      </c>
      <c r="F55" s="10" t="str">
        <f>'3b. Calculator - EEM 1'!G96</f>
        <v>&lt; select &gt;</v>
      </c>
      <c r="G55" s="10" t="str">
        <f t="shared" si="14"/>
        <v/>
      </c>
      <c r="H55" s="10">
        <f>'3b. Calculator - EEM 1'!I96</f>
        <v>0</v>
      </c>
      <c r="I55" s="671">
        <f>'3b. Calculator - EEM 1'!H96</f>
        <v>0</v>
      </c>
      <c r="J55" s="692">
        <f t="shared" si="13"/>
        <v>0</v>
      </c>
      <c r="K55" s="693"/>
      <c r="L55" s="694">
        <f>SQRT(Hypothèses!$D$262*Isolation!C55/PI())*12</f>
        <v>0</v>
      </c>
      <c r="M55" s="695"/>
      <c r="N55" s="670">
        <f t="shared" si="16"/>
        <v>0</v>
      </c>
      <c r="O55" s="659">
        <f>N55*'Facteurs conversion'!$C$6/1000/'Facteurs conversion'!$C$23^2*C55</f>
        <v>0</v>
      </c>
      <c r="P55" s="573">
        <f t="shared" si="15"/>
        <v>0</v>
      </c>
      <c r="Q55" s="573">
        <f>P55/'Facteurs conversion'!$C$11</f>
        <v>0</v>
      </c>
      <c r="R55" s="660">
        <f>Q55/Hypothèses!$D$166</f>
        <v>0</v>
      </c>
      <c r="S55" s="804" t="e">
        <f t="shared" si="17"/>
        <v>#DIV/0!</v>
      </c>
      <c r="T55" s="804">
        <f>IF(F55="Indoor",Hypothèses!$D$183/12,Hypothèses!$D$184/12)</f>
        <v>0.16666666666666666</v>
      </c>
      <c r="U55" s="805" t="e">
        <f t="shared" si="18"/>
        <v>#DIV/0!</v>
      </c>
      <c r="V55" s="806"/>
      <c r="X55" s="739">
        <v>8</v>
      </c>
      <c r="Y55" s="199"/>
      <c r="Z55"/>
      <c r="AA55"/>
      <c r="AB55" s="654"/>
      <c r="AC55"/>
      <c r="AD55" s="624"/>
    </row>
    <row r="56" spans="2:30">
      <c r="B56" s="9">
        <v>10</v>
      </c>
      <c r="C56" s="657">
        <f>'3b. Calculator - EEM 1'!E97</f>
        <v>0</v>
      </c>
      <c r="D56" s="657">
        <f>'3b. Calculator - EEM 1'!F97</f>
        <v>0</v>
      </c>
      <c r="E56" s="658" t="str">
        <f t="shared" si="12"/>
        <v>&lt; select &gt;_</v>
      </c>
      <c r="F56" s="10" t="str">
        <f>'3b. Calculator - EEM 1'!G97</f>
        <v>&lt; select &gt;</v>
      </c>
      <c r="G56" s="10" t="str">
        <f t="shared" si="14"/>
        <v/>
      </c>
      <c r="H56" s="10">
        <f>'3b. Calculator - EEM 1'!I97</f>
        <v>0</v>
      </c>
      <c r="I56" s="671">
        <f>'3b. Calculator - EEM 1'!H97</f>
        <v>0</v>
      </c>
      <c r="J56" s="692">
        <f t="shared" si="13"/>
        <v>0</v>
      </c>
      <c r="K56" s="693"/>
      <c r="L56" s="694">
        <f>SQRT(Hypothèses!$D$262*Isolation!C56/PI())*12</f>
        <v>0</v>
      </c>
      <c r="M56" s="695"/>
      <c r="N56" s="670">
        <f t="shared" si="16"/>
        <v>0</v>
      </c>
      <c r="O56" s="659">
        <f>N56*'Facteurs conversion'!$C$6/1000/'Facteurs conversion'!$C$23^2*C56</f>
        <v>0</v>
      </c>
      <c r="P56" s="573">
        <f t="shared" si="15"/>
        <v>0</v>
      </c>
      <c r="Q56" s="573">
        <f>P56/'Facteurs conversion'!$C$11</f>
        <v>0</v>
      </c>
      <c r="R56" s="660">
        <f>Q56/Hypothèses!$D$166</f>
        <v>0</v>
      </c>
      <c r="S56" s="804" t="e">
        <f t="shared" si="17"/>
        <v>#DIV/0!</v>
      </c>
      <c r="T56" s="804">
        <f>IF(F56="Indoor",Hypothèses!$D$183/12,Hypothèses!$D$184/12)</f>
        <v>0.16666666666666666</v>
      </c>
      <c r="U56" s="805" t="e">
        <f t="shared" si="18"/>
        <v>#DIV/0!</v>
      </c>
      <c r="V56" s="806"/>
      <c r="X56" s="739">
        <v>9</v>
      </c>
      <c r="Y56" s="199"/>
      <c r="Z56"/>
      <c r="AA56"/>
      <c r="AB56" s="654"/>
      <c r="AC56"/>
      <c r="AD56" s="624"/>
    </row>
    <row r="57" spans="2:30">
      <c r="X57" s="739">
        <v>10</v>
      </c>
      <c r="Y57" s="199"/>
      <c r="Z57"/>
      <c r="AA57"/>
      <c r="AB57" s="654"/>
      <c r="AC57"/>
      <c r="AD57" s="624"/>
    </row>
    <row r="58" spans="2:30">
      <c r="B58" s="669" t="s">
        <v>1244</v>
      </c>
      <c r="C58" s="661"/>
      <c r="D58" s="662"/>
      <c r="E58" s="663"/>
      <c r="F58" s="662"/>
      <c r="G58" s="662"/>
      <c r="H58" s="662"/>
      <c r="I58" s="662"/>
      <c r="J58" s="662"/>
      <c r="K58" s="662"/>
      <c r="L58" s="662"/>
      <c r="M58" s="662"/>
      <c r="N58" s="662"/>
      <c r="O58" s="662"/>
      <c r="P58" s="662"/>
      <c r="Q58" s="662"/>
      <c r="R58" s="664"/>
      <c r="S58" s="664"/>
      <c r="T58" s="664"/>
      <c r="U58" s="664"/>
      <c r="V58" s="664"/>
      <c r="W58" s="664"/>
      <c r="X58" s="739">
        <v>11</v>
      </c>
      <c r="Y58" s="199"/>
      <c r="Z58"/>
      <c r="AA58"/>
      <c r="AB58" s="654"/>
      <c r="AC58"/>
      <c r="AD58" s="624"/>
    </row>
    <row r="59" spans="2:30">
      <c r="X59" s="739">
        <v>12</v>
      </c>
      <c r="Y59" s="199"/>
      <c r="Z59"/>
      <c r="AA59"/>
      <c r="AB59" s="654"/>
      <c r="AC59"/>
      <c r="AD59" s="624"/>
    </row>
    <row r="60" spans="2:30" ht="52.8">
      <c r="B60" s="1889" t="s">
        <v>923</v>
      </c>
      <c r="C60" s="765" t="s">
        <v>993</v>
      </c>
      <c r="D60" s="765" t="s">
        <v>968</v>
      </c>
      <c r="E60" s="1890" t="s">
        <v>935</v>
      </c>
      <c r="F60" s="1889" t="s">
        <v>785</v>
      </c>
      <c r="G60" s="1889" t="s">
        <v>393</v>
      </c>
      <c r="H60" s="1889" t="s">
        <v>780</v>
      </c>
      <c r="I60" s="768" t="s">
        <v>17</v>
      </c>
      <c r="J60" s="1881" t="s">
        <v>991</v>
      </c>
      <c r="K60" s="1881"/>
      <c r="L60" s="1881"/>
      <c r="M60" s="1882"/>
      <c r="N60" s="1888" t="s">
        <v>965</v>
      </c>
      <c r="O60" s="1884"/>
      <c r="P60" s="765" t="s">
        <v>973</v>
      </c>
      <c r="Q60" s="765" t="s">
        <v>973</v>
      </c>
      <c r="R60" s="765" t="s">
        <v>974</v>
      </c>
      <c r="X60" s="739">
        <v>13</v>
      </c>
      <c r="Y60" s="199"/>
      <c r="Z60"/>
      <c r="AA60"/>
      <c r="AB60" s="654"/>
      <c r="AC60"/>
      <c r="AD60" s="624"/>
    </row>
    <row r="61" spans="2:30" ht="15.6">
      <c r="B61" s="1889"/>
      <c r="C61" s="764" t="s">
        <v>994</v>
      </c>
      <c r="D61" s="764" t="s">
        <v>966</v>
      </c>
      <c r="E61" s="1890"/>
      <c r="F61" s="1889"/>
      <c r="G61" s="1889"/>
      <c r="H61" s="1889"/>
      <c r="I61" s="766" t="s">
        <v>969</v>
      </c>
      <c r="J61" s="1885" t="s">
        <v>945</v>
      </c>
      <c r="K61" s="1886"/>
      <c r="L61" s="1886" t="s">
        <v>928</v>
      </c>
      <c r="M61" s="1887"/>
      <c r="N61" s="767" t="s">
        <v>995</v>
      </c>
      <c r="O61" s="764" t="s">
        <v>798</v>
      </c>
      <c r="P61" s="764" t="s">
        <v>971</v>
      </c>
      <c r="Q61" s="764" t="s">
        <v>978</v>
      </c>
      <c r="R61" s="764" t="s">
        <v>978</v>
      </c>
      <c r="X61" s="739">
        <v>14</v>
      </c>
      <c r="Y61" s="199"/>
      <c r="Z61"/>
      <c r="AA61"/>
      <c r="AB61" s="654"/>
      <c r="AC61"/>
      <c r="AD61" s="624"/>
    </row>
    <row r="62" spans="2:30">
      <c r="B62" s="9">
        <v>1</v>
      </c>
      <c r="C62" s="657">
        <f>'3b. Calculator - EEM 1'!E60</f>
        <v>0</v>
      </c>
      <c r="D62" s="657">
        <f>'3b. Calculator - EEM 1'!F60</f>
        <v>0</v>
      </c>
      <c r="E62" s="658" t="str">
        <f t="shared" ref="E62:E71" si="19">IF(F62="Indoor",F62,F62&amp;"_"&amp;G62)</f>
        <v>&lt; select &gt;_</v>
      </c>
      <c r="F62" s="10" t="str">
        <f>'3b. Calculator - EEM 1'!G60</f>
        <v>&lt; select &gt;</v>
      </c>
      <c r="G62" s="10" t="str">
        <f>$G$7</f>
        <v/>
      </c>
      <c r="H62" s="10">
        <f>'3b. Calculator - EEM 1'!I60</f>
        <v>0</v>
      </c>
      <c r="I62" s="671">
        <f>'3b. Calculator - EEM 1'!H60</f>
        <v>0</v>
      </c>
      <c r="J62" s="692">
        <f t="shared" ref="J62:J71" si="20">CONVERT(L62,"in","mm")</f>
        <v>188.68571428571431</v>
      </c>
      <c r="K62" s="693"/>
      <c r="L62" s="694">
        <f>IF(F62="Intérieur",2*(1-Hypothèses!$D$265)*Hypothèses!$D$183/Hypothèses!$D$265,2*(1-Hypothèses!$D$265)*Hypothèses!$D$184/Hypothèses!$D$265)</f>
        <v>7.4285714285714297</v>
      </c>
      <c r="M62" s="695"/>
      <c r="N62" s="803">
        <f>_xlfn.XLOOKUP(B62,$Y$143:$Y$172,$AD$143:$AD$172,0,0)</f>
        <v>0</v>
      </c>
      <c r="O62" s="659">
        <f>N62*'Facteurs conversion'!$C$6/1000/'Facteurs conversion'!$C$23^2*C62</f>
        <v>0</v>
      </c>
      <c r="P62" s="573">
        <f>O62*I62*H62</f>
        <v>0</v>
      </c>
      <c r="Q62" s="573">
        <f>P62/'Facteurs conversion'!$C$11</f>
        <v>0</v>
      </c>
      <c r="R62" s="660">
        <f>Q62/Hypothèses!$D$166</f>
        <v>0</v>
      </c>
      <c r="X62" s="739">
        <v>15</v>
      </c>
      <c r="Y62" s="199"/>
      <c r="Z62"/>
      <c r="AA62"/>
      <c r="AB62" s="654"/>
      <c r="AC62"/>
      <c r="AD62" s="624"/>
    </row>
    <row r="63" spans="2:30">
      <c r="B63" s="9">
        <v>2</v>
      </c>
      <c r="C63" s="657">
        <f>'3b. Calculator - EEM 1'!E61</f>
        <v>0</v>
      </c>
      <c r="D63" s="657">
        <f>'3b. Calculator - EEM 1'!F61</f>
        <v>0</v>
      </c>
      <c r="E63" s="658" t="str">
        <f t="shared" si="19"/>
        <v>&lt; select &gt;_</v>
      </c>
      <c r="F63" s="10" t="str">
        <f>'3b. Calculator - EEM 1'!G61</f>
        <v>&lt; select &gt;</v>
      </c>
      <c r="G63" s="10" t="str">
        <f t="shared" ref="G63:G71" si="21">$G$7</f>
        <v/>
      </c>
      <c r="H63" s="10">
        <f>'3b. Calculator - EEM 1'!I61</f>
        <v>0</v>
      </c>
      <c r="I63" s="671">
        <f>'3b. Calculator - EEM 1'!H61</f>
        <v>0</v>
      </c>
      <c r="J63" s="692">
        <f t="shared" si="20"/>
        <v>188.68571428571431</v>
      </c>
      <c r="K63" s="693"/>
      <c r="L63" s="694">
        <f>IF(F63="Intérieur",2*(1-Hypothèses!$D$265)*Hypothèses!$D$183/Hypothèses!$D$265,2*(1-Hypothèses!$D$265)*Hypothèses!$D$184/Hypothèses!$D$265)</f>
        <v>7.4285714285714297</v>
      </c>
      <c r="M63" s="695"/>
      <c r="N63" s="803">
        <f t="shared" ref="N63:N71" si="22">_xlfn.XLOOKUP(B63,$Y$143:$Y$172,$AD$143:$AD$172,0,0)</f>
        <v>0</v>
      </c>
      <c r="O63" s="659">
        <f>N63*'Facteurs conversion'!$C$6/1000/'Facteurs conversion'!$C$23^2*C63</f>
        <v>0</v>
      </c>
      <c r="P63" s="573">
        <f t="shared" ref="P63:P71" si="23">O63*I63*H63</f>
        <v>0</v>
      </c>
      <c r="Q63" s="573">
        <f>P63/'Facteurs conversion'!$C$11</f>
        <v>0</v>
      </c>
      <c r="R63" s="660">
        <f>Q63/Hypothèses!$D$166</f>
        <v>0</v>
      </c>
      <c r="X63" s="739">
        <v>16</v>
      </c>
      <c r="Y63" s="199"/>
      <c r="Z63"/>
      <c r="AA63"/>
      <c r="AB63" s="654"/>
      <c r="AC63"/>
      <c r="AD63" s="624"/>
    </row>
    <row r="64" spans="2:30">
      <c r="B64" s="9">
        <v>3</v>
      </c>
      <c r="C64" s="657">
        <f>'3b. Calculator - EEM 1'!E62</f>
        <v>0</v>
      </c>
      <c r="D64" s="657">
        <f>'3b. Calculator - EEM 1'!F62</f>
        <v>0</v>
      </c>
      <c r="E64" s="658" t="str">
        <f t="shared" si="19"/>
        <v>&lt; select &gt;_</v>
      </c>
      <c r="F64" s="10" t="str">
        <f>'3b. Calculator - EEM 1'!G62</f>
        <v>&lt; select &gt;</v>
      </c>
      <c r="G64" s="10" t="str">
        <f t="shared" si="21"/>
        <v/>
      </c>
      <c r="H64" s="10">
        <f>'3b. Calculator - EEM 1'!I62</f>
        <v>0</v>
      </c>
      <c r="I64" s="671">
        <f>'3b. Calculator - EEM 1'!H62</f>
        <v>0</v>
      </c>
      <c r="J64" s="692">
        <f t="shared" si="20"/>
        <v>188.68571428571431</v>
      </c>
      <c r="K64" s="693"/>
      <c r="L64" s="694">
        <f>IF(F64="Intérieur",2*(1-Hypothèses!$D$265)*Hypothèses!$D$183/Hypothèses!$D$265,2*(1-Hypothèses!$D$265)*Hypothèses!$D$184/Hypothèses!$D$265)</f>
        <v>7.4285714285714297</v>
      </c>
      <c r="M64" s="695"/>
      <c r="N64" s="803">
        <f t="shared" si="22"/>
        <v>0</v>
      </c>
      <c r="O64" s="659">
        <f>N64*'Facteurs conversion'!$C$6/1000/'Facteurs conversion'!$C$23^2*C64</f>
        <v>0</v>
      </c>
      <c r="P64" s="573">
        <f t="shared" si="23"/>
        <v>0</v>
      </c>
      <c r="Q64" s="573">
        <f>P64/'Facteurs conversion'!$C$11</f>
        <v>0</v>
      </c>
      <c r="R64" s="660">
        <f>Q64/Hypothèses!$D$166</f>
        <v>0</v>
      </c>
      <c r="X64" s="739">
        <v>17</v>
      </c>
      <c r="Y64" s="199"/>
      <c r="Z64"/>
      <c r="AA64"/>
      <c r="AB64" s="654"/>
      <c r="AC64"/>
      <c r="AD64" s="624"/>
    </row>
    <row r="65" spans="2:30">
      <c r="B65" s="9">
        <v>4</v>
      </c>
      <c r="C65" s="657">
        <f>'3b. Calculator - EEM 1'!E63</f>
        <v>0</v>
      </c>
      <c r="D65" s="657">
        <f>'3b. Calculator - EEM 1'!F63</f>
        <v>0</v>
      </c>
      <c r="E65" s="658" t="str">
        <f t="shared" si="19"/>
        <v>&lt; select &gt;_</v>
      </c>
      <c r="F65" s="10" t="str">
        <f>'3b. Calculator - EEM 1'!G63</f>
        <v>&lt; select &gt;</v>
      </c>
      <c r="G65" s="10" t="str">
        <f t="shared" si="21"/>
        <v/>
      </c>
      <c r="H65" s="10">
        <f>'3b. Calculator - EEM 1'!I63</f>
        <v>0</v>
      </c>
      <c r="I65" s="671">
        <f>'3b. Calculator - EEM 1'!H63</f>
        <v>0</v>
      </c>
      <c r="J65" s="692">
        <f t="shared" si="20"/>
        <v>188.68571428571431</v>
      </c>
      <c r="K65" s="693"/>
      <c r="L65" s="694">
        <f>IF(F65="Intérieur",2*(1-Hypothèses!$D$265)*Hypothèses!$D$183/Hypothèses!$D$265,2*(1-Hypothèses!$D$265)*Hypothèses!$D$184/Hypothèses!$D$265)</f>
        <v>7.4285714285714297</v>
      </c>
      <c r="M65" s="695"/>
      <c r="N65" s="803">
        <f t="shared" si="22"/>
        <v>0</v>
      </c>
      <c r="O65" s="659">
        <f>N65*'Facteurs conversion'!$C$6/1000/'Facteurs conversion'!$C$23^2*C65</f>
        <v>0</v>
      </c>
      <c r="P65" s="573">
        <f t="shared" si="23"/>
        <v>0</v>
      </c>
      <c r="Q65" s="573">
        <f>P65/'Facteurs conversion'!$C$11</f>
        <v>0</v>
      </c>
      <c r="R65" s="660">
        <f>Q65/Hypothèses!$D$166</f>
        <v>0</v>
      </c>
      <c r="X65" s="739">
        <v>18</v>
      </c>
      <c r="Y65" s="199"/>
      <c r="Z65"/>
      <c r="AA65"/>
      <c r="AB65" s="654"/>
      <c r="AC65"/>
      <c r="AD65" s="624"/>
    </row>
    <row r="66" spans="2:30">
      <c r="B66" s="9">
        <v>5</v>
      </c>
      <c r="C66" s="657">
        <f>'3b. Calculator - EEM 1'!E64</f>
        <v>0</v>
      </c>
      <c r="D66" s="657">
        <f>'3b. Calculator - EEM 1'!F64</f>
        <v>0</v>
      </c>
      <c r="E66" s="658" t="str">
        <f t="shared" si="19"/>
        <v>&lt; select &gt;_</v>
      </c>
      <c r="F66" s="10" t="str">
        <f>'3b. Calculator - EEM 1'!G64</f>
        <v>&lt; select &gt;</v>
      </c>
      <c r="G66" s="10" t="str">
        <f t="shared" si="21"/>
        <v/>
      </c>
      <c r="H66" s="10">
        <f>'3b. Calculator - EEM 1'!I64</f>
        <v>0</v>
      </c>
      <c r="I66" s="671">
        <f>'3b. Calculator - EEM 1'!H64</f>
        <v>0</v>
      </c>
      <c r="J66" s="692">
        <f t="shared" si="20"/>
        <v>188.68571428571431</v>
      </c>
      <c r="K66" s="693"/>
      <c r="L66" s="694">
        <f>IF(F66="Intérieur",2*(1-Hypothèses!$D$265)*Hypothèses!$D$183/Hypothèses!$D$265,2*(1-Hypothèses!$D$265)*Hypothèses!$D$184/Hypothèses!$D$265)</f>
        <v>7.4285714285714297</v>
      </c>
      <c r="M66" s="695"/>
      <c r="N66" s="803">
        <f t="shared" si="22"/>
        <v>0</v>
      </c>
      <c r="O66" s="659">
        <f>N66*'Facteurs conversion'!$C$6/1000/'Facteurs conversion'!$C$23^2*C66</f>
        <v>0</v>
      </c>
      <c r="P66" s="573">
        <f t="shared" si="23"/>
        <v>0</v>
      </c>
      <c r="Q66" s="573">
        <f>P66/'Facteurs conversion'!$C$11</f>
        <v>0</v>
      </c>
      <c r="R66" s="660">
        <f>Q66/Hypothèses!$D$166</f>
        <v>0</v>
      </c>
      <c r="X66" s="739">
        <v>19</v>
      </c>
      <c r="Y66" s="199"/>
      <c r="Z66"/>
      <c r="AA66"/>
      <c r="AB66" s="654"/>
      <c r="AC66"/>
      <c r="AD66" s="624"/>
    </row>
    <row r="67" spans="2:30">
      <c r="B67" s="9">
        <v>6</v>
      </c>
      <c r="C67" s="657">
        <f>'3b. Calculator - EEM 1'!E65</f>
        <v>0</v>
      </c>
      <c r="D67" s="657">
        <f>'3b. Calculator - EEM 1'!F65</f>
        <v>0</v>
      </c>
      <c r="E67" s="658" t="str">
        <f t="shared" si="19"/>
        <v>&lt; select &gt;_</v>
      </c>
      <c r="F67" s="10" t="str">
        <f>'3b. Calculator - EEM 1'!G65</f>
        <v>&lt; select &gt;</v>
      </c>
      <c r="G67" s="10" t="str">
        <f t="shared" si="21"/>
        <v/>
      </c>
      <c r="H67" s="10">
        <f>'3b. Calculator - EEM 1'!I65</f>
        <v>0</v>
      </c>
      <c r="I67" s="671">
        <f>'3b. Calculator - EEM 1'!H65</f>
        <v>0</v>
      </c>
      <c r="J67" s="692">
        <f t="shared" si="20"/>
        <v>188.68571428571431</v>
      </c>
      <c r="K67" s="693"/>
      <c r="L67" s="694">
        <f>IF(F67="Intérieur",2*(1-Hypothèses!$D$265)*Hypothèses!$D$183/Hypothèses!$D$265,2*(1-Hypothèses!$D$265)*Hypothèses!$D$184/Hypothèses!$D$265)</f>
        <v>7.4285714285714297</v>
      </c>
      <c r="M67" s="695"/>
      <c r="N67" s="803">
        <f t="shared" si="22"/>
        <v>0</v>
      </c>
      <c r="O67" s="659">
        <f>N67*'Facteurs conversion'!$C$6/1000/'Facteurs conversion'!$C$23^2*C67</f>
        <v>0</v>
      </c>
      <c r="P67" s="573">
        <f t="shared" si="23"/>
        <v>0</v>
      </c>
      <c r="Q67" s="573">
        <f>P67/'Facteurs conversion'!$C$11</f>
        <v>0</v>
      </c>
      <c r="R67" s="660">
        <f>Q67/Hypothèses!$D$166</f>
        <v>0</v>
      </c>
      <c r="X67" s="739">
        <v>20</v>
      </c>
      <c r="Y67" s="655"/>
      <c r="Z67" s="388"/>
      <c r="AA67" s="388"/>
      <c r="AB67" s="656"/>
      <c r="AC67" s="388"/>
      <c r="AD67" s="625"/>
    </row>
    <row r="68" spans="2:30">
      <c r="B68" s="9">
        <v>7</v>
      </c>
      <c r="C68" s="657">
        <f>'3b. Calculator - EEM 1'!E66</f>
        <v>0</v>
      </c>
      <c r="D68" s="657">
        <f>'3b. Calculator - EEM 1'!F66</f>
        <v>0</v>
      </c>
      <c r="E68" s="658" t="str">
        <f t="shared" si="19"/>
        <v>&lt; select &gt;_</v>
      </c>
      <c r="F68" s="10" t="str">
        <f>'3b. Calculator - EEM 1'!G66</f>
        <v>&lt; select &gt;</v>
      </c>
      <c r="G68" s="10" t="str">
        <f t="shared" si="21"/>
        <v/>
      </c>
      <c r="H68" s="10">
        <f>'3b. Calculator - EEM 1'!I66</f>
        <v>0</v>
      </c>
      <c r="I68" s="671">
        <f>'3b. Calculator - EEM 1'!H66</f>
        <v>0</v>
      </c>
      <c r="J68" s="692">
        <f t="shared" si="20"/>
        <v>188.68571428571431</v>
      </c>
      <c r="K68" s="693"/>
      <c r="L68" s="694">
        <f>IF(F68="Intérieur",2*(1-Hypothèses!$D$265)*Hypothèses!$D$183/Hypothèses!$D$265,2*(1-Hypothèses!$D$265)*Hypothèses!$D$184/Hypothèses!$D$265)</f>
        <v>7.4285714285714297</v>
      </c>
      <c r="M68" s="695"/>
      <c r="N68" s="803">
        <f t="shared" si="22"/>
        <v>0</v>
      </c>
      <c r="O68" s="659">
        <f>N68*'Facteurs conversion'!$C$6/1000/'Facteurs conversion'!$C$23^2*C68</f>
        <v>0</v>
      </c>
      <c r="P68" s="573">
        <f t="shared" si="23"/>
        <v>0</v>
      </c>
      <c r="Q68" s="573">
        <f>P68/'Facteurs conversion'!$C$11</f>
        <v>0</v>
      </c>
      <c r="R68" s="660">
        <f>Q68/Hypothèses!$D$166</f>
        <v>0</v>
      </c>
      <c r="AB68" s="737"/>
    </row>
    <row r="69" spans="2:30">
      <c r="B69" s="9">
        <v>8</v>
      </c>
      <c r="C69" s="657">
        <f>'3b. Calculator - EEM 1'!E67</f>
        <v>0</v>
      </c>
      <c r="D69" s="657">
        <f>'3b. Calculator - EEM 1'!F67</f>
        <v>0</v>
      </c>
      <c r="E69" s="658" t="str">
        <f t="shared" si="19"/>
        <v>&lt; select &gt;_</v>
      </c>
      <c r="F69" s="10" t="str">
        <f>'3b. Calculator - EEM 1'!G67</f>
        <v>&lt; select &gt;</v>
      </c>
      <c r="G69" s="10" t="str">
        <f t="shared" si="21"/>
        <v/>
      </c>
      <c r="H69" s="10">
        <f>'3b. Calculator - EEM 1'!I67</f>
        <v>0</v>
      </c>
      <c r="I69" s="671">
        <f>'3b. Calculator - EEM 1'!H67</f>
        <v>0</v>
      </c>
      <c r="J69" s="692">
        <f t="shared" si="20"/>
        <v>188.68571428571431</v>
      </c>
      <c r="K69" s="693"/>
      <c r="L69" s="694">
        <f>IF(F69="Intérieur",2*(1-Hypothèses!$D$265)*Hypothèses!$D$183/Hypothèses!$D$265,2*(1-Hypothèses!$D$265)*Hypothèses!$D$184/Hypothèses!$D$265)</f>
        <v>7.4285714285714297</v>
      </c>
      <c r="M69" s="695"/>
      <c r="N69" s="803">
        <f t="shared" si="22"/>
        <v>0</v>
      </c>
      <c r="O69" s="659">
        <f>N69*'Facteurs conversion'!$C$6/1000/'Facteurs conversion'!$C$23^2*C69</f>
        <v>0</v>
      </c>
      <c r="P69" s="573">
        <f t="shared" si="23"/>
        <v>0</v>
      </c>
      <c r="Q69" s="573">
        <f>P69/'Facteurs conversion'!$C$11</f>
        <v>0</v>
      </c>
      <c r="R69" s="660">
        <f>Q69/Hypothèses!$D$166</f>
        <v>0</v>
      </c>
      <c r="Y69" s="6" t="s">
        <v>1246</v>
      </c>
    </row>
    <row r="70" spans="2:30">
      <c r="B70" s="9">
        <v>9</v>
      </c>
      <c r="C70" s="657">
        <f>'3b. Calculator - EEM 1'!E68</f>
        <v>0</v>
      </c>
      <c r="D70" s="657">
        <f>'3b. Calculator - EEM 1'!F68</f>
        <v>0</v>
      </c>
      <c r="E70" s="658" t="str">
        <f t="shared" si="19"/>
        <v>&lt; select &gt;_</v>
      </c>
      <c r="F70" s="10" t="str">
        <f>'3b. Calculator - EEM 1'!G68</f>
        <v>&lt; select &gt;</v>
      </c>
      <c r="G70" s="10" t="str">
        <f t="shared" si="21"/>
        <v/>
      </c>
      <c r="H70" s="10">
        <f>'3b. Calculator - EEM 1'!I68</f>
        <v>0</v>
      </c>
      <c r="I70" s="671">
        <f>'3b. Calculator - EEM 1'!H68</f>
        <v>0</v>
      </c>
      <c r="J70" s="692">
        <f t="shared" si="20"/>
        <v>188.68571428571431</v>
      </c>
      <c r="K70" s="693"/>
      <c r="L70" s="694">
        <f>IF(F70="Intérieur",2*(1-Hypothèses!$D$265)*Hypothèses!$D$183/Hypothèses!$D$265,2*(1-Hypothèses!$D$265)*Hypothèses!$D$184/Hypothèses!$D$265)</f>
        <v>7.4285714285714297</v>
      </c>
      <c r="M70" s="695"/>
      <c r="N70" s="803">
        <f t="shared" si="22"/>
        <v>0</v>
      </c>
      <c r="O70" s="659">
        <f>N70*'Facteurs conversion'!$C$6/1000/'Facteurs conversion'!$C$23^2*C70</f>
        <v>0</v>
      </c>
      <c r="P70" s="573">
        <f t="shared" si="23"/>
        <v>0</v>
      </c>
      <c r="Q70" s="573">
        <f>P70/'Facteurs conversion'!$C$11</f>
        <v>0</v>
      </c>
      <c r="R70" s="660">
        <f>Q70/Hypothèses!$D$166</f>
        <v>0</v>
      </c>
      <c r="Y70" s="1877" t="s">
        <v>923</v>
      </c>
      <c r="Z70" s="1877" t="s">
        <v>993</v>
      </c>
      <c r="AA70" s="1877" t="s">
        <v>925</v>
      </c>
      <c r="AB70" s="1877" t="s">
        <v>785</v>
      </c>
      <c r="AC70" s="1877" t="s">
        <v>991</v>
      </c>
      <c r="AD70" s="1879" t="s">
        <v>922</v>
      </c>
    </row>
    <row r="71" spans="2:30">
      <c r="B71" s="9">
        <v>10</v>
      </c>
      <c r="C71" s="657">
        <f>'3b. Calculator - EEM 1'!E69</f>
        <v>0</v>
      </c>
      <c r="D71" s="657">
        <f>'3b. Calculator - EEM 1'!F69</f>
        <v>0</v>
      </c>
      <c r="E71" s="658" t="str">
        <f t="shared" si="19"/>
        <v>&lt; select &gt;_</v>
      </c>
      <c r="F71" s="10" t="str">
        <f>'3b. Calculator - EEM 1'!G69</f>
        <v>&lt; select &gt;</v>
      </c>
      <c r="G71" s="10" t="str">
        <f t="shared" si="21"/>
        <v/>
      </c>
      <c r="H71" s="10">
        <f>'3b. Calculator - EEM 1'!I69</f>
        <v>0</v>
      </c>
      <c r="I71" s="671">
        <f>'3b. Calculator - EEM 1'!H69</f>
        <v>0</v>
      </c>
      <c r="J71" s="692">
        <f t="shared" si="20"/>
        <v>188.68571428571431</v>
      </c>
      <c r="K71" s="693"/>
      <c r="L71" s="694">
        <f>IF(F71="Intérieur",2*(1-Hypothèses!$D$265)*Hypothèses!$D$183/Hypothèses!$D$265,2*(1-Hypothèses!$D$265)*Hypothèses!$D$184/Hypothèses!$D$265)</f>
        <v>7.4285714285714297</v>
      </c>
      <c r="M71" s="695"/>
      <c r="N71" s="803">
        <f t="shared" si="22"/>
        <v>0</v>
      </c>
      <c r="O71" s="659">
        <f>N71*'Facteurs conversion'!$C$6/1000/'Facteurs conversion'!$C$23^2*C71</f>
        <v>0</v>
      </c>
      <c r="P71" s="573">
        <f t="shared" si="23"/>
        <v>0</v>
      </c>
      <c r="Q71" s="573">
        <f>P71/'Facteurs conversion'!$C$11</f>
        <v>0</v>
      </c>
      <c r="R71" s="660">
        <f>Q71/Hypothèses!$D$166</f>
        <v>0</v>
      </c>
      <c r="Y71" s="1878"/>
      <c r="Z71" s="1878"/>
      <c r="AA71" s="1878"/>
      <c r="AB71" s="1878"/>
      <c r="AC71" s="1878"/>
      <c r="AD71" s="1880"/>
    </row>
    <row r="72" spans="2:30" ht="16.2">
      <c r="Y72" s="666"/>
      <c r="Z72" s="666" t="s">
        <v>1005</v>
      </c>
      <c r="AA72" s="666" t="s">
        <v>929</v>
      </c>
      <c r="AB72" s="666"/>
      <c r="AC72" s="667" t="s">
        <v>945</v>
      </c>
      <c r="AD72" s="668" t="s">
        <v>1001</v>
      </c>
    </row>
    <row r="73" spans="2:30">
      <c r="B73" s="669" t="s">
        <v>27</v>
      </c>
      <c r="C73" s="661"/>
      <c r="D73" s="662"/>
      <c r="E73" s="663"/>
      <c r="F73" s="662"/>
      <c r="G73" s="662"/>
      <c r="H73" s="662"/>
      <c r="I73" s="662"/>
      <c r="J73" s="662"/>
      <c r="K73" s="662"/>
      <c r="L73" s="662"/>
      <c r="M73" s="662"/>
      <c r="N73" s="662"/>
      <c r="O73" s="662"/>
      <c r="P73" s="662"/>
      <c r="Q73" s="662"/>
      <c r="R73" s="664"/>
      <c r="S73" s="664"/>
      <c r="T73" s="664"/>
      <c r="U73" s="664"/>
      <c r="V73" s="664"/>
      <c r="W73" s="664"/>
      <c r="X73" s="739">
        <v>1</v>
      </c>
      <c r="Y73" s="199" t="e" cm="1" vm="1">
        <f t="array" ref="Y73">_xlfn._xlws.FILTER('Isolation - CAS 1'!N37:S46,'Isolation - CAS 1'!N37:N46&lt;&gt;"")</f>
        <v>#VALUE!</v>
      </c>
      <c r="Z73"/>
      <c r="AA73"/>
      <c r="AB73"/>
      <c r="AC73" s="705"/>
      <c r="AD73" s="706"/>
    </row>
    <row r="74" spans="2:30">
      <c r="X74" s="739">
        <v>2</v>
      </c>
      <c r="Y74" s="199"/>
      <c r="Z74"/>
      <c r="AA74"/>
      <c r="AB74"/>
      <c r="AC74" s="705"/>
      <c r="AD74" s="706"/>
    </row>
    <row r="75" spans="2:30" ht="52.8">
      <c r="B75" s="1889" t="s">
        <v>923</v>
      </c>
      <c r="C75" s="765" t="s">
        <v>993</v>
      </c>
      <c r="D75" s="765" t="s">
        <v>968</v>
      </c>
      <c r="E75" s="1890" t="s">
        <v>935</v>
      </c>
      <c r="F75" s="1889" t="s">
        <v>785</v>
      </c>
      <c r="G75" s="1889" t="s">
        <v>393</v>
      </c>
      <c r="H75" s="1889" t="s">
        <v>780</v>
      </c>
      <c r="I75" s="768" t="s">
        <v>17</v>
      </c>
      <c r="J75" s="1881" t="s">
        <v>991</v>
      </c>
      <c r="K75" s="1881"/>
      <c r="L75" s="1881"/>
      <c r="M75" s="1882"/>
      <c r="N75" s="1888" t="s">
        <v>965</v>
      </c>
      <c r="O75" s="1884"/>
      <c r="P75" s="765" t="s">
        <v>973</v>
      </c>
      <c r="Q75" s="765" t="s">
        <v>973</v>
      </c>
      <c r="R75" s="765" t="s">
        <v>974</v>
      </c>
      <c r="S75" s="765" t="s">
        <v>1257</v>
      </c>
      <c r="X75" s="739">
        <v>3</v>
      </c>
      <c r="Y75" s="199"/>
      <c r="Z75"/>
      <c r="AA75"/>
      <c r="AB75"/>
      <c r="AC75" s="705"/>
      <c r="AD75" s="706"/>
    </row>
    <row r="76" spans="2:30" ht="15.6">
      <c r="B76" s="1889"/>
      <c r="C76" s="764" t="s">
        <v>994</v>
      </c>
      <c r="D76" s="764" t="s">
        <v>966</v>
      </c>
      <c r="E76" s="1890"/>
      <c r="F76" s="1889"/>
      <c r="G76" s="1889"/>
      <c r="H76" s="1889"/>
      <c r="I76" s="766" t="s">
        <v>969</v>
      </c>
      <c r="J76" s="1885" t="s">
        <v>945</v>
      </c>
      <c r="K76" s="1886"/>
      <c r="L76" s="1886" t="s">
        <v>928</v>
      </c>
      <c r="M76" s="1887"/>
      <c r="N76" s="767" t="s">
        <v>995</v>
      </c>
      <c r="O76" s="764" t="s">
        <v>798</v>
      </c>
      <c r="P76" s="764" t="s">
        <v>971</v>
      </c>
      <c r="Q76" s="764" t="s">
        <v>978</v>
      </c>
      <c r="R76" s="764" t="s">
        <v>978</v>
      </c>
      <c r="S76" s="764" t="s">
        <v>977</v>
      </c>
      <c r="X76" s="739">
        <v>4</v>
      </c>
      <c r="Y76" s="199"/>
      <c r="Z76"/>
      <c r="AA76"/>
      <c r="AB76"/>
      <c r="AC76" s="705"/>
      <c r="AD76" s="706"/>
    </row>
    <row r="77" spans="2:30">
      <c r="B77" s="9">
        <v>1</v>
      </c>
      <c r="C77" s="657">
        <f>'3b. Calculator - EEM 1'!E104</f>
        <v>0</v>
      </c>
      <c r="D77" s="657">
        <f>'3b. Calculator - EEM 1'!F104</f>
        <v>0</v>
      </c>
      <c r="E77" s="658" t="str">
        <f t="shared" ref="E77:E86" si="24">IF(F77="Indoor",F77,F77&amp;"_"&amp;G77)</f>
        <v>&lt; select &gt;_</v>
      </c>
      <c r="F77" s="10" t="str">
        <f>'3b. Calculator - EEM 1'!G104</f>
        <v>&lt; select &gt;</v>
      </c>
      <c r="G77" s="10" t="str">
        <f>$G$7</f>
        <v/>
      </c>
      <c r="H77" s="10">
        <f>'3b. Calculator - EEM 1'!I104</f>
        <v>0</v>
      </c>
      <c r="I77" s="671">
        <f>'3b. Calculator - EEM 1'!H104</f>
        <v>0</v>
      </c>
      <c r="J77" s="692">
        <f t="shared" ref="J77:J86" si="25">CONVERT(L77,"in","mm")</f>
        <v>188.68571428571431</v>
      </c>
      <c r="K77" s="693"/>
      <c r="L77" s="694">
        <f>IF(F77="Indoor",2*(1-Hypothèses!$D$265)*Hypothèses!$D$183/Hypothèses!$D$265,2*(1-Hypothèses!$D$265)*Hypothèses!$D$184/Hypothèses!$D$265)</f>
        <v>7.4285714285714297</v>
      </c>
      <c r="M77" s="695"/>
      <c r="N77" s="670">
        <f>_xlfn.XLOOKUP(B77,$Y$178:$Y$207,$AD$178:$AD$207,0,0)</f>
        <v>0</v>
      </c>
      <c r="O77" s="659">
        <f>N77*'Facteurs conversion'!$C$6/1000/'Facteurs conversion'!$C$23^2*C77</f>
        <v>0</v>
      </c>
      <c r="P77" s="573">
        <f>O77*I77*H77</f>
        <v>0</v>
      </c>
      <c r="Q77" s="573">
        <f>P77/'Facteurs conversion'!$C$11</f>
        <v>0</v>
      </c>
      <c r="R77" s="660">
        <f>Q77/Hypothèses!$D$166</f>
        <v>0</v>
      </c>
      <c r="S77" s="805">
        <f>C77/(1-Hypothèses!$D$265)*H77</f>
        <v>0</v>
      </c>
      <c r="X77" s="739">
        <v>5</v>
      </c>
      <c r="Y77" s="199"/>
      <c r="Z77"/>
      <c r="AA77"/>
      <c r="AB77"/>
      <c r="AC77" s="705"/>
      <c r="AD77" s="706"/>
    </row>
    <row r="78" spans="2:30">
      <c r="B78" s="9">
        <v>2</v>
      </c>
      <c r="C78" s="657">
        <f>'3b. Calculator - EEM 1'!E105</f>
        <v>0</v>
      </c>
      <c r="D78" s="657">
        <f>'3b. Calculator - EEM 1'!F105</f>
        <v>0</v>
      </c>
      <c r="E78" s="658" t="str">
        <f t="shared" si="24"/>
        <v>&lt; select &gt;_</v>
      </c>
      <c r="F78" s="10" t="str">
        <f>'3b. Calculator - EEM 1'!G105</f>
        <v>&lt; select &gt;</v>
      </c>
      <c r="G78" s="10" t="str">
        <f t="shared" ref="G78:G86" si="26">$G$7</f>
        <v/>
      </c>
      <c r="H78" s="10">
        <f>'3b. Calculator - EEM 1'!I105</f>
        <v>0</v>
      </c>
      <c r="I78" s="671">
        <f>'3b. Calculator - EEM 1'!H105</f>
        <v>0</v>
      </c>
      <c r="J78" s="692">
        <f t="shared" si="25"/>
        <v>188.68571428571431</v>
      </c>
      <c r="K78" s="693"/>
      <c r="L78" s="694">
        <f>IF(F78="Indoor",2*(1-Hypothèses!$D$265)*Hypothèses!$D$183/Hypothèses!$D$265,2*(1-Hypothèses!$D$265)*Hypothèses!$D$184/Hypothèses!$D$265)</f>
        <v>7.4285714285714297</v>
      </c>
      <c r="M78" s="695"/>
      <c r="N78" s="670">
        <f t="shared" ref="N78:N86" si="27">_xlfn.XLOOKUP(B78,$Y$178:$Y$207,$AD$178:$AD$207,0,0)</f>
        <v>0</v>
      </c>
      <c r="O78" s="659">
        <f>N78*'Facteurs conversion'!$C$6/1000/'Facteurs conversion'!$C$23^2*C78</f>
        <v>0</v>
      </c>
      <c r="P78" s="573">
        <f t="shared" ref="P78:P86" si="28">O78*I78*H78</f>
        <v>0</v>
      </c>
      <c r="Q78" s="573">
        <f>P78/'Facteurs conversion'!$C$11</f>
        <v>0</v>
      </c>
      <c r="R78" s="660">
        <f>Q78/Hypothèses!$D$166</f>
        <v>0</v>
      </c>
      <c r="S78" s="805">
        <f>C78/(1-Hypothèses!$D$265)*H78</f>
        <v>0</v>
      </c>
      <c r="X78" s="739">
        <v>6</v>
      </c>
      <c r="Y78" s="199"/>
      <c r="Z78"/>
      <c r="AA78"/>
      <c r="AB78"/>
      <c r="AC78" s="705"/>
      <c r="AD78" s="706"/>
    </row>
    <row r="79" spans="2:30">
      <c r="B79" s="9">
        <v>3</v>
      </c>
      <c r="C79" s="657">
        <f>'3b. Calculator - EEM 1'!E106</f>
        <v>0</v>
      </c>
      <c r="D79" s="657">
        <f>'3b. Calculator - EEM 1'!F106</f>
        <v>0</v>
      </c>
      <c r="E79" s="658" t="str">
        <f t="shared" si="24"/>
        <v>&lt; select &gt;_</v>
      </c>
      <c r="F79" s="10" t="str">
        <f>'3b. Calculator - EEM 1'!G106</f>
        <v>&lt; select &gt;</v>
      </c>
      <c r="G79" s="10" t="str">
        <f t="shared" si="26"/>
        <v/>
      </c>
      <c r="H79" s="10">
        <f>'3b. Calculator - EEM 1'!I106</f>
        <v>0</v>
      </c>
      <c r="I79" s="671">
        <f>'3b. Calculator - EEM 1'!H106</f>
        <v>0</v>
      </c>
      <c r="J79" s="692">
        <f t="shared" si="25"/>
        <v>188.68571428571431</v>
      </c>
      <c r="K79" s="693"/>
      <c r="L79" s="694">
        <f>IF(F79="Indoor",2*(1-Hypothèses!$D$265)*Hypothèses!$D$183/Hypothèses!$D$265,2*(1-Hypothèses!$D$265)*Hypothèses!$D$184/Hypothèses!$D$265)</f>
        <v>7.4285714285714297</v>
      </c>
      <c r="M79" s="695"/>
      <c r="N79" s="670">
        <f t="shared" si="27"/>
        <v>0</v>
      </c>
      <c r="O79" s="659">
        <f>N79*'Facteurs conversion'!$C$6/1000/'Facteurs conversion'!$C$23^2*C79</f>
        <v>0</v>
      </c>
      <c r="P79" s="573">
        <f t="shared" si="28"/>
        <v>0</v>
      </c>
      <c r="Q79" s="573">
        <f>P79/'Facteurs conversion'!$C$11</f>
        <v>0</v>
      </c>
      <c r="R79" s="660">
        <f>Q79/Hypothèses!$D$166</f>
        <v>0</v>
      </c>
      <c r="S79" s="805">
        <f>C79/(1-Hypothèses!$D$265)*H79</f>
        <v>0</v>
      </c>
      <c r="X79" s="739">
        <v>7</v>
      </c>
      <c r="Y79" s="199"/>
      <c r="Z79"/>
      <c r="AA79"/>
      <c r="AB79"/>
      <c r="AC79" s="705"/>
      <c r="AD79" s="706"/>
    </row>
    <row r="80" spans="2:30">
      <c r="B80" s="9">
        <v>4</v>
      </c>
      <c r="C80" s="657">
        <f>'3b. Calculator - EEM 1'!E107</f>
        <v>0</v>
      </c>
      <c r="D80" s="657">
        <f>'3b. Calculator - EEM 1'!F107</f>
        <v>0</v>
      </c>
      <c r="E80" s="658" t="str">
        <f t="shared" si="24"/>
        <v>&lt; select &gt;_</v>
      </c>
      <c r="F80" s="10" t="str">
        <f>'3b. Calculator - EEM 1'!G107</f>
        <v>&lt; select &gt;</v>
      </c>
      <c r="G80" s="10" t="str">
        <f t="shared" si="26"/>
        <v/>
      </c>
      <c r="H80" s="10">
        <f>'3b. Calculator - EEM 1'!I107</f>
        <v>0</v>
      </c>
      <c r="I80" s="671">
        <f>'3b. Calculator - EEM 1'!H107</f>
        <v>0</v>
      </c>
      <c r="J80" s="692">
        <f t="shared" si="25"/>
        <v>188.68571428571431</v>
      </c>
      <c r="K80" s="693"/>
      <c r="L80" s="694">
        <f>IF(F80="Indoor",2*(1-Hypothèses!$D$265)*Hypothèses!$D$183/Hypothèses!$D$265,2*(1-Hypothèses!$D$265)*Hypothèses!$D$184/Hypothèses!$D$265)</f>
        <v>7.4285714285714297</v>
      </c>
      <c r="M80" s="695"/>
      <c r="N80" s="670">
        <f t="shared" si="27"/>
        <v>0</v>
      </c>
      <c r="O80" s="659">
        <f>N80*'Facteurs conversion'!$C$6/1000/'Facteurs conversion'!$C$23^2*C80</f>
        <v>0</v>
      </c>
      <c r="P80" s="573">
        <f t="shared" si="28"/>
        <v>0</v>
      </c>
      <c r="Q80" s="573">
        <f>P80/'Facteurs conversion'!$C$11</f>
        <v>0</v>
      </c>
      <c r="R80" s="660">
        <f>Q80/Hypothèses!$D$166</f>
        <v>0</v>
      </c>
      <c r="S80" s="805">
        <f>C80/(1-Hypothèses!$D$265)*H80</f>
        <v>0</v>
      </c>
      <c r="X80" s="739">
        <v>8</v>
      </c>
      <c r="Y80" s="199"/>
      <c r="Z80"/>
      <c r="AA80"/>
      <c r="AB80"/>
      <c r="AC80" s="705"/>
      <c r="AD80" s="706"/>
    </row>
    <row r="81" spans="2:30">
      <c r="B81" s="9">
        <v>5</v>
      </c>
      <c r="C81" s="657">
        <f>'3b. Calculator - EEM 1'!E108</f>
        <v>0</v>
      </c>
      <c r="D81" s="657">
        <f>'3b. Calculator - EEM 1'!F108</f>
        <v>0</v>
      </c>
      <c r="E81" s="658" t="str">
        <f t="shared" si="24"/>
        <v>&lt; select &gt;_</v>
      </c>
      <c r="F81" s="10" t="str">
        <f>'3b. Calculator - EEM 1'!G108</f>
        <v>&lt; select &gt;</v>
      </c>
      <c r="G81" s="10" t="str">
        <f t="shared" si="26"/>
        <v/>
      </c>
      <c r="H81" s="10">
        <f>'3b. Calculator - EEM 1'!I108</f>
        <v>0</v>
      </c>
      <c r="I81" s="671">
        <f>'3b. Calculator - EEM 1'!H108</f>
        <v>0</v>
      </c>
      <c r="J81" s="692">
        <f t="shared" si="25"/>
        <v>188.68571428571431</v>
      </c>
      <c r="K81" s="693"/>
      <c r="L81" s="694">
        <f>IF(F81="Indoor",2*(1-Hypothèses!$D$265)*Hypothèses!$D$183/Hypothèses!$D$265,2*(1-Hypothèses!$D$265)*Hypothèses!$D$184/Hypothèses!$D$265)</f>
        <v>7.4285714285714297</v>
      </c>
      <c r="M81" s="695"/>
      <c r="N81" s="670">
        <f t="shared" si="27"/>
        <v>0</v>
      </c>
      <c r="O81" s="659">
        <f>N81*'Facteurs conversion'!$C$6/1000/'Facteurs conversion'!$C$23^2*C81</f>
        <v>0</v>
      </c>
      <c r="P81" s="573">
        <f t="shared" si="28"/>
        <v>0</v>
      </c>
      <c r="Q81" s="573">
        <f>P81/'Facteurs conversion'!$C$11</f>
        <v>0</v>
      </c>
      <c r="R81" s="660">
        <f>Q81/Hypothèses!$D$166</f>
        <v>0</v>
      </c>
      <c r="S81" s="805">
        <f>C81/(1-Hypothèses!$D$265)*H81</f>
        <v>0</v>
      </c>
      <c r="X81" s="739">
        <v>9</v>
      </c>
      <c r="Y81" s="199"/>
      <c r="Z81"/>
      <c r="AA81"/>
      <c r="AB81"/>
      <c r="AC81" s="705"/>
      <c r="AD81" s="706"/>
    </row>
    <row r="82" spans="2:30">
      <c r="B82" s="9">
        <v>6</v>
      </c>
      <c r="C82" s="657">
        <f>'3b. Calculator - EEM 1'!E109</f>
        <v>0</v>
      </c>
      <c r="D82" s="657">
        <f>'3b. Calculator - EEM 1'!F109</f>
        <v>0</v>
      </c>
      <c r="E82" s="658" t="str">
        <f t="shared" si="24"/>
        <v>&lt; select &gt;_</v>
      </c>
      <c r="F82" s="10" t="str">
        <f>'3b. Calculator - EEM 1'!G109</f>
        <v>&lt; select &gt;</v>
      </c>
      <c r="G82" s="10" t="str">
        <f t="shared" si="26"/>
        <v/>
      </c>
      <c r="H82" s="10">
        <f>'3b. Calculator - EEM 1'!I109</f>
        <v>0</v>
      </c>
      <c r="I82" s="671">
        <f>'3b. Calculator - EEM 1'!H109</f>
        <v>0</v>
      </c>
      <c r="J82" s="692">
        <f t="shared" si="25"/>
        <v>188.68571428571431</v>
      </c>
      <c r="K82" s="693"/>
      <c r="L82" s="694">
        <f>IF(F82="Indoor",2*(1-Hypothèses!$D$265)*Hypothèses!$D$183/Hypothèses!$D$265,2*(1-Hypothèses!$D$265)*Hypothèses!$D$184/Hypothèses!$D$265)</f>
        <v>7.4285714285714297</v>
      </c>
      <c r="M82" s="695"/>
      <c r="N82" s="670">
        <f t="shared" si="27"/>
        <v>0</v>
      </c>
      <c r="O82" s="659">
        <f>N82*'Facteurs conversion'!$C$6/1000/'Facteurs conversion'!$C$23^2*C82</f>
        <v>0</v>
      </c>
      <c r="P82" s="573">
        <f t="shared" si="28"/>
        <v>0</v>
      </c>
      <c r="Q82" s="573">
        <f>P82/'Facteurs conversion'!$C$11</f>
        <v>0</v>
      </c>
      <c r="R82" s="660">
        <f>Q82/Hypothèses!$D$166</f>
        <v>0</v>
      </c>
      <c r="S82" s="805">
        <f>C82/(1-Hypothèses!$D$265)*H82</f>
        <v>0</v>
      </c>
      <c r="X82" s="739">
        <v>10</v>
      </c>
      <c r="Y82" s="199"/>
      <c r="Z82"/>
      <c r="AA82"/>
      <c r="AB82"/>
      <c r="AC82" s="705"/>
      <c r="AD82" s="706"/>
    </row>
    <row r="83" spans="2:30">
      <c r="B83" s="9">
        <v>7</v>
      </c>
      <c r="C83" s="657">
        <f>'3b. Calculator - EEM 1'!E110</f>
        <v>0</v>
      </c>
      <c r="D83" s="657">
        <f>'3b. Calculator - EEM 1'!F110</f>
        <v>0</v>
      </c>
      <c r="E83" s="658" t="str">
        <f t="shared" si="24"/>
        <v>&lt; select &gt;_</v>
      </c>
      <c r="F83" s="10" t="str">
        <f>'3b. Calculator - EEM 1'!G110</f>
        <v>&lt; select &gt;</v>
      </c>
      <c r="G83" s="10" t="str">
        <f t="shared" si="26"/>
        <v/>
      </c>
      <c r="H83" s="10">
        <f>'3b. Calculator - EEM 1'!I110</f>
        <v>0</v>
      </c>
      <c r="I83" s="671">
        <f>'3b. Calculator - EEM 1'!H110</f>
        <v>0</v>
      </c>
      <c r="J83" s="692">
        <f t="shared" si="25"/>
        <v>188.68571428571431</v>
      </c>
      <c r="K83" s="693"/>
      <c r="L83" s="694">
        <f>IF(F83="Indoor",2*(1-Hypothèses!$D$265)*Hypothèses!$D$183/Hypothèses!$D$265,2*(1-Hypothèses!$D$265)*Hypothèses!$D$184/Hypothèses!$D$265)</f>
        <v>7.4285714285714297</v>
      </c>
      <c r="M83" s="695"/>
      <c r="N83" s="670">
        <f t="shared" si="27"/>
        <v>0</v>
      </c>
      <c r="O83" s="659">
        <f>N83*'Facteurs conversion'!$C$6/1000/'Facteurs conversion'!$C$23^2*C83</f>
        <v>0</v>
      </c>
      <c r="P83" s="573">
        <f t="shared" si="28"/>
        <v>0</v>
      </c>
      <c r="Q83" s="573">
        <f>P83/'Facteurs conversion'!$C$11</f>
        <v>0</v>
      </c>
      <c r="R83" s="660">
        <f>Q83/Hypothèses!$D$166</f>
        <v>0</v>
      </c>
      <c r="S83" s="805">
        <f>C83/(1-Hypothèses!$D$265)*H83</f>
        <v>0</v>
      </c>
      <c r="X83" s="739">
        <v>1</v>
      </c>
      <c r="Y83" s="199" t="e" cm="1" vm="1">
        <f t="array" ref="Y83">_xlfn._xlws.FILTER('Isolation - CAS 2'!N37:S46,'Isolation - CAS 2'!N37:N46&lt;&gt;"")</f>
        <v>#VALUE!</v>
      </c>
      <c r="Z83"/>
      <c r="AA83"/>
      <c r="AB83"/>
      <c r="AC83" s="705"/>
      <c r="AD83" s="706"/>
    </row>
    <row r="84" spans="2:30">
      <c r="B84" s="9">
        <v>8</v>
      </c>
      <c r="C84" s="657">
        <f>'3b. Calculator - EEM 1'!E111</f>
        <v>0</v>
      </c>
      <c r="D84" s="657">
        <f>'3b. Calculator - EEM 1'!F111</f>
        <v>0</v>
      </c>
      <c r="E84" s="658" t="str">
        <f t="shared" si="24"/>
        <v>&lt; select &gt;_</v>
      </c>
      <c r="F84" s="10" t="str">
        <f>'3b. Calculator - EEM 1'!G111</f>
        <v>&lt; select &gt;</v>
      </c>
      <c r="G84" s="10" t="str">
        <f t="shared" si="26"/>
        <v/>
      </c>
      <c r="H84" s="10">
        <f>'3b. Calculator - EEM 1'!I111</f>
        <v>0</v>
      </c>
      <c r="I84" s="671">
        <f>'3b. Calculator - EEM 1'!H111</f>
        <v>0</v>
      </c>
      <c r="J84" s="692">
        <f t="shared" si="25"/>
        <v>188.68571428571431</v>
      </c>
      <c r="K84" s="693"/>
      <c r="L84" s="694">
        <f>IF(F84="Indoor",2*(1-Hypothèses!$D$265)*Hypothèses!$D$183/Hypothèses!$D$265,2*(1-Hypothèses!$D$265)*Hypothèses!$D$184/Hypothèses!$D$265)</f>
        <v>7.4285714285714297</v>
      </c>
      <c r="M84" s="695"/>
      <c r="N84" s="670">
        <f t="shared" si="27"/>
        <v>0</v>
      </c>
      <c r="O84" s="659">
        <f>N84*'Facteurs conversion'!$C$6/1000/'Facteurs conversion'!$C$23^2*C84</f>
        <v>0</v>
      </c>
      <c r="P84" s="573">
        <f t="shared" si="28"/>
        <v>0</v>
      </c>
      <c r="Q84" s="573">
        <f>P84/'Facteurs conversion'!$C$11</f>
        <v>0</v>
      </c>
      <c r="R84" s="660">
        <f>Q84/Hypothèses!$D$166</f>
        <v>0</v>
      </c>
      <c r="S84" s="805">
        <f>C84/(1-Hypothèses!$D$265)*H84</f>
        <v>0</v>
      </c>
      <c r="X84" s="739">
        <v>2</v>
      </c>
      <c r="Y84" s="199"/>
      <c r="Z84"/>
      <c r="AA84"/>
      <c r="AB84"/>
      <c r="AC84" s="705"/>
      <c r="AD84" s="706"/>
    </row>
    <row r="85" spans="2:30">
      <c r="B85" s="9">
        <v>9</v>
      </c>
      <c r="C85" s="657">
        <f>'3b. Calculator - EEM 1'!E112</f>
        <v>0</v>
      </c>
      <c r="D85" s="657">
        <f>'3b. Calculator - EEM 1'!F112</f>
        <v>0</v>
      </c>
      <c r="E85" s="658" t="str">
        <f t="shared" si="24"/>
        <v>&lt; select &gt;_</v>
      </c>
      <c r="F85" s="10" t="str">
        <f>'3b. Calculator - EEM 1'!G112</f>
        <v>&lt; select &gt;</v>
      </c>
      <c r="G85" s="10" t="str">
        <f t="shared" si="26"/>
        <v/>
      </c>
      <c r="H85" s="10">
        <f>'3b. Calculator - EEM 1'!I112</f>
        <v>0</v>
      </c>
      <c r="I85" s="671">
        <f>'3b. Calculator - EEM 1'!H112</f>
        <v>0</v>
      </c>
      <c r="J85" s="692">
        <f t="shared" si="25"/>
        <v>188.68571428571431</v>
      </c>
      <c r="K85" s="693"/>
      <c r="L85" s="694">
        <f>IF(F85="Indoor",2*(1-Hypothèses!$D$265)*Hypothèses!$D$183/Hypothèses!$D$265,2*(1-Hypothèses!$D$265)*Hypothèses!$D$184/Hypothèses!$D$265)</f>
        <v>7.4285714285714297</v>
      </c>
      <c r="M85" s="695"/>
      <c r="N85" s="670">
        <f t="shared" si="27"/>
        <v>0</v>
      </c>
      <c r="O85" s="659">
        <f>N85*'Facteurs conversion'!$C$6/1000/'Facteurs conversion'!$C$23^2*C85</f>
        <v>0</v>
      </c>
      <c r="P85" s="573">
        <f t="shared" si="28"/>
        <v>0</v>
      </c>
      <c r="Q85" s="573">
        <f>P85/'Facteurs conversion'!$C$11</f>
        <v>0</v>
      </c>
      <c r="R85" s="660">
        <f>Q85/Hypothèses!$D$166</f>
        <v>0</v>
      </c>
      <c r="S85" s="805">
        <f>C85/(1-Hypothèses!$D$265)*H85</f>
        <v>0</v>
      </c>
      <c r="X85" s="739">
        <v>3</v>
      </c>
      <c r="Y85" s="199"/>
      <c r="Z85"/>
      <c r="AA85"/>
      <c r="AB85"/>
      <c r="AC85" s="705"/>
      <c r="AD85" s="706"/>
    </row>
    <row r="86" spans="2:30">
      <c r="B86" s="9">
        <v>10</v>
      </c>
      <c r="C86" s="657">
        <f>'3b. Calculator - EEM 1'!E113</f>
        <v>0</v>
      </c>
      <c r="D86" s="657">
        <f>'3b. Calculator - EEM 1'!F113</f>
        <v>0</v>
      </c>
      <c r="E86" s="658" t="str">
        <f t="shared" si="24"/>
        <v>&lt; select &gt;_</v>
      </c>
      <c r="F86" s="10" t="str">
        <f>'3b. Calculator - EEM 1'!G113</f>
        <v>&lt; select &gt;</v>
      </c>
      <c r="G86" s="10" t="str">
        <f t="shared" si="26"/>
        <v/>
      </c>
      <c r="H86" s="10">
        <f>'3b. Calculator - EEM 1'!I113</f>
        <v>0</v>
      </c>
      <c r="I86" s="671">
        <f>'3b. Calculator - EEM 1'!H113</f>
        <v>0</v>
      </c>
      <c r="J86" s="692">
        <f t="shared" si="25"/>
        <v>188.68571428571431</v>
      </c>
      <c r="K86" s="693"/>
      <c r="L86" s="694">
        <f>IF(F86="Indoor",2*(1-Hypothèses!$D$265)*Hypothèses!$D$183/Hypothèses!$D$265,2*(1-Hypothèses!$D$265)*Hypothèses!$D$184/Hypothèses!$D$265)</f>
        <v>7.4285714285714297</v>
      </c>
      <c r="M86" s="695"/>
      <c r="N86" s="670">
        <f t="shared" si="27"/>
        <v>0</v>
      </c>
      <c r="O86" s="659">
        <f>N86*'Facteurs conversion'!$C$6/1000/'Facteurs conversion'!$C$23^2*C86</f>
        <v>0</v>
      </c>
      <c r="P86" s="573">
        <f t="shared" si="28"/>
        <v>0</v>
      </c>
      <c r="Q86" s="573">
        <f>P86/'Facteurs conversion'!$C$11</f>
        <v>0</v>
      </c>
      <c r="R86" s="660">
        <f>Q86/Hypothèses!$D$166</f>
        <v>0</v>
      </c>
      <c r="S86" s="805">
        <f>C86/(1-Hypothèses!$D$265)*H86</f>
        <v>0</v>
      </c>
      <c r="X86" s="739">
        <v>4</v>
      </c>
      <c r="Y86" s="199"/>
      <c r="Z86"/>
      <c r="AA86"/>
      <c r="AB86"/>
      <c r="AC86" s="705"/>
      <c r="AD86" s="706"/>
    </row>
    <row r="87" spans="2:30">
      <c r="X87" s="739">
        <v>5</v>
      </c>
      <c r="Y87" s="199"/>
      <c r="Z87"/>
      <c r="AA87"/>
      <c r="AB87"/>
      <c r="AC87" s="705"/>
      <c r="AD87" s="706"/>
    </row>
    <row r="88" spans="2:30">
      <c r="X88" s="739">
        <v>6</v>
      </c>
      <c r="Y88" s="199"/>
      <c r="Z88"/>
      <c r="AA88"/>
      <c r="AB88"/>
      <c r="AC88" s="705"/>
      <c r="AD88" s="706"/>
    </row>
    <row r="89" spans="2:30">
      <c r="X89" s="739">
        <v>7</v>
      </c>
      <c r="Y89" s="199"/>
      <c r="Z89"/>
      <c r="AA89"/>
      <c r="AB89"/>
      <c r="AC89" s="705"/>
      <c r="AD89" s="706"/>
    </row>
    <row r="90" spans="2:30">
      <c r="X90" s="739">
        <v>8</v>
      </c>
      <c r="Y90" s="199"/>
      <c r="Z90"/>
      <c r="AA90"/>
      <c r="AB90"/>
      <c r="AC90" s="705"/>
      <c r="AD90" s="706"/>
    </row>
    <row r="91" spans="2:30">
      <c r="X91" s="739">
        <v>9</v>
      </c>
      <c r="Y91" s="199"/>
      <c r="Z91"/>
      <c r="AA91"/>
      <c r="AB91"/>
      <c r="AC91" s="705"/>
      <c r="AD91" s="706"/>
    </row>
    <row r="92" spans="2:30">
      <c r="X92" s="739">
        <v>10</v>
      </c>
      <c r="Y92" s="199"/>
      <c r="Z92"/>
      <c r="AA92"/>
      <c r="AB92"/>
      <c r="AC92" s="705"/>
      <c r="AD92" s="706"/>
    </row>
    <row r="93" spans="2:30">
      <c r="X93" s="739">
        <v>1</v>
      </c>
      <c r="Y93" s="199" t="e" cm="1" vm="1">
        <f t="array" ref="Y93">_xlfn._xlws.FILTER('Isolation - CAS 3'!N37:S46,'Isolation - CAS 3'!N37:N46&lt;&gt;"")</f>
        <v>#VALUE!</v>
      </c>
      <c r="Z93"/>
      <c r="AA93"/>
      <c r="AB93"/>
      <c r="AC93" s="705"/>
      <c r="AD93" s="706"/>
    </row>
    <row r="94" spans="2:30">
      <c r="X94" s="739">
        <v>2</v>
      </c>
      <c r="Y94" s="199"/>
      <c r="Z94"/>
      <c r="AA94"/>
      <c r="AB94"/>
      <c r="AC94" s="705"/>
      <c r="AD94" s="706"/>
    </row>
    <row r="95" spans="2:30">
      <c r="X95" s="739">
        <v>3</v>
      </c>
      <c r="Y95" s="199"/>
      <c r="Z95"/>
      <c r="AA95"/>
      <c r="AB95"/>
      <c r="AC95" s="705"/>
      <c r="AD95" s="706"/>
    </row>
    <row r="96" spans="2:30">
      <c r="X96" s="739">
        <v>4</v>
      </c>
      <c r="Y96" s="199"/>
      <c r="Z96"/>
      <c r="AA96"/>
      <c r="AB96"/>
      <c r="AC96" s="705"/>
      <c r="AD96" s="706"/>
    </row>
    <row r="97" spans="24:30">
      <c r="X97" s="739">
        <v>5</v>
      </c>
      <c r="Y97" s="199"/>
      <c r="Z97"/>
      <c r="AA97"/>
      <c r="AB97"/>
      <c r="AC97" s="705"/>
      <c r="AD97" s="706"/>
    </row>
    <row r="98" spans="24:30">
      <c r="X98" s="739">
        <v>6</v>
      </c>
      <c r="Y98" s="199"/>
      <c r="Z98"/>
      <c r="AA98"/>
      <c r="AB98"/>
      <c r="AC98" s="705"/>
      <c r="AD98" s="706"/>
    </row>
    <row r="99" spans="24:30">
      <c r="X99" s="739">
        <v>7</v>
      </c>
      <c r="Y99" s="199"/>
      <c r="Z99"/>
      <c r="AA99"/>
      <c r="AB99"/>
      <c r="AC99" s="705"/>
      <c r="AD99" s="706"/>
    </row>
    <row r="100" spans="24:30">
      <c r="X100" s="739">
        <v>8</v>
      </c>
      <c r="Y100" s="199"/>
      <c r="Z100"/>
      <c r="AA100"/>
      <c r="AB100"/>
      <c r="AC100" s="705"/>
      <c r="AD100" s="706"/>
    </row>
    <row r="101" spans="24:30">
      <c r="X101" s="739">
        <v>9</v>
      </c>
      <c r="Y101" s="199"/>
      <c r="Z101"/>
      <c r="AA101"/>
      <c r="AB101"/>
      <c r="AC101" s="705"/>
      <c r="AD101" s="706"/>
    </row>
    <row r="102" spans="24:30">
      <c r="X102" s="739">
        <v>10</v>
      </c>
      <c r="Y102" s="655"/>
      <c r="Z102" s="388"/>
      <c r="AA102" s="388"/>
      <c r="AB102" s="388"/>
      <c r="AC102" s="388"/>
      <c r="AD102" s="625"/>
    </row>
    <row r="104" spans="24:30">
      <c r="Y104" s="6" t="s">
        <v>1247</v>
      </c>
    </row>
    <row r="105" spans="24:30">
      <c r="Y105" s="1877" t="s">
        <v>923</v>
      </c>
      <c r="Z105" s="1877" t="s">
        <v>993</v>
      </c>
      <c r="AA105" s="1877" t="s">
        <v>925</v>
      </c>
      <c r="AB105" s="1877" t="s">
        <v>785</v>
      </c>
      <c r="AC105" s="1877" t="s">
        <v>991</v>
      </c>
      <c r="AD105" s="1879" t="s">
        <v>922</v>
      </c>
    </row>
    <row r="106" spans="24:30">
      <c r="Y106" s="1878"/>
      <c r="Z106" s="1878"/>
      <c r="AA106" s="1878"/>
      <c r="AB106" s="1878"/>
      <c r="AC106" s="1878"/>
      <c r="AD106" s="1880"/>
    </row>
    <row r="107" spans="24:30" ht="16.2">
      <c r="Y107" s="666"/>
      <c r="Z107" s="666" t="s">
        <v>1005</v>
      </c>
      <c r="AA107" s="666" t="s">
        <v>929</v>
      </c>
      <c r="AB107" s="666"/>
      <c r="AC107" s="667" t="s">
        <v>945</v>
      </c>
      <c r="AD107" s="668" t="s">
        <v>1001</v>
      </c>
    </row>
    <row r="108" spans="24:30">
      <c r="X108" s="739">
        <v>1</v>
      </c>
      <c r="Y108" s="199" t="e" cm="1" vm="1">
        <f t="array" ref="Y108">_xlfn._xlws.FILTER('Isolation - CAS 1'!N52:S61,'Isolation - CAS 1'!N52:N61&lt;&gt;"")</f>
        <v>#VALUE!</v>
      </c>
      <c r="Z108"/>
      <c r="AA108"/>
      <c r="AB108"/>
      <c r="AC108" s="705"/>
      <c r="AD108" s="706"/>
    </row>
    <row r="109" spans="24:30">
      <c r="X109" s="739">
        <v>2</v>
      </c>
      <c r="Y109" s="199"/>
      <c r="Z109"/>
      <c r="AA109"/>
      <c r="AB109"/>
      <c r="AC109" s="705"/>
      <c r="AD109" s="706"/>
    </row>
    <row r="110" spans="24:30">
      <c r="X110" s="739">
        <v>3</v>
      </c>
      <c r="Y110" s="199"/>
      <c r="Z110"/>
      <c r="AA110"/>
      <c r="AB110"/>
      <c r="AC110" s="705"/>
      <c r="AD110" s="706"/>
    </row>
    <row r="111" spans="24:30">
      <c r="X111" s="739">
        <v>4</v>
      </c>
      <c r="Y111" s="199"/>
      <c r="Z111"/>
      <c r="AA111"/>
      <c r="AB111"/>
      <c r="AC111" s="705"/>
      <c r="AD111" s="706"/>
    </row>
    <row r="112" spans="24:30">
      <c r="X112" s="739">
        <v>5</v>
      </c>
      <c r="Y112" s="199"/>
      <c r="Z112"/>
      <c r="AA112"/>
      <c r="AB112"/>
      <c r="AC112" s="705"/>
      <c r="AD112" s="706"/>
    </row>
    <row r="113" spans="24:30">
      <c r="X113" s="739">
        <v>6</v>
      </c>
      <c r="Y113" s="199"/>
      <c r="Z113"/>
      <c r="AA113"/>
      <c r="AB113"/>
      <c r="AC113" s="705"/>
      <c r="AD113" s="706"/>
    </row>
    <row r="114" spans="24:30">
      <c r="X114" s="739">
        <v>7</v>
      </c>
      <c r="Y114" s="199"/>
      <c r="Z114"/>
      <c r="AA114"/>
      <c r="AB114"/>
      <c r="AC114" s="705"/>
      <c r="AD114" s="706"/>
    </row>
    <row r="115" spans="24:30">
      <c r="X115" s="739">
        <v>8</v>
      </c>
      <c r="Y115" s="199"/>
      <c r="Z115"/>
      <c r="AA115"/>
      <c r="AB115"/>
      <c r="AC115" s="705"/>
      <c r="AD115" s="706"/>
    </row>
    <row r="116" spans="24:30">
      <c r="X116" s="739">
        <v>9</v>
      </c>
      <c r="Y116" s="199"/>
      <c r="Z116"/>
      <c r="AA116"/>
      <c r="AB116"/>
      <c r="AC116" s="705"/>
      <c r="AD116" s="706"/>
    </row>
    <row r="117" spans="24:30">
      <c r="X117" s="739">
        <v>10</v>
      </c>
      <c r="Y117" s="199"/>
      <c r="Z117"/>
      <c r="AA117"/>
      <c r="AB117"/>
      <c r="AC117" s="705"/>
      <c r="AD117" s="706"/>
    </row>
    <row r="118" spans="24:30">
      <c r="X118" s="739">
        <v>1</v>
      </c>
      <c r="Y118" s="199" t="e" cm="1" vm="1">
        <f t="array" ref="Y118">_xlfn._xlws.FILTER('Isolation - CAS 2'!N52:S61,'Isolation - CAS 2'!N52:N61&lt;&gt;"")</f>
        <v>#VALUE!</v>
      </c>
      <c r="Z118"/>
      <c r="AA118"/>
      <c r="AB118"/>
      <c r="AC118" s="705"/>
      <c r="AD118" s="706"/>
    </row>
    <row r="119" spans="24:30">
      <c r="X119" s="739">
        <v>2</v>
      </c>
      <c r="Y119" s="199"/>
      <c r="Z119"/>
      <c r="AA119"/>
      <c r="AB119"/>
      <c r="AC119" s="705"/>
      <c r="AD119" s="706"/>
    </row>
    <row r="120" spans="24:30">
      <c r="X120" s="739">
        <v>3</v>
      </c>
      <c r="Y120" s="199"/>
      <c r="Z120"/>
      <c r="AA120"/>
      <c r="AB120"/>
      <c r="AC120" s="705"/>
      <c r="AD120" s="706"/>
    </row>
    <row r="121" spans="24:30">
      <c r="X121" s="739">
        <v>4</v>
      </c>
      <c r="Y121" s="199"/>
      <c r="Z121"/>
      <c r="AA121"/>
      <c r="AB121"/>
      <c r="AC121" s="705"/>
      <c r="AD121" s="706"/>
    </row>
    <row r="122" spans="24:30">
      <c r="X122" s="739">
        <v>5</v>
      </c>
      <c r="Y122" s="199"/>
      <c r="Z122"/>
      <c r="AA122"/>
      <c r="AB122"/>
      <c r="AC122" s="705"/>
      <c r="AD122" s="706"/>
    </row>
    <row r="123" spans="24:30">
      <c r="X123" s="739">
        <v>6</v>
      </c>
      <c r="Y123" s="199"/>
      <c r="Z123"/>
      <c r="AA123"/>
      <c r="AB123"/>
      <c r="AC123" s="705"/>
      <c r="AD123" s="706"/>
    </row>
    <row r="124" spans="24:30">
      <c r="X124" s="739">
        <v>7</v>
      </c>
      <c r="Y124" s="199"/>
      <c r="Z124"/>
      <c r="AA124"/>
      <c r="AB124"/>
      <c r="AC124" s="705"/>
      <c r="AD124" s="706"/>
    </row>
    <row r="125" spans="24:30">
      <c r="X125" s="739">
        <v>8</v>
      </c>
      <c r="Y125" s="199"/>
      <c r="Z125"/>
      <c r="AA125"/>
      <c r="AB125"/>
      <c r="AC125" s="705"/>
      <c r="AD125" s="706"/>
    </row>
    <row r="126" spans="24:30">
      <c r="X126" s="739">
        <v>9</v>
      </c>
      <c r="Y126" s="199"/>
      <c r="Z126"/>
      <c r="AA126"/>
      <c r="AB126"/>
      <c r="AC126" s="705"/>
      <c r="AD126" s="706"/>
    </row>
    <row r="127" spans="24:30">
      <c r="X127" s="739">
        <v>10</v>
      </c>
      <c r="Y127" s="199"/>
      <c r="Z127"/>
      <c r="AA127"/>
      <c r="AB127"/>
      <c r="AC127" s="705"/>
      <c r="AD127" s="706"/>
    </row>
    <row r="128" spans="24:30">
      <c r="X128" s="739">
        <v>1</v>
      </c>
      <c r="Y128" s="199" t="e" cm="1" vm="1">
        <f t="array" ref="Y128">_xlfn._xlws.FILTER('Isolation - CAS 3'!N52:S61,'Isolation - CAS 3'!N52:N61&lt;&gt;"")</f>
        <v>#VALUE!</v>
      </c>
      <c r="Z128"/>
      <c r="AA128"/>
      <c r="AB128"/>
      <c r="AC128" s="705"/>
      <c r="AD128" s="706"/>
    </row>
    <row r="129" spans="24:30">
      <c r="X129" s="739">
        <v>2</v>
      </c>
      <c r="Y129" s="199"/>
      <c r="Z129"/>
      <c r="AA129"/>
      <c r="AB129"/>
      <c r="AC129" s="705"/>
      <c r="AD129" s="706"/>
    </row>
    <row r="130" spans="24:30">
      <c r="X130" s="739">
        <v>3</v>
      </c>
      <c r="Y130" s="199"/>
      <c r="Z130"/>
      <c r="AA130"/>
      <c r="AB130"/>
      <c r="AC130" s="705"/>
      <c r="AD130" s="706"/>
    </row>
    <row r="131" spans="24:30">
      <c r="X131" s="739">
        <v>4</v>
      </c>
      <c r="Y131" s="199"/>
      <c r="Z131"/>
      <c r="AA131"/>
      <c r="AB131"/>
      <c r="AC131" s="705"/>
      <c r="AD131" s="706"/>
    </row>
    <row r="132" spans="24:30">
      <c r="X132" s="739">
        <v>5</v>
      </c>
      <c r="Y132" s="199"/>
      <c r="Z132"/>
      <c r="AA132"/>
      <c r="AB132"/>
      <c r="AC132" s="705"/>
      <c r="AD132" s="706"/>
    </row>
    <row r="133" spans="24:30">
      <c r="X133" s="739">
        <v>6</v>
      </c>
      <c r="Y133" s="199"/>
      <c r="Z133"/>
      <c r="AA133"/>
      <c r="AB133"/>
      <c r="AC133" s="705"/>
      <c r="AD133" s="706"/>
    </row>
    <row r="134" spans="24:30">
      <c r="X134" s="739">
        <v>7</v>
      </c>
      <c r="Y134" s="199"/>
      <c r="Z134"/>
      <c r="AA134"/>
      <c r="AB134"/>
      <c r="AC134" s="705"/>
      <c r="AD134" s="706"/>
    </row>
    <row r="135" spans="24:30">
      <c r="X135" s="739">
        <v>8</v>
      </c>
      <c r="Y135" s="199"/>
      <c r="Z135"/>
      <c r="AA135"/>
      <c r="AB135"/>
      <c r="AC135" s="705"/>
      <c r="AD135" s="706"/>
    </row>
    <row r="136" spans="24:30">
      <c r="X136" s="739">
        <v>9</v>
      </c>
      <c r="Y136" s="199"/>
      <c r="Z136"/>
      <c r="AA136"/>
      <c r="AB136"/>
      <c r="AC136" s="705"/>
      <c r="AD136" s="706"/>
    </row>
    <row r="137" spans="24:30">
      <c r="X137" s="739">
        <v>10</v>
      </c>
      <c r="Y137" s="655"/>
      <c r="Z137" s="388"/>
      <c r="AA137" s="388"/>
      <c r="AB137" s="388"/>
      <c r="AC137" s="388"/>
      <c r="AD137" s="625"/>
    </row>
    <row r="139" spans="24:30">
      <c r="Y139" s="6" t="s">
        <v>1248</v>
      </c>
    </row>
    <row r="140" spans="24:30">
      <c r="Y140" s="1877" t="s">
        <v>923</v>
      </c>
      <c r="Z140" s="1877" t="s">
        <v>993</v>
      </c>
      <c r="AA140" s="1877" t="s">
        <v>925</v>
      </c>
      <c r="AB140" s="1877" t="s">
        <v>785</v>
      </c>
      <c r="AC140" s="1877" t="s">
        <v>991</v>
      </c>
      <c r="AD140" s="1879" t="s">
        <v>922</v>
      </c>
    </row>
    <row r="141" spans="24:30">
      <c r="Y141" s="1878"/>
      <c r="Z141" s="1878"/>
      <c r="AA141" s="1878"/>
      <c r="AB141" s="1878"/>
      <c r="AC141" s="1878"/>
      <c r="AD141" s="1880"/>
    </row>
    <row r="142" spans="24:30" ht="16.2">
      <c r="Y142" s="666"/>
      <c r="Z142" s="666" t="s">
        <v>1005</v>
      </c>
      <c r="AA142" s="666" t="s">
        <v>929</v>
      </c>
      <c r="AB142" s="666"/>
      <c r="AC142" s="667" t="s">
        <v>945</v>
      </c>
      <c r="AD142" s="668" t="s">
        <v>1001</v>
      </c>
    </row>
    <row r="143" spans="24:30">
      <c r="X143" s="739">
        <v>1</v>
      </c>
      <c r="Y143" s="199" t="e" cm="1" vm="1">
        <f t="array" ref="Y143">_xlfn._xlws.FILTER('Isolation - CAS 1'!N67:S76,'Isolation - CAS 1'!N67:N76&lt;&gt;"")</f>
        <v>#VALUE!</v>
      </c>
      <c r="Z143"/>
      <c r="AA143"/>
      <c r="AB143"/>
      <c r="AC143" s="705"/>
      <c r="AD143" s="706"/>
    </row>
    <row r="144" spans="24:30">
      <c r="X144" s="739">
        <v>2</v>
      </c>
      <c r="Y144" s="199"/>
      <c r="Z144"/>
      <c r="AA144"/>
      <c r="AB144"/>
      <c r="AC144" s="705"/>
      <c r="AD144" s="706"/>
    </row>
    <row r="145" spans="24:30">
      <c r="X145" s="739">
        <v>3</v>
      </c>
      <c r="Y145" s="199"/>
      <c r="Z145"/>
      <c r="AA145"/>
      <c r="AB145"/>
      <c r="AC145" s="705"/>
      <c r="AD145" s="706"/>
    </row>
    <row r="146" spans="24:30">
      <c r="X146" s="739">
        <v>4</v>
      </c>
      <c r="Y146" s="199"/>
      <c r="Z146"/>
      <c r="AA146"/>
      <c r="AB146"/>
      <c r="AC146" s="705"/>
      <c r="AD146" s="706"/>
    </row>
    <row r="147" spans="24:30">
      <c r="X147" s="739">
        <v>5</v>
      </c>
      <c r="Y147" s="199"/>
      <c r="Z147"/>
      <c r="AA147"/>
      <c r="AB147"/>
      <c r="AC147" s="705"/>
      <c r="AD147" s="706"/>
    </row>
    <row r="148" spans="24:30">
      <c r="X148" s="739">
        <v>6</v>
      </c>
      <c r="Y148" s="199"/>
      <c r="Z148"/>
      <c r="AA148"/>
      <c r="AB148"/>
      <c r="AC148" s="705"/>
      <c r="AD148" s="706"/>
    </row>
    <row r="149" spans="24:30">
      <c r="X149" s="739">
        <v>7</v>
      </c>
      <c r="Y149" s="199"/>
      <c r="Z149"/>
      <c r="AA149"/>
      <c r="AB149"/>
      <c r="AC149" s="705"/>
      <c r="AD149" s="706"/>
    </row>
    <row r="150" spans="24:30">
      <c r="X150" s="739">
        <v>8</v>
      </c>
      <c r="Y150" s="199"/>
      <c r="Z150"/>
      <c r="AA150"/>
      <c r="AB150"/>
      <c r="AC150" s="705"/>
      <c r="AD150" s="706"/>
    </row>
    <row r="151" spans="24:30">
      <c r="X151" s="739">
        <v>9</v>
      </c>
      <c r="Y151" s="199"/>
      <c r="Z151"/>
      <c r="AA151"/>
      <c r="AB151"/>
      <c r="AC151" s="705"/>
      <c r="AD151" s="706"/>
    </row>
    <row r="152" spans="24:30">
      <c r="X152" s="739">
        <v>10</v>
      </c>
      <c r="Y152" s="199"/>
      <c r="Z152"/>
      <c r="AA152"/>
      <c r="AB152"/>
      <c r="AC152" s="705"/>
      <c r="AD152" s="706"/>
    </row>
    <row r="153" spans="24:30">
      <c r="X153" s="739">
        <v>1</v>
      </c>
      <c r="Y153" s="199" t="e" cm="1" vm="1">
        <f t="array" ref="Y153">_xlfn._xlws.FILTER('Isolation - CAS 2'!N67:S76,'Isolation - CAS 2'!N67:N76&lt;&gt;"")</f>
        <v>#VALUE!</v>
      </c>
      <c r="Z153"/>
      <c r="AA153"/>
      <c r="AB153"/>
      <c r="AC153" s="705"/>
      <c r="AD153" s="706"/>
    </row>
    <row r="154" spans="24:30">
      <c r="X154" s="739">
        <v>2</v>
      </c>
      <c r="Y154" s="199"/>
      <c r="Z154"/>
      <c r="AA154"/>
      <c r="AB154"/>
      <c r="AC154" s="705"/>
      <c r="AD154" s="706"/>
    </row>
    <row r="155" spans="24:30">
      <c r="X155" s="739">
        <v>3</v>
      </c>
      <c r="Y155" s="199"/>
      <c r="Z155"/>
      <c r="AA155"/>
      <c r="AB155"/>
      <c r="AC155" s="705"/>
      <c r="AD155" s="706"/>
    </row>
    <row r="156" spans="24:30">
      <c r="X156" s="739">
        <v>4</v>
      </c>
      <c r="Y156" s="199"/>
      <c r="Z156"/>
      <c r="AA156"/>
      <c r="AB156"/>
      <c r="AC156" s="705"/>
      <c r="AD156" s="706"/>
    </row>
    <row r="157" spans="24:30">
      <c r="X157" s="739">
        <v>5</v>
      </c>
      <c r="Y157" s="199"/>
      <c r="Z157"/>
      <c r="AA157"/>
      <c r="AB157"/>
      <c r="AC157" s="705"/>
      <c r="AD157" s="706"/>
    </row>
    <row r="158" spans="24:30">
      <c r="X158" s="739">
        <v>6</v>
      </c>
      <c r="Y158" s="199"/>
      <c r="Z158"/>
      <c r="AA158"/>
      <c r="AB158"/>
      <c r="AC158" s="705"/>
      <c r="AD158" s="706"/>
    </row>
    <row r="159" spans="24:30">
      <c r="X159" s="739">
        <v>7</v>
      </c>
      <c r="Y159" s="199"/>
      <c r="Z159"/>
      <c r="AA159"/>
      <c r="AB159"/>
      <c r="AC159" s="705"/>
      <c r="AD159" s="706"/>
    </row>
    <row r="160" spans="24:30">
      <c r="X160" s="739">
        <v>8</v>
      </c>
      <c r="Y160" s="199"/>
      <c r="Z160"/>
      <c r="AA160"/>
      <c r="AB160"/>
      <c r="AC160" s="705"/>
      <c r="AD160" s="706"/>
    </row>
    <row r="161" spans="24:30">
      <c r="X161" s="739">
        <v>9</v>
      </c>
      <c r="Y161" s="199"/>
      <c r="Z161"/>
      <c r="AA161"/>
      <c r="AB161"/>
      <c r="AC161" s="705"/>
      <c r="AD161" s="706"/>
    </row>
    <row r="162" spans="24:30">
      <c r="X162" s="739">
        <v>10</v>
      </c>
      <c r="Y162" s="199"/>
      <c r="Z162"/>
      <c r="AA162"/>
      <c r="AB162"/>
      <c r="AC162" s="705"/>
      <c r="AD162" s="706"/>
    </row>
    <row r="163" spans="24:30">
      <c r="X163" s="739">
        <v>1</v>
      </c>
      <c r="Y163" s="199" t="e" cm="1" vm="1">
        <f t="array" ref="Y163">_xlfn._xlws.FILTER('Isolation - CAS 3'!N67:S76,'Isolation - CAS 3'!S67:S76&lt;&gt;"")</f>
        <v>#VALUE!</v>
      </c>
      <c r="Z163"/>
      <c r="AA163"/>
      <c r="AB163"/>
      <c r="AC163" s="705"/>
      <c r="AD163" s="706"/>
    </row>
    <row r="164" spans="24:30">
      <c r="X164" s="739">
        <v>2</v>
      </c>
      <c r="Y164" s="199"/>
      <c r="Z164"/>
      <c r="AA164"/>
      <c r="AB164"/>
      <c r="AC164" s="705"/>
      <c r="AD164" s="706"/>
    </row>
    <row r="165" spans="24:30">
      <c r="X165" s="739">
        <v>3</v>
      </c>
      <c r="Y165" s="199"/>
      <c r="Z165"/>
      <c r="AA165"/>
      <c r="AB165"/>
      <c r="AC165" s="705"/>
      <c r="AD165" s="706"/>
    </row>
    <row r="166" spans="24:30">
      <c r="X166" s="739">
        <v>4</v>
      </c>
      <c r="Y166" s="199"/>
      <c r="Z166"/>
      <c r="AA166"/>
      <c r="AB166"/>
      <c r="AC166" s="705"/>
      <c r="AD166" s="706"/>
    </row>
    <row r="167" spans="24:30">
      <c r="X167" s="739">
        <v>5</v>
      </c>
      <c r="Y167" s="199"/>
      <c r="Z167"/>
      <c r="AA167"/>
      <c r="AB167"/>
      <c r="AC167" s="705"/>
      <c r="AD167" s="706"/>
    </row>
    <row r="168" spans="24:30">
      <c r="X168" s="739">
        <v>6</v>
      </c>
      <c r="Y168" s="199"/>
      <c r="Z168"/>
      <c r="AA168"/>
      <c r="AB168"/>
      <c r="AC168" s="705"/>
      <c r="AD168" s="706"/>
    </row>
    <row r="169" spans="24:30">
      <c r="X169" s="739">
        <v>7</v>
      </c>
      <c r="Y169" s="199"/>
      <c r="Z169"/>
      <c r="AA169"/>
      <c r="AB169"/>
      <c r="AC169" s="705"/>
      <c r="AD169" s="706"/>
    </row>
    <row r="170" spans="24:30">
      <c r="X170" s="739">
        <v>8</v>
      </c>
      <c r="Y170" s="199"/>
      <c r="Z170"/>
      <c r="AA170"/>
      <c r="AB170"/>
      <c r="AC170" s="705"/>
      <c r="AD170" s="706"/>
    </row>
    <row r="171" spans="24:30">
      <c r="X171" s="739">
        <v>9</v>
      </c>
      <c r="Y171" s="199"/>
      <c r="Z171"/>
      <c r="AA171"/>
      <c r="AB171"/>
      <c r="AC171" s="705"/>
      <c r="AD171" s="706"/>
    </row>
    <row r="172" spans="24:30">
      <c r="X172" s="739">
        <v>10</v>
      </c>
      <c r="Y172" s="655"/>
      <c r="Z172" s="388"/>
      <c r="AA172" s="388"/>
      <c r="AB172" s="388"/>
      <c r="AC172" s="388"/>
      <c r="AD172" s="625"/>
    </row>
    <row r="174" spans="24:30">
      <c r="Y174" s="6" t="s">
        <v>1252</v>
      </c>
    </row>
    <row r="175" spans="24:30">
      <c r="Y175" s="1877" t="s">
        <v>923</v>
      </c>
      <c r="Z175" s="1877" t="s">
        <v>993</v>
      </c>
      <c r="AA175" s="1877" t="s">
        <v>925</v>
      </c>
      <c r="AB175" s="1877" t="s">
        <v>785</v>
      </c>
      <c r="AC175" s="1877" t="s">
        <v>991</v>
      </c>
      <c r="AD175" s="1879" t="s">
        <v>922</v>
      </c>
    </row>
    <row r="176" spans="24:30">
      <c r="Y176" s="1878"/>
      <c r="Z176" s="1878"/>
      <c r="AA176" s="1878"/>
      <c r="AB176" s="1878"/>
      <c r="AC176" s="1878"/>
      <c r="AD176" s="1880"/>
    </row>
    <row r="177" spans="24:30" ht="16.2">
      <c r="Y177" s="666"/>
      <c r="Z177" s="666" t="s">
        <v>1005</v>
      </c>
      <c r="AA177" s="666" t="s">
        <v>929</v>
      </c>
      <c r="AB177" s="666"/>
      <c r="AC177" s="667" t="s">
        <v>945</v>
      </c>
      <c r="AD177" s="668" t="s">
        <v>1001</v>
      </c>
    </row>
    <row r="178" spans="24:30">
      <c r="X178" s="739">
        <v>1</v>
      </c>
      <c r="Y178" s="199" t="e" cm="1" vm="1">
        <f t="array" ref="Y178">_xlfn._xlws.FILTER('Isolation - CAS 1'!N82:S91,'Isolation - CAS 1'!N82:N91&lt;&gt;"")</f>
        <v>#VALUE!</v>
      </c>
      <c r="Z178"/>
      <c r="AA178"/>
      <c r="AB178"/>
      <c r="AC178" s="705"/>
      <c r="AD178" s="706"/>
    </row>
    <row r="179" spans="24:30">
      <c r="X179" s="739">
        <v>2</v>
      </c>
      <c r="Y179" s="199"/>
      <c r="Z179"/>
      <c r="AA179"/>
      <c r="AB179"/>
      <c r="AC179" s="705"/>
      <c r="AD179" s="706"/>
    </row>
    <row r="180" spans="24:30">
      <c r="X180" s="739">
        <v>3</v>
      </c>
      <c r="Y180" s="199"/>
      <c r="Z180"/>
      <c r="AA180"/>
      <c r="AB180"/>
      <c r="AC180" s="705"/>
      <c r="AD180" s="706"/>
    </row>
    <row r="181" spans="24:30">
      <c r="X181" s="739">
        <v>4</v>
      </c>
      <c r="Y181" s="199"/>
      <c r="Z181"/>
      <c r="AA181"/>
      <c r="AB181"/>
      <c r="AC181" s="705"/>
      <c r="AD181" s="706"/>
    </row>
    <row r="182" spans="24:30">
      <c r="X182" s="739">
        <v>5</v>
      </c>
      <c r="Y182" s="199"/>
      <c r="Z182"/>
      <c r="AA182"/>
      <c r="AB182"/>
      <c r="AC182" s="705"/>
      <c r="AD182" s="706"/>
    </row>
    <row r="183" spans="24:30">
      <c r="X183" s="739">
        <v>6</v>
      </c>
      <c r="Y183" s="199"/>
      <c r="Z183"/>
      <c r="AA183"/>
      <c r="AB183"/>
      <c r="AC183" s="705"/>
      <c r="AD183" s="706"/>
    </row>
    <row r="184" spans="24:30">
      <c r="X184" s="739">
        <v>7</v>
      </c>
      <c r="Y184" s="199"/>
      <c r="Z184"/>
      <c r="AA184"/>
      <c r="AB184"/>
      <c r="AC184" s="705"/>
      <c r="AD184" s="706"/>
    </row>
    <row r="185" spans="24:30">
      <c r="X185" s="739">
        <v>8</v>
      </c>
      <c r="Y185" s="199"/>
      <c r="Z185"/>
      <c r="AA185"/>
      <c r="AB185"/>
      <c r="AC185" s="705"/>
      <c r="AD185" s="706"/>
    </row>
    <row r="186" spans="24:30">
      <c r="X186" s="739">
        <v>9</v>
      </c>
      <c r="Y186" s="199"/>
      <c r="Z186"/>
      <c r="AA186"/>
      <c r="AB186"/>
      <c r="AC186" s="705"/>
      <c r="AD186" s="706"/>
    </row>
    <row r="187" spans="24:30">
      <c r="X187" s="739">
        <v>10</v>
      </c>
      <c r="Y187" s="199"/>
      <c r="Z187"/>
      <c r="AA187"/>
      <c r="AB187"/>
      <c r="AC187" s="705"/>
      <c r="AD187" s="706"/>
    </row>
    <row r="188" spans="24:30">
      <c r="X188" s="739">
        <v>1</v>
      </c>
      <c r="Y188" s="199" t="e" cm="1" vm="1">
        <f t="array" ref="Y188">_xlfn._xlws.FILTER('Isolation - CAS 2'!N82:S91,'Isolation - CAS 2'!N82:N91&lt;&gt;"")</f>
        <v>#VALUE!</v>
      </c>
      <c r="Z188"/>
      <c r="AA188"/>
      <c r="AB188"/>
      <c r="AC188" s="705"/>
      <c r="AD188" s="706"/>
    </row>
    <row r="189" spans="24:30">
      <c r="X189" s="739">
        <v>2</v>
      </c>
      <c r="Y189" s="199"/>
      <c r="Z189"/>
      <c r="AA189"/>
      <c r="AB189"/>
      <c r="AC189" s="705"/>
      <c r="AD189" s="706"/>
    </row>
    <row r="190" spans="24:30">
      <c r="X190" s="739">
        <v>3</v>
      </c>
      <c r="Y190" s="199"/>
      <c r="Z190"/>
      <c r="AA190"/>
      <c r="AB190"/>
      <c r="AC190" s="705"/>
      <c r="AD190" s="706"/>
    </row>
    <row r="191" spans="24:30">
      <c r="X191" s="739">
        <v>4</v>
      </c>
      <c r="Y191" s="199"/>
      <c r="Z191"/>
      <c r="AA191"/>
      <c r="AB191"/>
      <c r="AC191" s="705"/>
      <c r="AD191" s="706"/>
    </row>
    <row r="192" spans="24:30">
      <c r="X192" s="739">
        <v>5</v>
      </c>
      <c r="Y192" s="199"/>
      <c r="Z192"/>
      <c r="AA192"/>
      <c r="AB192"/>
      <c r="AC192" s="705"/>
      <c r="AD192" s="706"/>
    </row>
    <row r="193" spans="24:30">
      <c r="X193" s="739">
        <v>6</v>
      </c>
      <c r="Y193" s="199"/>
      <c r="Z193"/>
      <c r="AA193"/>
      <c r="AB193"/>
      <c r="AC193" s="705"/>
      <c r="AD193" s="706"/>
    </row>
    <row r="194" spans="24:30">
      <c r="X194" s="739">
        <v>7</v>
      </c>
      <c r="Y194" s="199"/>
      <c r="Z194"/>
      <c r="AA194"/>
      <c r="AB194"/>
      <c r="AC194" s="705"/>
      <c r="AD194" s="706"/>
    </row>
    <row r="195" spans="24:30">
      <c r="X195" s="739">
        <v>8</v>
      </c>
      <c r="Y195" s="199"/>
      <c r="Z195"/>
      <c r="AA195"/>
      <c r="AB195"/>
      <c r="AC195" s="705"/>
      <c r="AD195" s="706"/>
    </row>
    <row r="196" spans="24:30">
      <c r="X196" s="739">
        <v>9</v>
      </c>
      <c r="Y196" s="199"/>
      <c r="Z196"/>
      <c r="AA196"/>
      <c r="AB196"/>
      <c r="AC196" s="705"/>
      <c r="AD196" s="706"/>
    </row>
    <row r="197" spans="24:30">
      <c r="X197" s="739">
        <v>10</v>
      </c>
      <c r="Y197" s="199"/>
      <c r="Z197"/>
      <c r="AA197"/>
      <c r="AB197"/>
      <c r="AC197" s="705"/>
      <c r="AD197" s="706"/>
    </row>
    <row r="198" spans="24:30">
      <c r="X198" s="739">
        <v>1</v>
      </c>
      <c r="Y198" s="199" t="e" cm="1" vm="1">
        <f t="array" ref="Y198">_xlfn._xlws.FILTER('Isolation - CAS 3'!N82:S91,'Isolation - CAS 3'!S82:S91&lt;&gt;"")</f>
        <v>#VALUE!</v>
      </c>
      <c r="Z198"/>
      <c r="AA198"/>
      <c r="AB198"/>
      <c r="AC198" s="705"/>
      <c r="AD198" s="706"/>
    </row>
    <row r="199" spans="24:30">
      <c r="X199" s="739">
        <v>2</v>
      </c>
      <c r="Y199" s="199"/>
      <c r="Z199"/>
      <c r="AA199"/>
      <c r="AB199"/>
      <c r="AC199" s="705"/>
      <c r="AD199" s="706"/>
    </row>
    <row r="200" spans="24:30">
      <c r="X200" s="739">
        <v>3</v>
      </c>
      <c r="Y200" s="199"/>
      <c r="Z200"/>
      <c r="AA200"/>
      <c r="AB200"/>
      <c r="AC200" s="705"/>
      <c r="AD200" s="706"/>
    </row>
    <row r="201" spans="24:30">
      <c r="X201" s="739">
        <v>4</v>
      </c>
      <c r="Y201" s="199"/>
      <c r="Z201"/>
      <c r="AA201"/>
      <c r="AB201"/>
      <c r="AC201" s="705"/>
      <c r="AD201" s="706"/>
    </row>
    <row r="202" spans="24:30">
      <c r="X202" s="739">
        <v>5</v>
      </c>
      <c r="Y202" s="199"/>
      <c r="Z202"/>
      <c r="AA202"/>
      <c r="AB202"/>
      <c r="AC202" s="705"/>
      <c r="AD202" s="706"/>
    </row>
    <row r="203" spans="24:30">
      <c r="X203" s="739">
        <v>6</v>
      </c>
      <c r="Y203" s="199"/>
      <c r="Z203"/>
      <c r="AA203"/>
      <c r="AB203"/>
      <c r="AC203" s="705"/>
      <c r="AD203" s="706"/>
    </row>
    <row r="204" spans="24:30">
      <c r="X204" s="739">
        <v>7</v>
      </c>
      <c r="Y204" s="199"/>
      <c r="Z204"/>
      <c r="AA204"/>
      <c r="AB204"/>
      <c r="AC204" s="705"/>
      <c r="AD204" s="706"/>
    </row>
    <row r="205" spans="24:30">
      <c r="X205" s="739">
        <v>8</v>
      </c>
      <c r="Y205" s="199"/>
      <c r="Z205"/>
      <c r="AA205"/>
      <c r="AB205"/>
      <c r="AC205" s="705"/>
      <c r="AD205" s="706"/>
    </row>
    <row r="206" spans="24:30">
      <c r="X206" s="739">
        <v>9</v>
      </c>
      <c r="Y206" s="199"/>
      <c r="Z206"/>
      <c r="AA206"/>
      <c r="AB206"/>
      <c r="AC206" s="705"/>
      <c r="AD206" s="706"/>
    </row>
    <row r="207" spans="24:30">
      <c r="X207" s="739">
        <v>10</v>
      </c>
      <c r="Y207" s="655"/>
      <c r="Z207" s="388"/>
      <c r="AA207" s="388"/>
      <c r="AB207" s="388"/>
      <c r="AC207" s="388"/>
      <c r="AD207" s="625"/>
    </row>
  </sheetData>
  <mergeCells count="74">
    <mergeCell ref="AD175:AD176"/>
    <mergeCell ref="Y175:Y176"/>
    <mergeCell ref="Z175:Z176"/>
    <mergeCell ref="AA175:AA176"/>
    <mergeCell ref="AB175:AB176"/>
    <mergeCell ref="AC175:AC176"/>
    <mergeCell ref="AD140:AD141"/>
    <mergeCell ref="B75:B76"/>
    <mergeCell ref="E75:E76"/>
    <mergeCell ref="F75:F76"/>
    <mergeCell ref="G75:G76"/>
    <mergeCell ref="H75:H76"/>
    <mergeCell ref="J75:M75"/>
    <mergeCell ref="N75:O75"/>
    <mergeCell ref="J76:K76"/>
    <mergeCell ref="L76:M76"/>
    <mergeCell ref="Y140:Y141"/>
    <mergeCell ref="Z140:Z141"/>
    <mergeCell ref="AA140:AA141"/>
    <mergeCell ref="AB140:AB141"/>
    <mergeCell ref="AC140:AC141"/>
    <mergeCell ref="AD105:AD106"/>
    <mergeCell ref="B60:B61"/>
    <mergeCell ref="E60:E61"/>
    <mergeCell ref="F60:F61"/>
    <mergeCell ref="G60:G61"/>
    <mergeCell ref="H60:H61"/>
    <mergeCell ref="Y105:Y106"/>
    <mergeCell ref="Z105:Z106"/>
    <mergeCell ref="AA105:AA106"/>
    <mergeCell ref="AB105:AB106"/>
    <mergeCell ref="AC105:AC106"/>
    <mergeCell ref="B45:B46"/>
    <mergeCell ref="E45:E46"/>
    <mergeCell ref="F45:F46"/>
    <mergeCell ref="G45:G46"/>
    <mergeCell ref="H45:H46"/>
    <mergeCell ref="Z5:Z6"/>
    <mergeCell ref="AA5:AA6"/>
    <mergeCell ref="AB5:AB6"/>
    <mergeCell ref="AC5:AC6"/>
    <mergeCell ref="AD5:AD6"/>
    <mergeCell ref="J5:K5"/>
    <mergeCell ref="N5:O5"/>
    <mergeCell ref="B5:B6"/>
    <mergeCell ref="E5:E6"/>
    <mergeCell ref="Y5:Y6"/>
    <mergeCell ref="F5:F6"/>
    <mergeCell ref="G5:G6"/>
    <mergeCell ref="H5:H6"/>
    <mergeCell ref="S5:V5"/>
    <mergeCell ref="B30:B31"/>
    <mergeCell ref="E30:E31"/>
    <mergeCell ref="F30:F31"/>
    <mergeCell ref="G30:G31"/>
    <mergeCell ref="H30:H31"/>
    <mergeCell ref="J30:M30"/>
    <mergeCell ref="N30:O30"/>
    <mergeCell ref="J31:K31"/>
    <mergeCell ref="L31:M31"/>
    <mergeCell ref="Y70:Y71"/>
    <mergeCell ref="N45:O45"/>
    <mergeCell ref="L46:M46"/>
    <mergeCell ref="J46:K46"/>
    <mergeCell ref="J45:M45"/>
    <mergeCell ref="J60:M60"/>
    <mergeCell ref="N60:O60"/>
    <mergeCell ref="J61:K61"/>
    <mergeCell ref="L61:M61"/>
    <mergeCell ref="Z70:Z71"/>
    <mergeCell ref="AA70:AA71"/>
    <mergeCell ref="AB70:AB71"/>
    <mergeCell ref="AC70:AC71"/>
    <mergeCell ref="AD70:AD71"/>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E8D5-E580-4259-8E6B-5EEFBD995904}">
  <sheetPr codeName="Feuil7">
    <tabColor theme="7" tint="0.39997558519241921"/>
  </sheetPr>
  <dimension ref="A1:AQ110"/>
  <sheetViews>
    <sheetView topLeftCell="A45" workbookViewId="0">
      <selection activeCell="E14" sqref="E14:I14"/>
    </sheetView>
  </sheetViews>
  <sheetFormatPr baseColWidth="10" defaultColWidth="9.21875" defaultRowHeight="14.4"/>
  <cols>
    <col min="1" max="1" width="4.21875" style="592" customWidth="1"/>
    <col min="2" max="2" width="12.21875" customWidth="1"/>
    <col min="3" max="4" width="10.5546875" customWidth="1"/>
    <col min="5" max="5" width="13.77734375" bestFit="1" customWidth="1"/>
    <col min="13" max="13" width="9.5546875" bestFit="1" customWidth="1"/>
    <col min="14" max="14" width="16.44140625" bestFit="1" customWidth="1"/>
    <col min="15" max="15" width="11.5546875" customWidth="1"/>
    <col min="16" max="16" width="10.77734375" customWidth="1"/>
    <col min="17" max="17" width="28.5546875" customWidth="1"/>
    <col min="18" max="18" width="11.5546875" customWidth="1"/>
    <col min="19" max="19" width="12.21875" customWidth="1"/>
    <col min="21" max="21" width="4.77734375" customWidth="1"/>
    <col min="22" max="22" width="8.77734375" customWidth="1"/>
    <col min="23" max="23" width="11" customWidth="1"/>
    <col min="24" max="24" width="10.5546875" bestFit="1" customWidth="1"/>
    <col min="33" max="33" width="12.77734375" customWidth="1"/>
    <col min="43" max="43" width="10.77734375" customWidth="1"/>
  </cols>
  <sheetData>
    <row r="1" spans="1:43" ht="36.6">
      <c r="A1" s="787"/>
      <c r="B1" s="741" t="s">
        <v>1149</v>
      </c>
      <c r="C1" s="584"/>
      <c r="D1" s="584"/>
      <c r="E1" s="584"/>
      <c r="F1" s="584"/>
      <c r="G1" s="584"/>
      <c r="H1" s="584"/>
      <c r="I1" s="176"/>
    </row>
    <row r="2" spans="1:43" ht="18">
      <c r="A2" s="583"/>
      <c r="B2" s="676"/>
      <c r="C2" s="584"/>
      <c r="D2" s="584"/>
      <c r="E2" s="584"/>
      <c r="F2" s="584"/>
      <c r="G2" s="584"/>
      <c r="H2" s="584"/>
      <c r="I2" s="176"/>
    </row>
    <row r="3" spans="1:43" ht="12.75" customHeight="1">
      <c r="A3" s="585"/>
      <c r="B3" s="1895" t="s">
        <v>937</v>
      </c>
      <c r="C3" s="1895"/>
      <c r="D3" s="1895"/>
      <c r="E3" s="1895"/>
      <c r="F3" s="1895"/>
      <c r="G3" s="1895"/>
      <c r="H3" s="1895"/>
      <c r="I3" s="1895"/>
      <c r="J3" s="1895"/>
      <c r="K3" s="1895"/>
      <c r="L3" s="1895"/>
      <c r="M3" s="1895"/>
      <c r="N3" s="1895"/>
      <c r="O3" s="1895"/>
      <c r="P3" s="1895"/>
      <c r="Q3" s="1895"/>
      <c r="R3" s="1895"/>
      <c r="S3" s="1895"/>
      <c r="T3" s="1895"/>
      <c r="U3" s="1895"/>
      <c r="V3" s="1895"/>
      <c r="W3" s="1895"/>
      <c r="X3" s="1895"/>
      <c r="Y3" s="1895"/>
      <c r="Z3" s="1895"/>
    </row>
    <row r="4" spans="1:43" ht="12.75" customHeight="1">
      <c r="A4" s="585"/>
      <c r="B4" s="609"/>
      <c r="C4" s="609"/>
      <c r="D4" s="609"/>
      <c r="E4" s="609"/>
      <c r="F4" s="609"/>
      <c r="G4" s="609"/>
      <c r="H4" s="609"/>
      <c r="I4" s="609"/>
      <c r="J4" s="609"/>
      <c r="K4" s="609"/>
      <c r="L4" s="604"/>
    </row>
    <row r="5" spans="1:43" ht="27" customHeight="1" thickBot="1">
      <c r="A5" s="585"/>
      <c r="B5" s="631" t="s">
        <v>921</v>
      </c>
      <c r="C5" s="630"/>
      <c r="D5" s="630"/>
      <c r="E5" s="630"/>
      <c r="F5" s="630"/>
      <c r="G5" s="630"/>
      <c r="H5" s="630"/>
      <c r="I5" s="630"/>
      <c r="J5" s="630"/>
      <c r="K5" s="630"/>
      <c r="L5" s="604"/>
      <c r="N5" s="631" t="s">
        <v>931</v>
      </c>
      <c r="O5" s="675"/>
      <c r="P5" s="675"/>
      <c r="Q5" s="675"/>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row>
    <row r="6" spans="1:43" ht="12.75" customHeight="1">
      <c r="A6" s="585"/>
      <c r="B6" s="609"/>
      <c r="C6" s="609"/>
      <c r="D6" s="609"/>
      <c r="E6" s="609"/>
      <c r="F6" s="609"/>
      <c r="G6" s="609"/>
      <c r="H6" s="609"/>
      <c r="I6" s="609"/>
      <c r="J6" s="609"/>
      <c r="K6" s="609"/>
      <c r="L6" s="604"/>
      <c r="N6" s="614" t="s">
        <v>932</v>
      </c>
      <c r="O6" s="615" t="s">
        <v>933</v>
      </c>
      <c r="P6" s="674" t="s">
        <v>1482</v>
      </c>
      <c r="Q6" s="615"/>
      <c r="R6" s="615" t="s">
        <v>927</v>
      </c>
      <c r="S6" s="616"/>
      <c r="T6" s="617">
        <v>0</v>
      </c>
      <c r="U6" s="618" t="s">
        <v>794</v>
      </c>
    </row>
    <row r="7" spans="1:43" ht="15" thickBot="1">
      <c r="B7" s="1892" t="s">
        <v>936</v>
      </c>
      <c r="C7" s="1892"/>
      <c r="D7" s="1892"/>
      <c r="E7" s="1892"/>
      <c r="F7" s="1892"/>
      <c r="G7" s="1892"/>
      <c r="H7" s="1892"/>
      <c r="I7" s="1892"/>
      <c r="J7" s="1892"/>
      <c r="K7" s="1892"/>
      <c r="N7" s="619"/>
      <c r="O7" s="620" t="s">
        <v>393</v>
      </c>
      <c r="P7" s="701" t="s">
        <v>429</v>
      </c>
      <c r="Q7" s="620"/>
      <c r="R7" s="621" t="s">
        <v>934</v>
      </c>
      <c r="S7" s="621"/>
      <c r="T7" s="622">
        <f>Hypothèses!D172</f>
        <v>18.333333333333332</v>
      </c>
      <c r="U7" s="623" t="s">
        <v>13</v>
      </c>
    </row>
    <row r="8" spans="1:43">
      <c r="B8" t="s">
        <v>850</v>
      </c>
      <c r="C8" t="s">
        <v>851</v>
      </c>
      <c r="E8" s="593">
        <f>E9-2*CONVERT(Hypothèses!D180,"in","mm")</f>
        <v>98.551999999999992</v>
      </c>
      <c r="F8" t="s">
        <v>793</v>
      </c>
      <c r="N8" s="601"/>
      <c r="O8" s="601"/>
      <c r="P8" s="601"/>
      <c r="Q8" s="601"/>
      <c r="T8" s="136"/>
    </row>
    <row r="9" spans="1:43">
      <c r="C9" t="s">
        <v>997</v>
      </c>
      <c r="E9" s="627">
        <v>101.6</v>
      </c>
      <c r="F9" t="s">
        <v>793</v>
      </c>
      <c r="N9" s="1896" t="s">
        <v>999</v>
      </c>
      <c r="O9" s="1896"/>
      <c r="P9" s="1896"/>
      <c r="Q9" s="1896"/>
      <c r="R9" s="1896"/>
      <c r="S9" s="1896"/>
      <c r="T9" s="1896"/>
      <c r="U9" s="1896"/>
      <c r="V9" s="1896"/>
      <c r="W9" s="1896"/>
      <c r="X9" s="1896"/>
      <c r="Y9" s="1896"/>
      <c r="Z9" s="1896"/>
      <c r="AA9" s="1896"/>
      <c r="AB9" s="1896"/>
      <c r="AC9" s="1896"/>
      <c r="AD9" s="1896"/>
      <c r="AE9" s="1896"/>
      <c r="AF9" s="1896"/>
      <c r="AG9" s="1896"/>
      <c r="AH9" s="1896"/>
      <c r="AI9" s="1896"/>
      <c r="AJ9" s="1896"/>
      <c r="AK9" s="1896"/>
      <c r="AL9" s="1896"/>
      <c r="AM9" s="1896"/>
      <c r="AN9" s="1896"/>
      <c r="AO9" s="1896"/>
      <c r="AP9" s="1896"/>
      <c r="AQ9" s="1896"/>
    </row>
    <row r="10" spans="1:43">
      <c r="B10" t="s">
        <v>853</v>
      </c>
      <c r="E10" s="627">
        <v>93.333333333333329</v>
      </c>
      <c r="F10" t="s">
        <v>843</v>
      </c>
      <c r="N10" s="1899" t="s">
        <v>923</v>
      </c>
      <c r="O10" s="702" t="s">
        <v>944</v>
      </c>
      <c r="P10" s="702" t="s">
        <v>925</v>
      </c>
      <c r="Q10" s="1899" t="s">
        <v>935</v>
      </c>
      <c r="R10" s="702" t="s">
        <v>991</v>
      </c>
      <c r="S10" s="702" t="s">
        <v>922</v>
      </c>
      <c r="W10" s="1891" t="s">
        <v>981</v>
      </c>
      <c r="X10" s="1891"/>
      <c r="Y10" s="1891"/>
      <c r="Z10" s="1891"/>
      <c r="AA10" s="1891"/>
      <c r="AB10" s="1891"/>
      <c r="AC10" s="1891"/>
      <c r="AD10" s="1891"/>
      <c r="AE10" s="1891"/>
      <c r="AF10" s="1891"/>
      <c r="AG10" s="1891"/>
      <c r="AH10" s="1891"/>
      <c r="AI10" s="1891"/>
      <c r="AJ10" s="1891"/>
      <c r="AK10" s="1891"/>
      <c r="AL10" s="1891"/>
      <c r="AM10" s="1891"/>
      <c r="AN10" s="1891"/>
      <c r="AO10" s="1891"/>
      <c r="AP10" s="1891"/>
      <c r="AQ10" s="1891"/>
    </row>
    <row r="11" spans="1:43">
      <c r="B11" t="s">
        <v>854</v>
      </c>
      <c r="E11" s="598">
        <f>T7</f>
        <v>18.333333333333332</v>
      </c>
      <c r="F11" t="s">
        <v>843</v>
      </c>
      <c r="N11" s="1900"/>
      <c r="O11" s="703" t="s">
        <v>928</v>
      </c>
      <c r="P11" s="703" t="s">
        <v>929</v>
      </c>
      <c r="Q11" s="1900"/>
      <c r="R11" s="704" t="s">
        <v>945</v>
      </c>
      <c r="S11" s="703" t="s">
        <v>1000</v>
      </c>
      <c r="W11" s="1894" t="s">
        <v>779</v>
      </c>
      <c r="X11" s="1894"/>
      <c r="Y11" s="1894"/>
      <c r="Z11" s="1894"/>
      <c r="AA11" s="1894"/>
      <c r="AB11" s="1894"/>
      <c r="AC11" s="1894"/>
      <c r="AD11" s="1894"/>
      <c r="AE11" s="1894"/>
      <c r="AF11" s="1894"/>
      <c r="AG11" s="1894"/>
      <c r="AH11" s="1894"/>
      <c r="AI11" s="1894"/>
      <c r="AJ11" s="1894"/>
      <c r="AK11" s="1894"/>
      <c r="AL11" s="1894"/>
      <c r="AM11" s="1894"/>
      <c r="AN11" s="1894"/>
      <c r="AO11" s="1894"/>
      <c r="AP11" s="1894"/>
      <c r="AQ11" s="1897" t="s">
        <v>1217</v>
      </c>
    </row>
    <row r="12" spans="1:43" ht="15" thickBot="1">
      <c r="B12" t="s">
        <v>855</v>
      </c>
      <c r="E12" s="598">
        <f>T6</f>
        <v>0</v>
      </c>
      <c r="F12" t="s">
        <v>794</v>
      </c>
      <c r="N12" s="15" t="e" cm="1" vm="2">
        <f t="array" ref="N12">_xlfn._xlws.FILTER(Isolation!$B$7:$E$26,Isolation!$E$7:$E$26='Isolation - CAS 1'!P6)</f>
        <v>#VALUE!</v>
      </c>
      <c r="O12" s="15"/>
      <c r="P12" s="15"/>
      <c r="Q12" s="15"/>
      <c r="R12" s="697" t="e">
        <f>VLOOKUP(O12,Hypothèses!$C$214:$E$234,3)</f>
        <v>#N/A</v>
      </c>
      <c r="S12" s="683" t="e" vm="1">
        <f>IF(N12="","",AQ13)</f>
        <v>#VALUE!</v>
      </c>
      <c r="V12" s="593">
        <f>$E$30</f>
        <v>253.39403545941445</v>
      </c>
      <c r="W12" s="678" cm="1">
        <f t="array" ref="W12:AP12">TRANSPOSE(P12:P31)</f>
        <v>0</v>
      </c>
      <c r="X12" s="678">
        <v>0</v>
      </c>
      <c r="Y12" s="678">
        <v>0</v>
      </c>
      <c r="Z12" s="678">
        <v>0</v>
      </c>
      <c r="AA12" s="678">
        <v>0</v>
      </c>
      <c r="AB12" s="678">
        <v>0</v>
      </c>
      <c r="AC12" s="678">
        <v>0</v>
      </c>
      <c r="AD12" s="678">
        <v>0</v>
      </c>
      <c r="AE12" s="678">
        <v>0</v>
      </c>
      <c r="AF12" s="678">
        <v>0</v>
      </c>
      <c r="AG12" s="678">
        <v>0</v>
      </c>
      <c r="AH12" s="678">
        <v>0</v>
      </c>
      <c r="AI12" s="678">
        <v>0</v>
      </c>
      <c r="AJ12" s="678">
        <v>0</v>
      </c>
      <c r="AK12" s="678">
        <v>0</v>
      </c>
      <c r="AL12" s="678">
        <v>0</v>
      </c>
      <c r="AM12" s="678">
        <v>0</v>
      </c>
      <c r="AN12" s="678">
        <v>0</v>
      </c>
      <c r="AO12" s="678">
        <v>0</v>
      </c>
      <c r="AP12" s="678">
        <v>0</v>
      </c>
      <c r="AQ12" s="1897"/>
    </row>
    <row r="13" spans="1:43">
      <c r="N13" s="15"/>
      <c r="O13" s="15"/>
      <c r="P13" s="15"/>
      <c r="Q13" s="15"/>
      <c r="R13" s="697" t="e">
        <f>VLOOKUP(O13,Hypothèses!$C$214:$E$234,3)</f>
        <v>#N/A</v>
      </c>
      <c r="S13" s="683" t="str">
        <f t="shared" ref="S13:S31" si="0">IF(N13="","",AQ14)</f>
        <v/>
      </c>
      <c r="U13" s="1893" t="s">
        <v>992</v>
      </c>
      <c r="V13" s="677" t="e">
        <f>R12</f>
        <v>#N/A</v>
      </c>
      <c r="W13" s="332" t="e">
        <f t="dataTable" ref="W13:AP32" dt2D="1" dtr="1" r1="E10" r2="E9" ca="1"/>
        <v>#N/A</v>
      </c>
      <c r="X13" t="e">
        <v>#N/A</v>
      </c>
      <c r="Y13" t="e">
        <v>#N/A</v>
      </c>
      <c r="Z13" t="e">
        <v>#N/A</v>
      </c>
      <c r="AA13" t="e">
        <v>#N/A</v>
      </c>
      <c r="AB13" t="e">
        <v>#N/A</v>
      </c>
      <c r="AC13" t="e">
        <v>#N/A</v>
      </c>
      <c r="AD13" t="e">
        <v>#N/A</v>
      </c>
      <c r="AE13" t="e">
        <v>#N/A</v>
      </c>
      <c r="AF13" t="e">
        <v>#N/A</v>
      </c>
      <c r="AG13" t="e">
        <v>#N/A</v>
      </c>
      <c r="AH13" t="e">
        <v>#N/A</v>
      </c>
      <c r="AI13" t="e">
        <v>#N/A</v>
      </c>
      <c r="AJ13" t="e">
        <v>#N/A</v>
      </c>
      <c r="AK13" t="e">
        <v>#N/A</v>
      </c>
      <c r="AL13" t="e">
        <v>#N/A</v>
      </c>
      <c r="AM13" t="e">
        <v>#N/A</v>
      </c>
      <c r="AN13" t="e">
        <v>#N/A</v>
      </c>
      <c r="AO13" t="e">
        <v>#N/A</v>
      </c>
      <c r="AP13" t="e">
        <v>#N/A</v>
      </c>
      <c r="AQ13" s="698" t="e" cm="1">
        <f t="array" ref="AQ13">INDEX(W13:AP13,ROWS($1:1))</f>
        <v>#N/A</v>
      </c>
    </row>
    <row r="14" spans="1:43">
      <c r="B14" t="s">
        <v>258</v>
      </c>
      <c r="N14" s="15"/>
      <c r="O14" s="15"/>
      <c r="P14" s="15"/>
      <c r="Q14" s="15"/>
      <c r="R14" s="697" t="e">
        <f>VLOOKUP(O14,Hypothèses!$C$214:$E$234,3)</f>
        <v>#N/A</v>
      </c>
      <c r="S14" s="683" t="str">
        <f t="shared" si="0"/>
        <v/>
      </c>
      <c r="U14" s="1893"/>
      <c r="V14" s="677" t="e">
        <f t="shared" ref="V14:V32" si="1">R13</f>
        <v>#N/A</v>
      </c>
      <c r="W14" t="e">
        <v>#N/A</v>
      </c>
      <c r="X14" s="332" t="e">
        <v>#N/A</v>
      </c>
      <c r="Y14" t="e">
        <v>#N/A</v>
      </c>
      <c r="Z14" t="e">
        <v>#N/A</v>
      </c>
      <c r="AA14" t="e">
        <v>#N/A</v>
      </c>
      <c r="AB14" t="e">
        <v>#N/A</v>
      </c>
      <c r="AC14" t="e">
        <v>#N/A</v>
      </c>
      <c r="AD14" t="e">
        <v>#N/A</v>
      </c>
      <c r="AE14" t="e">
        <v>#N/A</v>
      </c>
      <c r="AF14" t="e">
        <v>#N/A</v>
      </c>
      <c r="AG14" t="e">
        <v>#N/A</v>
      </c>
      <c r="AH14" t="e">
        <v>#N/A</v>
      </c>
      <c r="AI14" t="e">
        <v>#N/A</v>
      </c>
      <c r="AJ14" t="e">
        <v>#N/A</v>
      </c>
      <c r="AK14" t="e">
        <v>#N/A</v>
      </c>
      <c r="AL14" t="e">
        <v>#N/A</v>
      </c>
      <c r="AM14" t="e">
        <v>#N/A</v>
      </c>
      <c r="AN14" t="e">
        <v>#N/A</v>
      </c>
      <c r="AO14" t="e">
        <v>#N/A</v>
      </c>
      <c r="AP14" t="e">
        <v>#N/A</v>
      </c>
      <c r="AQ14" s="629" t="e" cm="1">
        <f t="array" ref="AQ14">INDEX(W14:AP14,ROWS($1:2))</f>
        <v>#N/A</v>
      </c>
    </row>
    <row r="15" spans="1:43">
      <c r="B15" t="s">
        <v>795</v>
      </c>
      <c r="E15" s="600" t="s">
        <v>796</v>
      </c>
      <c r="M15" s="584"/>
      <c r="N15" s="684"/>
      <c r="O15" s="684"/>
      <c r="P15" s="684"/>
      <c r="Q15" s="684"/>
      <c r="R15" s="697" t="e">
        <f>VLOOKUP(O15,Hypothèses!$C$214:$E$234,3)</f>
        <v>#N/A</v>
      </c>
      <c r="S15" s="683" t="str">
        <f t="shared" si="0"/>
        <v/>
      </c>
      <c r="U15" s="1893"/>
      <c r="V15" s="677" t="e">
        <f t="shared" si="1"/>
        <v>#N/A</v>
      </c>
      <c r="W15" t="e">
        <v>#N/A</v>
      </c>
      <c r="X15" t="e">
        <v>#N/A</v>
      </c>
      <c r="Y15" s="332" t="e">
        <v>#N/A</v>
      </c>
      <c r="Z15" t="e">
        <v>#N/A</v>
      </c>
      <c r="AA15" t="e">
        <v>#N/A</v>
      </c>
      <c r="AB15" t="e">
        <v>#N/A</v>
      </c>
      <c r="AC15" t="e">
        <v>#N/A</v>
      </c>
      <c r="AD15" t="e">
        <v>#N/A</v>
      </c>
      <c r="AE15" t="e">
        <v>#N/A</v>
      </c>
      <c r="AF15" t="e">
        <v>#N/A</v>
      </c>
      <c r="AG15" t="e">
        <v>#N/A</v>
      </c>
      <c r="AH15" t="e">
        <v>#N/A</v>
      </c>
      <c r="AI15" t="e">
        <v>#N/A</v>
      </c>
      <c r="AJ15" t="e">
        <v>#N/A</v>
      </c>
      <c r="AK15" t="e">
        <v>#N/A</v>
      </c>
      <c r="AL15" t="e">
        <v>#N/A</v>
      </c>
      <c r="AM15" t="e">
        <v>#N/A</v>
      </c>
      <c r="AN15" t="e">
        <v>#N/A</v>
      </c>
      <c r="AO15" t="e">
        <v>#N/A</v>
      </c>
      <c r="AP15" t="e">
        <v>#N/A</v>
      </c>
      <c r="AQ15" s="629" t="e" cm="1">
        <f t="array" ref="AQ15">INDEX(W15:AP15,ROWS($1:3))</f>
        <v>#N/A</v>
      </c>
    </row>
    <row r="16" spans="1:43">
      <c r="B16" t="s">
        <v>856</v>
      </c>
      <c r="E16">
        <v>0.9</v>
      </c>
      <c r="M16" s="136"/>
      <c r="N16" s="685"/>
      <c r="O16" s="685"/>
      <c r="P16" s="685"/>
      <c r="Q16" s="685"/>
      <c r="R16" s="697" t="e">
        <f>VLOOKUP(O16,Hypothèses!$C$214:$E$234,3)</f>
        <v>#N/A</v>
      </c>
      <c r="S16" s="683" t="str">
        <f t="shared" si="0"/>
        <v/>
      </c>
      <c r="U16" s="1893"/>
      <c r="V16" s="677" t="e">
        <f t="shared" si="1"/>
        <v>#N/A</v>
      </c>
      <c r="W16" t="e">
        <v>#N/A</v>
      </c>
      <c r="X16" t="e">
        <v>#N/A</v>
      </c>
      <c r="Y16" t="e">
        <v>#N/A</v>
      </c>
      <c r="Z16" s="332" t="e">
        <v>#N/A</v>
      </c>
      <c r="AA16" t="e">
        <v>#N/A</v>
      </c>
      <c r="AB16" t="e">
        <v>#N/A</v>
      </c>
      <c r="AC16" t="e">
        <v>#N/A</v>
      </c>
      <c r="AD16" t="e">
        <v>#N/A</v>
      </c>
      <c r="AE16" t="e">
        <v>#N/A</v>
      </c>
      <c r="AF16" t="e">
        <v>#N/A</v>
      </c>
      <c r="AG16" t="e">
        <v>#N/A</v>
      </c>
      <c r="AH16" t="e">
        <v>#N/A</v>
      </c>
      <c r="AI16" t="e">
        <v>#N/A</v>
      </c>
      <c r="AJ16" t="e">
        <v>#N/A</v>
      </c>
      <c r="AK16" t="e">
        <v>#N/A</v>
      </c>
      <c r="AL16" t="e">
        <v>#N/A</v>
      </c>
      <c r="AM16" t="e">
        <v>#N/A</v>
      </c>
      <c r="AN16" t="e">
        <v>#N/A</v>
      </c>
      <c r="AO16" t="e">
        <v>#N/A</v>
      </c>
      <c r="AP16" t="e">
        <v>#N/A</v>
      </c>
      <c r="AQ16" s="629" t="e" cm="1">
        <f t="array" ref="AQ16">INDEX(W16:AP16,ROWS($1:4))</f>
        <v>#N/A</v>
      </c>
    </row>
    <row r="17" spans="2:43">
      <c r="B17" t="s">
        <v>857</v>
      </c>
      <c r="E17" s="599">
        <f>CONVERT(Hypothèses!D183,"in","mm")</f>
        <v>25.4</v>
      </c>
      <c r="F17" t="s">
        <v>793</v>
      </c>
      <c r="M17" s="136"/>
      <c r="N17" s="684"/>
      <c r="O17" s="684"/>
      <c r="P17" s="684"/>
      <c r="Q17" s="684"/>
      <c r="R17" s="697" t="e">
        <f>VLOOKUP(O17,Hypothèses!$C$214:$E$234,3)</f>
        <v>#N/A</v>
      </c>
      <c r="S17" s="683" t="str">
        <f t="shared" si="0"/>
        <v/>
      </c>
      <c r="U17" s="1893"/>
      <c r="V17" s="677" t="e">
        <f t="shared" si="1"/>
        <v>#N/A</v>
      </c>
      <c r="W17" t="e">
        <v>#N/A</v>
      </c>
      <c r="X17" t="e">
        <v>#N/A</v>
      </c>
      <c r="Y17" t="e">
        <v>#N/A</v>
      </c>
      <c r="Z17" t="e">
        <v>#N/A</v>
      </c>
      <c r="AA17" s="332" t="e">
        <v>#N/A</v>
      </c>
      <c r="AB17" t="e">
        <v>#N/A</v>
      </c>
      <c r="AC17" t="e">
        <v>#N/A</v>
      </c>
      <c r="AD17" t="e">
        <v>#N/A</v>
      </c>
      <c r="AE17" t="e">
        <v>#N/A</v>
      </c>
      <c r="AF17" t="e">
        <v>#N/A</v>
      </c>
      <c r="AG17" t="e">
        <v>#N/A</v>
      </c>
      <c r="AH17" t="e">
        <v>#N/A</v>
      </c>
      <c r="AI17" t="e">
        <v>#N/A</v>
      </c>
      <c r="AJ17" t="e">
        <v>#N/A</v>
      </c>
      <c r="AK17" t="e">
        <v>#N/A</v>
      </c>
      <c r="AL17" t="e">
        <v>#N/A</v>
      </c>
      <c r="AM17" t="e">
        <v>#N/A</v>
      </c>
      <c r="AN17" t="e">
        <v>#N/A</v>
      </c>
      <c r="AO17" t="e">
        <v>#N/A</v>
      </c>
      <c r="AP17" t="e">
        <v>#N/A</v>
      </c>
      <c r="AQ17" s="629" t="e" cm="1">
        <f t="array" ref="AQ17">INDEX(W17:AP17,ROWS($1:5))</f>
        <v>#N/A</v>
      </c>
    </row>
    <row r="18" spans="2:43">
      <c r="B18" t="s">
        <v>852</v>
      </c>
      <c r="D18" t="s">
        <v>1154</v>
      </c>
      <c r="E18">
        <f>E9+2*E17</f>
        <v>152.39999999999998</v>
      </c>
      <c r="F18" t="s">
        <v>793</v>
      </c>
      <c r="M18" s="136"/>
      <c r="N18" s="686"/>
      <c r="O18" s="686"/>
      <c r="P18" s="686"/>
      <c r="Q18" s="686"/>
      <c r="R18" s="697" t="e">
        <f>VLOOKUP(O18,Hypothèses!$C$214:$E$234,3)</f>
        <v>#N/A</v>
      </c>
      <c r="S18" s="683" t="str">
        <f t="shared" si="0"/>
        <v/>
      </c>
      <c r="U18" s="1893"/>
      <c r="V18" s="677" t="e">
        <f t="shared" si="1"/>
        <v>#N/A</v>
      </c>
      <c r="W18" t="e">
        <v>#N/A</v>
      </c>
      <c r="X18" t="e">
        <v>#N/A</v>
      </c>
      <c r="Y18" t="e">
        <v>#N/A</v>
      </c>
      <c r="Z18" t="e">
        <v>#N/A</v>
      </c>
      <c r="AA18" t="e">
        <v>#N/A</v>
      </c>
      <c r="AB18" s="332" t="e">
        <v>#N/A</v>
      </c>
      <c r="AC18" t="e">
        <v>#N/A</v>
      </c>
      <c r="AD18" t="e">
        <v>#N/A</v>
      </c>
      <c r="AE18" t="e">
        <v>#N/A</v>
      </c>
      <c r="AF18" t="e">
        <v>#N/A</v>
      </c>
      <c r="AG18" t="e">
        <v>#N/A</v>
      </c>
      <c r="AH18" t="e">
        <v>#N/A</v>
      </c>
      <c r="AI18" t="e">
        <v>#N/A</v>
      </c>
      <c r="AJ18" t="e">
        <v>#N/A</v>
      </c>
      <c r="AK18" t="e">
        <v>#N/A</v>
      </c>
      <c r="AL18" t="e">
        <v>#N/A</v>
      </c>
      <c r="AM18" t="e">
        <v>#N/A</v>
      </c>
      <c r="AN18" t="e">
        <v>#N/A</v>
      </c>
      <c r="AO18" t="e">
        <v>#N/A</v>
      </c>
      <c r="AP18" t="e">
        <v>#N/A</v>
      </c>
      <c r="AQ18" s="629" t="e" cm="1">
        <f t="array" ref="AQ18">INDEX(W18:AP18,ROWS($1:6))</f>
        <v>#N/A</v>
      </c>
    </row>
    <row r="19" spans="2:43">
      <c r="N19" s="687"/>
      <c r="O19" s="687"/>
      <c r="P19" s="687"/>
      <c r="Q19" s="687"/>
      <c r="R19" s="697" t="e">
        <f>VLOOKUP(O19,Hypothèses!$C$214:$E$234,3)</f>
        <v>#N/A</v>
      </c>
      <c r="S19" s="683" t="str">
        <f t="shared" si="0"/>
        <v/>
      </c>
      <c r="U19" s="1893"/>
      <c r="V19" s="677" t="e">
        <f t="shared" si="1"/>
        <v>#N/A</v>
      </c>
      <c r="W19" t="e">
        <v>#N/A</v>
      </c>
      <c r="X19" t="e">
        <v>#N/A</v>
      </c>
      <c r="Y19" t="e">
        <v>#N/A</v>
      </c>
      <c r="Z19" t="e">
        <v>#N/A</v>
      </c>
      <c r="AA19" t="e">
        <v>#N/A</v>
      </c>
      <c r="AB19" t="e">
        <v>#N/A</v>
      </c>
      <c r="AC19" s="332" t="e">
        <v>#N/A</v>
      </c>
      <c r="AD19" t="e">
        <v>#N/A</v>
      </c>
      <c r="AE19" t="e">
        <v>#N/A</v>
      </c>
      <c r="AF19" t="e">
        <v>#N/A</v>
      </c>
      <c r="AG19" t="e">
        <v>#N/A</v>
      </c>
      <c r="AH19" t="e">
        <v>#N/A</v>
      </c>
      <c r="AI19" t="e">
        <v>#N/A</v>
      </c>
      <c r="AJ19" t="e">
        <v>#N/A</v>
      </c>
      <c r="AK19" t="e">
        <v>#N/A</v>
      </c>
      <c r="AL19" t="e">
        <v>#N/A</v>
      </c>
      <c r="AM19" t="e">
        <v>#N/A</v>
      </c>
      <c r="AN19" t="e">
        <v>#N/A</v>
      </c>
      <c r="AO19" t="e">
        <v>#N/A</v>
      </c>
      <c r="AP19" t="e">
        <v>#N/A</v>
      </c>
      <c r="AQ19" s="629" t="e" cm="1">
        <f t="array" ref="AQ19">INDEX(W19:AP19,ROWS($1:7))</f>
        <v>#N/A</v>
      </c>
    </row>
    <row r="20" spans="2:43">
      <c r="J20" s="593"/>
      <c r="N20" s="684"/>
      <c r="O20" s="684"/>
      <c r="P20" s="684"/>
      <c r="Q20" s="684"/>
      <c r="R20" s="697" t="e">
        <f>VLOOKUP(O20,Hypothèses!$C$214:$E$234,3)</f>
        <v>#N/A</v>
      </c>
      <c r="S20" s="683" t="str">
        <f t="shared" si="0"/>
        <v/>
      </c>
      <c r="U20" s="1893"/>
      <c r="V20" s="677" t="e">
        <f t="shared" si="1"/>
        <v>#N/A</v>
      </c>
      <c r="W20" t="e">
        <v>#N/A</v>
      </c>
      <c r="X20" t="e">
        <v>#N/A</v>
      </c>
      <c r="Y20" t="e">
        <v>#N/A</v>
      </c>
      <c r="Z20" t="e">
        <v>#N/A</v>
      </c>
      <c r="AA20" t="e">
        <v>#N/A</v>
      </c>
      <c r="AB20" t="e">
        <v>#N/A</v>
      </c>
      <c r="AC20" t="e">
        <v>#N/A</v>
      </c>
      <c r="AD20" s="332" t="e">
        <v>#N/A</v>
      </c>
      <c r="AE20" t="e">
        <v>#N/A</v>
      </c>
      <c r="AF20" t="e">
        <v>#N/A</v>
      </c>
      <c r="AG20" t="e">
        <v>#N/A</v>
      </c>
      <c r="AH20" t="e">
        <v>#N/A</v>
      </c>
      <c r="AI20" t="e">
        <v>#N/A</v>
      </c>
      <c r="AJ20" t="e">
        <v>#N/A</v>
      </c>
      <c r="AK20" t="e">
        <v>#N/A</v>
      </c>
      <c r="AL20" t="e">
        <v>#N/A</v>
      </c>
      <c r="AM20" t="e">
        <v>#N/A</v>
      </c>
      <c r="AN20" t="e">
        <v>#N/A</v>
      </c>
      <c r="AO20" t="e">
        <v>#N/A</v>
      </c>
      <c r="AP20" t="e">
        <v>#N/A</v>
      </c>
      <c r="AQ20" s="629" t="e" cm="1">
        <f t="array" ref="AQ20">INDEX(W20:AP20,ROWS($1:8))</f>
        <v>#N/A</v>
      </c>
    </row>
    <row r="21" spans="2:43">
      <c r="B21" s="1892" t="s">
        <v>128</v>
      </c>
      <c r="C21" s="1892"/>
      <c r="D21" s="1892"/>
      <c r="E21" s="1892"/>
      <c r="F21" s="1892"/>
      <c r="G21" s="1892"/>
      <c r="H21" s="1892"/>
      <c r="I21" s="1892"/>
      <c r="J21" s="1892"/>
      <c r="K21" s="1892"/>
      <c r="N21" s="685"/>
      <c r="O21" s="685"/>
      <c r="P21" s="685"/>
      <c r="Q21" s="685"/>
      <c r="R21" s="697" t="e">
        <f>VLOOKUP(O21,Hypothèses!$C$214:$E$234,3)</f>
        <v>#N/A</v>
      </c>
      <c r="S21" s="683" t="str">
        <f t="shared" si="0"/>
        <v/>
      </c>
      <c r="U21" s="1893"/>
      <c r="V21" s="677" t="e">
        <f t="shared" si="1"/>
        <v>#N/A</v>
      </c>
      <c r="W21" t="e">
        <v>#N/A</v>
      </c>
      <c r="X21" t="e">
        <v>#N/A</v>
      </c>
      <c r="Y21" t="e">
        <v>#N/A</v>
      </c>
      <c r="Z21" t="e">
        <v>#N/A</v>
      </c>
      <c r="AA21" t="e">
        <v>#N/A</v>
      </c>
      <c r="AB21" t="e">
        <v>#N/A</v>
      </c>
      <c r="AC21" t="e">
        <v>#N/A</v>
      </c>
      <c r="AD21" t="e">
        <v>#N/A</v>
      </c>
      <c r="AE21" s="332" t="e">
        <v>#N/A</v>
      </c>
      <c r="AF21" t="e">
        <v>#N/A</v>
      </c>
      <c r="AG21" t="e">
        <v>#N/A</v>
      </c>
      <c r="AH21" t="e">
        <v>#N/A</v>
      </c>
      <c r="AI21" t="e">
        <v>#N/A</v>
      </c>
      <c r="AJ21" t="e">
        <v>#N/A</v>
      </c>
      <c r="AK21" t="e">
        <v>#N/A</v>
      </c>
      <c r="AL21" t="e">
        <v>#N/A</v>
      </c>
      <c r="AM21" t="e">
        <v>#N/A</v>
      </c>
      <c r="AN21" t="e">
        <v>#N/A</v>
      </c>
      <c r="AO21" t="e">
        <v>#N/A</v>
      </c>
      <c r="AP21" t="e">
        <v>#N/A</v>
      </c>
      <c r="AQ21" s="629" t="e" cm="1">
        <f t="array" ref="AQ21">INDEX(W21:AP21,ROWS($1:9))</f>
        <v>#N/A</v>
      </c>
    </row>
    <row r="22" spans="2:43">
      <c r="B22" s="594" t="s">
        <v>858</v>
      </c>
      <c r="J22" s="593"/>
      <c r="N22" s="15"/>
      <c r="O22" s="15"/>
      <c r="P22" s="15"/>
      <c r="Q22" s="15"/>
      <c r="R22" s="697" t="e">
        <f>VLOOKUP(O22,Hypothèses!$C$214:$E$234,3)</f>
        <v>#N/A</v>
      </c>
      <c r="S22" s="683" t="str">
        <f t="shared" si="0"/>
        <v/>
      </c>
      <c r="U22" s="1893"/>
      <c r="V22" s="677" t="e">
        <f t="shared" si="1"/>
        <v>#N/A</v>
      </c>
      <c r="W22" t="e">
        <v>#N/A</v>
      </c>
      <c r="X22" t="e">
        <v>#N/A</v>
      </c>
      <c r="Y22" t="e">
        <v>#N/A</v>
      </c>
      <c r="Z22" t="e">
        <v>#N/A</v>
      </c>
      <c r="AA22" t="e">
        <v>#N/A</v>
      </c>
      <c r="AB22" t="e">
        <v>#N/A</v>
      </c>
      <c r="AC22" t="e">
        <v>#N/A</v>
      </c>
      <c r="AD22" t="e">
        <v>#N/A</v>
      </c>
      <c r="AE22" t="e">
        <v>#N/A</v>
      </c>
      <c r="AF22" s="332" t="e">
        <v>#N/A</v>
      </c>
      <c r="AG22" t="e">
        <v>#N/A</v>
      </c>
      <c r="AH22" t="e">
        <v>#N/A</v>
      </c>
      <c r="AI22" t="e">
        <v>#N/A</v>
      </c>
      <c r="AJ22" t="e">
        <v>#N/A</v>
      </c>
      <c r="AK22" t="e">
        <v>#N/A</v>
      </c>
      <c r="AL22" t="e">
        <v>#N/A</v>
      </c>
      <c r="AM22" t="e">
        <v>#N/A</v>
      </c>
      <c r="AN22" t="e">
        <v>#N/A</v>
      </c>
      <c r="AO22" t="e">
        <v>#N/A</v>
      </c>
      <c r="AP22" t="e">
        <v>#N/A</v>
      </c>
      <c r="AQ22" s="629" t="e" cm="1">
        <f t="array" ref="AQ22">INDEX(W22:AP22,ROWS($1:10))</f>
        <v>#N/A</v>
      </c>
    </row>
    <row r="23" spans="2:43">
      <c r="B23" s="6" t="s">
        <v>859</v>
      </c>
      <c r="E23" s="593">
        <f>K73</f>
        <v>30.855997740112066</v>
      </c>
      <c r="F23" t="s">
        <v>843</v>
      </c>
      <c r="J23" s="593"/>
      <c r="N23" s="15"/>
      <c r="O23" s="15"/>
      <c r="P23" s="15"/>
      <c r="Q23" s="15"/>
      <c r="R23" s="697" t="e">
        <f>VLOOKUP(O23,Hypothèses!$C$214:$E$234,3)</f>
        <v>#N/A</v>
      </c>
      <c r="S23" s="683" t="str">
        <f t="shared" si="0"/>
        <v/>
      </c>
      <c r="U23" s="1893"/>
      <c r="V23" s="677" t="e">
        <f t="shared" si="1"/>
        <v>#N/A</v>
      </c>
      <c r="W23" t="e">
        <v>#N/A</v>
      </c>
      <c r="X23" t="e">
        <v>#N/A</v>
      </c>
      <c r="Y23" t="e">
        <v>#N/A</v>
      </c>
      <c r="Z23" t="e">
        <v>#N/A</v>
      </c>
      <c r="AA23" t="e">
        <v>#N/A</v>
      </c>
      <c r="AB23" t="e">
        <v>#N/A</v>
      </c>
      <c r="AC23" t="e">
        <v>#N/A</v>
      </c>
      <c r="AD23" t="e">
        <v>#N/A</v>
      </c>
      <c r="AE23" t="e">
        <v>#N/A</v>
      </c>
      <c r="AF23" t="e">
        <v>#N/A</v>
      </c>
      <c r="AG23" s="332" t="e">
        <v>#N/A</v>
      </c>
      <c r="AH23" t="e">
        <v>#N/A</v>
      </c>
      <c r="AI23" t="e">
        <v>#N/A</v>
      </c>
      <c r="AJ23" t="e">
        <v>#N/A</v>
      </c>
      <c r="AK23" t="e">
        <v>#N/A</v>
      </c>
      <c r="AL23" t="e">
        <v>#N/A</v>
      </c>
      <c r="AM23" t="e">
        <v>#N/A</v>
      </c>
      <c r="AN23" t="e">
        <v>#N/A</v>
      </c>
      <c r="AO23" t="e">
        <v>#N/A</v>
      </c>
      <c r="AP23" t="e">
        <v>#N/A</v>
      </c>
      <c r="AQ23" s="629" t="e" cm="1">
        <f t="array" ref="AQ23">INDEX(W23:AP23,ROWS($1:11))</f>
        <v>#N/A</v>
      </c>
    </row>
    <row r="24" spans="2:43">
      <c r="B24" t="s">
        <v>860</v>
      </c>
      <c r="E24" s="593">
        <f>K74</f>
        <v>54.78535634837958</v>
      </c>
      <c r="F24" t="s">
        <v>797</v>
      </c>
      <c r="J24" s="593"/>
      <c r="N24" s="15"/>
      <c r="O24" s="15"/>
      <c r="P24" s="15"/>
      <c r="Q24" s="15"/>
      <c r="R24" s="697" t="e">
        <f>VLOOKUP(O24,Hypothèses!$C$214:$E$234,3)</f>
        <v>#N/A</v>
      </c>
      <c r="S24" s="683" t="str">
        <f t="shared" si="0"/>
        <v/>
      </c>
      <c r="U24" s="1893"/>
      <c r="V24" s="677" t="e">
        <f t="shared" si="1"/>
        <v>#N/A</v>
      </c>
      <c r="W24" t="e">
        <v>#N/A</v>
      </c>
      <c r="X24" t="e">
        <v>#N/A</v>
      </c>
      <c r="Y24" t="e">
        <v>#N/A</v>
      </c>
      <c r="Z24" t="e">
        <v>#N/A</v>
      </c>
      <c r="AA24" t="e">
        <v>#N/A</v>
      </c>
      <c r="AB24" t="e">
        <v>#N/A</v>
      </c>
      <c r="AC24" t="e">
        <v>#N/A</v>
      </c>
      <c r="AD24" t="e">
        <v>#N/A</v>
      </c>
      <c r="AE24" t="e">
        <v>#N/A</v>
      </c>
      <c r="AF24" t="e">
        <v>#N/A</v>
      </c>
      <c r="AG24" t="e">
        <v>#N/A</v>
      </c>
      <c r="AH24" s="332" t="e">
        <v>#N/A</v>
      </c>
      <c r="AI24" t="e">
        <v>#N/A</v>
      </c>
      <c r="AJ24" t="e">
        <v>#N/A</v>
      </c>
      <c r="AK24" t="e">
        <v>#N/A</v>
      </c>
      <c r="AL24" t="e">
        <v>#N/A</v>
      </c>
      <c r="AM24" t="e">
        <v>#N/A</v>
      </c>
      <c r="AN24" t="e">
        <v>#N/A</v>
      </c>
      <c r="AO24" t="e">
        <v>#N/A</v>
      </c>
      <c r="AP24" t="e">
        <v>#N/A</v>
      </c>
      <c r="AQ24" s="629" t="e" cm="1">
        <f t="array" ref="AQ24">INDEX(W24:AP24,ROWS($1:12))</f>
        <v>#N/A</v>
      </c>
    </row>
    <row r="25" spans="2:43">
      <c r="B25" s="594" t="s">
        <v>861</v>
      </c>
      <c r="E25" s="593"/>
      <c r="J25" s="593"/>
      <c r="N25" s="687"/>
      <c r="O25" s="687"/>
      <c r="P25" s="687"/>
      <c r="Q25" s="687"/>
      <c r="R25" s="697" t="e">
        <f>VLOOKUP(O25,Hypothèses!$C$214:$E$234,3)</f>
        <v>#N/A</v>
      </c>
      <c r="S25" s="683" t="str">
        <f t="shared" si="0"/>
        <v/>
      </c>
      <c r="U25" s="1893"/>
      <c r="V25" s="677" t="e">
        <f t="shared" si="1"/>
        <v>#N/A</v>
      </c>
      <c r="W25" t="e">
        <v>#N/A</v>
      </c>
      <c r="X25" t="e">
        <v>#N/A</v>
      </c>
      <c r="Y25" t="e">
        <v>#N/A</v>
      </c>
      <c r="Z25" t="e">
        <v>#N/A</v>
      </c>
      <c r="AA25" t="e">
        <v>#N/A</v>
      </c>
      <c r="AB25" t="e">
        <v>#N/A</v>
      </c>
      <c r="AC25" t="e">
        <v>#N/A</v>
      </c>
      <c r="AD25" t="e">
        <v>#N/A</v>
      </c>
      <c r="AE25" t="e">
        <v>#N/A</v>
      </c>
      <c r="AF25" t="e">
        <v>#N/A</v>
      </c>
      <c r="AG25" t="e">
        <v>#N/A</v>
      </c>
      <c r="AH25" t="e">
        <v>#N/A</v>
      </c>
      <c r="AI25" s="332" t="e">
        <v>#N/A</v>
      </c>
      <c r="AJ25" t="e">
        <v>#N/A</v>
      </c>
      <c r="AK25" t="e">
        <v>#N/A</v>
      </c>
      <c r="AL25" t="e">
        <v>#N/A</v>
      </c>
      <c r="AM25" t="e">
        <v>#N/A</v>
      </c>
      <c r="AN25" t="e">
        <v>#N/A</v>
      </c>
      <c r="AO25" t="e">
        <v>#N/A</v>
      </c>
      <c r="AP25" t="e">
        <v>#N/A</v>
      </c>
      <c r="AQ25" s="629" t="e" cm="1">
        <f t="array" ref="AQ25">INDEX(W25:AP25,ROWS($1:13))</f>
        <v>#N/A</v>
      </c>
    </row>
    <row r="26" spans="2:43">
      <c r="B26" s="6" t="s">
        <v>859</v>
      </c>
      <c r="E26" s="593">
        <f>K109</f>
        <v>93.308591067984977</v>
      </c>
      <c r="F26" t="s">
        <v>843</v>
      </c>
      <c r="J26" s="593"/>
      <c r="N26" s="15"/>
      <c r="O26" s="15"/>
      <c r="P26" s="15"/>
      <c r="Q26" s="15"/>
      <c r="R26" s="697" t="e">
        <f>VLOOKUP(O26,Hypothèses!$C$214:$E$234,3)</f>
        <v>#N/A</v>
      </c>
      <c r="S26" s="683" t="str">
        <f t="shared" si="0"/>
        <v/>
      </c>
      <c r="U26" s="1893"/>
      <c r="V26" s="677" t="e">
        <f t="shared" si="1"/>
        <v>#N/A</v>
      </c>
      <c r="W26" t="e">
        <v>#N/A</v>
      </c>
      <c r="X26" t="e">
        <v>#N/A</v>
      </c>
      <c r="Y26" t="e">
        <v>#N/A</v>
      </c>
      <c r="Z26" t="e">
        <v>#N/A</v>
      </c>
      <c r="AA26" t="e">
        <v>#N/A</v>
      </c>
      <c r="AB26" t="e">
        <v>#N/A</v>
      </c>
      <c r="AC26" t="e">
        <v>#N/A</v>
      </c>
      <c r="AD26" t="e">
        <v>#N/A</v>
      </c>
      <c r="AE26" t="e">
        <v>#N/A</v>
      </c>
      <c r="AF26" t="e">
        <v>#N/A</v>
      </c>
      <c r="AG26" t="e">
        <v>#N/A</v>
      </c>
      <c r="AH26" t="e">
        <v>#N/A</v>
      </c>
      <c r="AI26" t="e">
        <v>#N/A</v>
      </c>
      <c r="AJ26" s="332" t="e">
        <v>#N/A</v>
      </c>
      <c r="AK26" t="e">
        <v>#N/A</v>
      </c>
      <c r="AL26" t="e">
        <v>#N/A</v>
      </c>
      <c r="AM26" t="e">
        <v>#N/A</v>
      </c>
      <c r="AN26" t="e">
        <v>#N/A</v>
      </c>
      <c r="AO26" t="e">
        <v>#N/A</v>
      </c>
      <c r="AP26" t="e">
        <v>#N/A</v>
      </c>
      <c r="AQ26" s="629" t="e" cm="1">
        <f t="array" ref="AQ26">INDEX(W26:AP26,ROWS($1:14))</f>
        <v>#N/A</v>
      </c>
    </row>
    <row r="27" spans="2:43">
      <c r="B27" t="s">
        <v>860</v>
      </c>
      <c r="E27" s="593">
        <f>K110</f>
        <v>308.17939180779405</v>
      </c>
      <c r="F27" t="s">
        <v>797</v>
      </c>
      <c r="J27" s="593"/>
      <c r="N27" s="15"/>
      <c r="O27" s="15"/>
      <c r="P27" s="15"/>
      <c r="Q27" s="15"/>
      <c r="R27" s="697" t="e">
        <f>VLOOKUP(O27,Hypothèses!$C$214:$E$234,3)</f>
        <v>#N/A</v>
      </c>
      <c r="S27" s="683" t="str">
        <f t="shared" si="0"/>
        <v/>
      </c>
      <c r="U27" s="1893"/>
      <c r="V27" s="677" t="e">
        <f t="shared" si="1"/>
        <v>#N/A</v>
      </c>
      <c r="W27" t="e">
        <v>#N/A</v>
      </c>
      <c r="X27" t="e">
        <v>#N/A</v>
      </c>
      <c r="Y27" t="e">
        <v>#N/A</v>
      </c>
      <c r="Z27" t="e">
        <v>#N/A</v>
      </c>
      <c r="AA27" t="e">
        <v>#N/A</v>
      </c>
      <c r="AB27" t="e">
        <v>#N/A</v>
      </c>
      <c r="AC27" t="e">
        <v>#N/A</v>
      </c>
      <c r="AD27" t="e">
        <v>#N/A</v>
      </c>
      <c r="AE27" t="e">
        <v>#N/A</v>
      </c>
      <c r="AF27" t="e">
        <v>#N/A</v>
      </c>
      <c r="AG27" t="e">
        <v>#N/A</v>
      </c>
      <c r="AH27" t="e">
        <v>#N/A</v>
      </c>
      <c r="AI27" t="e">
        <v>#N/A</v>
      </c>
      <c r="AJ27" t="e">
        <v>#N/A</v>
      </c>
      <c r="AK27" s="332" t="e">
        <v>#N/A</v>
      </c>
      <c r="AL27" t="e">
        <v>#N/A</v>
      </c>
      <c r="AM27" t="e">
        <v>#N/A</v>
      </c>
      <c r="AN27" t="e">
        <v>#N/A</v>
      </c>
      <c r="AO27" t="e">
        <v>#N/A</v>
      </c>
      <c r="AP27" t="e">
        <v>#N/A</v>
      </c>
      <c r="AQ27" s="629" t="e" cm="1">
        <f t="array" ref="AQ27">INDEX(W27:AP27,ROWS($1:15))</f>
        <v>#N/A</v>
      </c>
    </row>
    <row r="28" spans="2:43">
      <c r="J28" s="593"/>
      <c r="N28" s="15"/>
      <c r="O28" s="15"/>
      <c r="P28" s="15"/>
      <c r="Q28" s="15"/>
      <c r="R28" s="697" t="e">
        <f>VLOOKUP(O28,Hypothèses!$C$214:$E$234,3)</f>
        <v>#N/A</v>
      </c>
      <c r="S28" s="683" t="str">
        <f t="shared" si="0"/>
        <v/>
      </c>
      <c r="U28" s="1893"/>
      <c r="V28" s="677" t="e">
        <f t="shared" si="1"/>
        <v>#N/A</v>
      </c>
      <c r="W28" t="e">
        <v>#N/A</v>
      </c>
      <c r="X28" t="e">
        <v>#N/A</v>
      </c>
      <c r="Y28" t="e">
        <v>#N/A</v>
      </c>
      <c r="Z28" t="e">
        <v>#N/A</v>
      </c>
      <c r="AA28" t="e">
        <v>#N/A</v>
      </c>
      <c r="AB28" t="e">
        <v>#N/A</v>
      </c>
      <c r="AC28" t="e">
        <v>#N/A</v>
      </c>
      <c r="AD28" t="e">
        <v>#N/A</v>
      </c>
      <c r="AE28" t="e">
        <v>#N/A</v>
      </c>
      <c r="AF28" t="e">
        <v>#N/A</v>
      </c>
      <c r="AG28" t="e">
        <v>#N/A</v>
      </c>
      <c r="AH28" t="e">
        <v>#N/A</v>
      </c>
      <c r="AI28" t="e">
        <v>#N/A</v>
      </c>
      <c r="AJ28" t="e">
        <v>#N/A</v>
      </c>
      <c r="AK28" t="e">
        <v>#N/A</v>
      </c>
      <c r="AL28" s="332" t="e">
        <v>#N/A</v>
      </c>
      <c r="AM28" t="e">
        <v>#N/A</v>
      </c>
      <c r="AN28" t="e">
        <v>#N/A</v>
      </c>
      <c r="AO28" t="e">
        <v>#N/A</v>
      </c>
      <c r="AP28" t="e">
        <v>#N/A</v>
      </c>
      <c r="AQ28" s="629" t="e" cm="1">
        <f t="array" ref="AQ28">INDEX(W28:AP28,ROWS($1:16))</f>
        <v>#N/A</v>
      </c>
    </row>
    <row r="29" spans="2:43">
      <c r="B29" t="s">
        <v>965</v>
      </c>
      <c r="J29" s="593"/>
      <c r="N29" s="15"/>
      <c r="O29" s="15"/>
      <c r="P29" s="15"/>
      <c r="Q29" s="15"/>
      <c r="R29" s="697" t="e">
        <f>VLOOKUP(O29,Hypothèses!$C$214:$E$234,3)</f>
        <v>#N/A</v>
      </c>
      <c r="S29" s="683" t="str">
        <f t="shared" si="0"/>
        <v/>
      </c>
      <c r="U29" s="1893"/>
      <c r="V29" s="677" t="e">
        <f t="shared" si="1"/>
        <v>#N/A</v>
      </c>
      <c r="W29" t="e">
        <v>#N/A</v>
      </c>
      <c r="X29" t="e">
        <v>#N/A</v>
      </c>
      <c r="Y29" t="e">
        <v>#N/A</v>
      </c>
      <c r="Z29" t="e">
        <v>#N/A</v>
      </c>
      <c r="AA29" t="e">
        <v>#N/A</v>
      </c>
      <c r="AB29" t="e">
        <v>#N/A</v>
      </c>
      <c r="AC29" t="e">
        <v>#N/A</v>
      </c>
      <c r="AD29" t="e">
        <v>#N/A</v>
      </c>
      <c r="AE29" t="e">
        <v>#N/A</v>
      </c>
      <c r="AF29" t="e">
        <v>#N/A</v>
      </c>
      <c r="AG29" t="e">
        <v>#N/A</v>
      </c>
      <c r="AH29" t="e">
        <v>#N/A</v>
      </c>
      <c r="AI29" t="e">
        <v>#N/A</v>
      </c>
      <c r="AJ29" t="e">
        <v>#N/A</v>
      </c>
      <c r="AK29" t="e">
        <v>#N/A</v>
      </c>
      <c r="AL29" t="e">
        <v>#N/A</v>
      </c>
      <c r="AM29" s="332" t="e">
        <v>#N/A</v>
      </c>
      <c r="AN29" t="e">
        <v>#N/A</v>
      </c>
      <c r="AO29" t="e">
        <v>#N/A</v>
      </c>
      <c r="AP29" t="e">
        <v>#N/A</v>
      </c>
      <c r="AQ29" s="629" t="e" cm="1">
        <f t="array" ref="AQ29">INDEX(W29:AP29,ROWS($1:17))</f>
        <v>#N/A</v>
      </c>
    </row>
    <row r="30" spans="2:43">
      <c r="B30" s="176" t="s">
        <v>938</v>
      </c>
      <c r="E30" s="626">
        <f>E27-E24</f>
        <v>253.39403545941445</v>
      </c>
      <c r="F30" t="s">
        <v>797</v>
      </c>
      <c r="J30" s="593"/>
      <c r="N30" s="684"/>
      <c r="O30" s="684"/>
      <c r="P30" s="684"/>
      <c r="Q30" s="684"/>
      <c r="R30" s="697" t="e">
        <f>VLOOKUP(O30,Hypothèses!$C$214:$E$234,3)</f>
        <v>#N/A</v>
      </c>
      <c r="S30" s="683" t="str">
        <f t="shared" si="0"/>
        <v/>
      </c>
      <c r="U30" s="1893"/>
      <c r="V30" s="677" t="e">
        <f t="shared" si="1"/>
        <v>#N/A</v>
      </c>
      <c r="W30" t="e">
        <v>#N/A</v>
      </c>
      <c r="X30" t="e">
        <v>#N/A</v>
      </c>
      <c r="Y30" t="e">
        <v>#N/A</v>
      </c>
      <c r="Z30" t="e">
        <v>#N/A</v>
      </c>
      <c r="AA30" t="e">
        <v>#N/A</v>
      </c>
      <c r="AB30" t="e">
        <v>#N/A</v>
      </c>
      <c r="AC30" t="e">
        <v>#N/A</v>
      </c>
      <c r="AD30" t="e">
        <v>#N/A</v>
      </c>
      <c r="AE30" t="e">
        <v>#N/A</v>
      </c>
      <c r="AF30" t="e">
        <v>#N/A</v>
      </c>
      <c r="AG30" t="e">
        <v>#N/A</v>
      </c>
      <c r="AH30" t="e">
        <v>#N/A</v>
      </c>
      <c r="AI30" t="e">
        <v>#N/A</v>
      </c>
      <c r="AJ30" t="e">
        <v>#N/A</v>
      </c>
      <c r="AK30" t="e">
        <v>#N/A</v>
      </c>
      <c r="AL30" t="e">
        <v>#N/A</v>
      </c>
      <c r="AM30" t="e">
        <v>#N/A</v>
      </c>
      <c r="AN30" s="332" t="e">
        <v>#N/A</v>
      </c>
      <c r="AO30" t="e">
        <v>#N/A</v>
      </c>
      <c r="AP30" t="e">
        <v>#N/A</v>
      </c>
      <c r="AQ30" s="629" t="e" cm="1">
        <f t="array" ref="AQ30">INDEX(W30:AP30,ROWS($1:18))</f>
        <v>#N/A</v>
      </c>
    </row>
    <row r="31" spans="2:43">
      <c r="B31" s="176"/>
      <c r="E31" s="626">
        <f>E30*'Facteurs conversion'!C6/1000/'Facteurs conversion'!C23</f>
        <v>263.53505138022149</v>
      </c>
      <c r="F31" t="s">
        <v>940</v>
      </c>
      <c r="J31" s="593"/>
      <c r="N31" s="688"/>
      <c r="O31" s="688"/>
      <c r="P31" s="688"/>
      <c r="Q31" s="688"/>
      <c r="R31" s="697" t="e">
        <f>VLOOKUP(O31,Hypothèses!$C$214:$E$234,3)</f>
        <v>#N/A</v>
      </c>
      <c r="S31" s="683" t="str">
        <f t="shared" si="0"/>
        <v/>
      </c>
      <c r="U31" s="1893"/>
      <c r="V31" s="677" t="e">
        <f t="shared" si="1"/>
        <v>#N/A</v>
      </c>
      <c r="W31" t="e">
        <v>#N/A</v>
      </c>
      <c r="X31" t="e">
        <v>#N/A</v>
      </c>
      <c r="Y31" t="e">
        <v>#N/A</v>
      </c>
      <c r="Z31" t="e">
        <v>#N/A</v>
      </c>
      <c r="AA31" t="e">
        <v>#N/A</v>
      </c>
      <c r="AB31" t="e">
        <v>#N/A</v>
      </c>
      <c r="AC31" t="e">
        <v>#N/A</v>
      </c>
      <c r="AD31" t="e">
        <v>#N/A</v>
      </c>
      <c r="AE31" t="e">
        <v>#N/A</v>
      </c>
      <c r="AF31" t="e">
        <v>#N/A</v>
      </c>
      <c r="AG31" t="e">
        <v>#N/A</v>
      </c>
      <c r="AH31" t="e">
        <v>#N/A</v>
      </c>
      <c r="AI31" t="e">
        <v>#N/A</v>
      </c>
      <c r="AJ31" t="e">
        <v>#N/A</v>
      </c>
      <c r="AK31" t="e">
        <v>#N/A</v>
      </c>
      <c r="AL31" t="e">
        <v>#N/A</v>
      </c>
      <c r="AM31" t="e">
        <v>#N/A</v>
      </c>
      <c r="AN31" t="e">
        <v>#N/A</v>
      </c>
      <c r="AO31" s="332" t="e">
        <v>#N/A</v>
      </c>
      <c r="AP31" t="e">
        <v>#N/A</v>
      </c>
      <c r="AQ31" s="629" t="e" cm="1">
        <f t="array" ref="AQ31">INDEX(W31:AP31,ROWS($1:19))</f>
        <v>#N/A</v>
      </c>
    </row>
    <row r="32" spans="2:43" ht="15" thickBot="1">
      <c r="B32" s="176" t="s">
        <v>939</v>
      </c>
      <c r="E32" s="626">
        <f>K108-K71</f>
        <v>851.08989601051201</v>
      </c>
      <c r="F32" t="s">
        <v>941</v>
      </c>
      <c r="J32" s="593"/>
      <c r="N32" s="595"/>
      <c r="U32" s="1893"/>
      <c r="V32" s="677" t="e">
        <f t="shared" si="1"/>
        <v>#N/A</v>
      </c>
      <c r="W32" t="e">
        <v>#N/A</v>
      </c>
      <c r="X32" t="e">
        <v>#N/A</v>
      </c>
      <c r="Y32" t="e">
        <v>#N/A</v>
      </c>
      <c r="Z32" t="e">
        <v>#N/A</v>
      </c>
      <c r="AA32" t="e">
        <v>#N/A</v>
      </c>
      <c r="AB32" t="e">
        <v>#N/A</v>
      </c>
      <c r="AC32" t="e">
        <v>#N/A</v>
      </c>
      <c r="AD32" t="e">
        <v>#N/A</v>
      </c>
      <c r="AE32" t="e">
        <v>#N/A</v>
      </c>
      <c r="AF32" t="e">
        <v>#N/A</v>
      </c>
      <c r="AG32" t="e">
        <v>#N/A</v>
      </c>
      <c r="AH32" t="e">
        <v>#N/A</v>
      </c>
      <c r="AI32" t="e">
        <v>#N/A</v>
      </c>
      <c r="AJ32" t="e">
        <v>#N/A</v>
      </c>
      <c r="AK32" t="e">
        <v>#N/A</v>
      </c>
      <c r="AL32" t="e">
        <v>#N/A</v>
      </c>
      <c r="AM32" t="e">
        <v>#N/A</v>
      </c>
      <c r="AN32" t="e">
        <v>#N/A</v>
      </c>
      <c r="AO32" t="e">
        <v>#N/A</v>
      </c>
      <c r="AP32" s="332" t="e">
        <v>#N/A</v>
      </c>
      <c r="AQ32" s="699" t="e" cm="1">
        <f t="array" ref="AQ32">INDEX(W32:AP32,ROWS($1:20))</f>
        <v>#N/A</v>
      </c>
    </row>
    <row r="33" spans="2:33">
      <c r="B33" s="176"/>
      <c r="E33" s="626">
        <f>E32*'Facteurs conversion'!C6/1000/'Facteurs conversion'!C23^2</f>
        <v>269.79405898078915</v>
      </c>
      <c r="F33" t="s">
        <v>942</v>
      </c>
      <c r="J33" s="593"/>
      <c r="U33" s="708"/>
      <c r="V33" s="592"/>
    </row>
    <row r="34" spans="2:33">
      <c r="B34" s="176"/>
      <c r="E34" s="593"/>
      <c r="J34" s="593"/>
      <c r="N34" s="1896" t="s">
        <v>1004</v>
      </c>
      <c r="O34" s="1896"/>
      <c r="P34" s="1896"/>
      <c r="Q34" s="1896"/>
      <c r="R34" s="1896"/>
      <c r="S34" s="1896"/>
      <c r="T34" s="1896"/>
      <c r="U34" s="1896"/>
      <c r="V34" s="1896"/>
      <c r="W34" s="1896"/>
      <c r="X34" s="1896"/>
      <c r="Y34" s="1896"/>
      <c r="Z34" s="1896"/>
      <c r="AA34" s="1896"/>
      <c r="AB34" s="1896"/>
      <c r="AC34" s="1896"/>
      <c r="AD34" s="1896"/>
      <c r="AE34" s="1896"/>
      <c r="AF34" s="1896"/>
      <c r="AG34" s="1896"/>
    </row>
    <row r="35" spans="2:33" ht="16.2">
      <c r="B35" s="594" t="s">
        <v>1218</v>
      </c>
      <c r="E35" s="791"/>
      <c r="F35" s="196" t="s">
        <v>1223</v>
      </c>
      <c r="N35" s="1902" t="s">
        <v>923</v>
      </c>
      <c r="O35" s="689" t="s">
        <v>993</v>
      </c>
      <c r="P35" s="689" t="s">
        <v>925</v>
      </c>
      <c r="Q35" s="1903" t="s">
        <v>935</v>
      </c>
      <c r="R35" s="689" t="s">
        <v>991</v>
      </c>
      <c r="S35" s="689" t="s">
        <v>922</v>
      </c>
      <c r="W35" s="1901" t="s">
        <v>996</v>
      </c>
      <c r="X35" s="1901"/>
      <c r="Y35" s="1901"/>
      <c r="Z35" s="1901"/>
      <c r="AA35" s="1901"/>
      <c r="AB35" s="1901"/>
      <c r="AC35" s="1901"/>
      <c r="AD35" s="1901"/>
      <c r="AE35" s="1901"/>
      <c r="AF35" s="1901"/>
    </row>
    <row r="36" spans="2:33" ht="16.2">
      <c r="E36" t="s">
        <v>799</v>
      </c>
      <c r="G36">
        <v>1</v>
      </c>
      <c r="H36">
        <v>2</v>
      </c>
      <c r="I36">
        <v>3</v>
      </c>
      <c r="J36">
        <v>4</v>
      </c>
      <c r="K36">
        <v>5</v>
      </c>
      <c r="N36" s="1902"/>
      <c r="O36" s="690" t="s">
        <v>1005</v>
      </c>
      <c r="P36" s="690" t="s">
        <v>929</v>
      </c>
      <c r="Q36" s="1904"/>
      <c r="R36" s="691" t="s">
        <v>945</v>
      </c>
      <c r="S36" s="690" t="s">
        <v>1001</v>
      </c>
      <c r="W36" s="1894" t="s">
        <v>779</v>
      </c>
      <c r="X36" s="1894"/>
      <c r="Y36" s="1894"/>
      <c r="Z36" s="1894"/>
      <c r="AA36" s="1894"/>
      <c r="AB36" s="1894"/>
      <c r="AC36" s="1894"/>
      <c r="AD36" s="1894"/>
      <c r="AE36" s="1894"/>
      <c r="AF36" s="1894"/>
      <c r="AG36" s="1897" t="s">
        <v>943</v>
      </c>
    </row>
    <row r="37" spans="2:33" ht="15" thickBot="1">
      <c r="B37" t="s">
        <v>859</v>
      </c>
      <c r="E37" t="s">
        <v>800</v>
      </c>
      <c r="F37" t="s">
        <v>843</v>
      </c>
      <c r="G37" s="593">
        <f>E11+1</f>
        <v>19.333333333333332</v>
      </c>
      <c r="H37" s="136">
        <f>G73</f>
        <v>33.917840352867856</v>
      </c>
      <c r="I37" s="136">
        <f t="shared" ref="I37:J37" si="2">H73</f>
        <v>30.516665004268091</v>
      </c>
      <c r="J37" s="136">
        <f t="shared" si="2"/>
        <v>30.8969442015472</v>
      </c>
      <c r="K37" s="136">
        <f>J73</f>
        <v>30.85035247990109</v>
      </c>
      <c r="L37" s="136"/>
      <c r="M37" s="136"/>
      <c r="N37" s="696" t="e" cm="1" vm="2">
        <f t="array" ref="N37">_xlfn._xlws.FILTER(Isolation!$B$32:$E$41,Isolation!$E$32:$E$41=P6)</f>
        <v>#VALUE!</v>
      </c>
      <c r="O37" s="15"/>
      <c r="P37" s="15"/>
      <c r="Q37" s="15"/>
      <c r="R37" s="700" t="e" vm="1">
        <f>VLOOKUP(N37,Isolation!$B$32:$R$41,9)</f>
        <v>#VALUE!</v>
      </c>
      <c r="S37" s="15" t="e" vm="1">
        <f>IF(N37="","",AG38)</f>
        <v>#VALUE!</v>
      </c>
      <c r="V37" s="634">
        <f>$E$32</f>
        <v>851.08989601051201</v>
      </c>
      <c r="W37" s="678" cm="1">
        <f t="array" ref="W37:AF37">TRANSPOSE(P37:P46)</f>
        <v>0</v>
      </c>
      <c r="X37" s="678">
        <v>0</v>
      </c>
      <c r="Y37" s="678">
        <v>0</v>
      </c>
      <c r="Z37" s="678">
        <v>0</v>
      </c>
      <c r="AA37" s="678">
        <v>0</v>
      </c>
      <c r="AB37" s="678">
        <v>0</v>
      </c>
      <c r="AC37" s="678">
        <v>0</v>
      </c>
      <c r="AD37" s="678">
        <v>0</v>
      </c>
      <c r="AE37" s="678">
        <v>0</v>
      </c>
      <c r="AF37" s="678">
        <v>0</v>
      </c>
      <c r="AG37" s="1897"/>
    </row>
    <row r="38" spans="2:33">
      <c r="B38" t="s">
        <v>862</v>
      </c>
      <c r="E38" t="s">
        <v>801</v>
      </c>
      <c r="F38" t="s">
        <v>843</v>
      </c>
      <c r="G38" s="593">
        <f>E10-1</f>
        <v>92.333333333333329</v>
      </c>
      <c r="H38" s="136">
        <f>G72</f>
        <v>93.329179854300094</v>
      </c>
      <c r="I38" s="136">
        <f t="shared" ref="I38:K38" si="3">H72</f>
        <v>93.32890317366072</v>
      </c>
      <c r="J38" s="136">
        <f t="shared" si="3"/>
        <v>93.328938599371952</v>
      </c>
      <c r="K38" s="136">
        <f t="shared" si="3"/>
        <v>93.32893436133088</v>
      </c>
      <c r="L38" s="136"/>
      <c r="M38" s="593"/>
      <c r="N38" s="696"/>
      <c r="O38" s="15"/>
      <c r="P38" s="15"/>
      <c r="Q38" s="15"/>
      <c r="R38" s="700" t="e">
        <f>VLOOKUP(N38,Isolation!$B$32:$R$41,9)</f>
        <v>#N/A</v>
      </c>
      <c r="S38" s="15" t="str">
        <f t="shared" ref="S38:S46" si="4">IF(N38="","",AG39)</f>
        <v/>
      </c>
      <c r="U38" s="1898" t="s">
        <v>992</v>
      </c>
      <c r="V38" s="681" t="e" vm="1">
        <f>R37</f>
        <v>#VALUE!</v>
      </c>
      <c r="W38" s="332" t="e" vm="1">
        <f t="dataTable" ref="W38:AF47" dt2D="1" dtr="1" r1="E10" r2="E9" ca="1"/>
        <v>#VALUE!</v>
      </c>
      <c r="X38" t="e" vm="1">
        <v>#VALUE!</v>
      </c>
      <c r="Y38" t="e" vm="1">
        <v>#VALUE!</v>
      </c>
      <c r="Z38" t="e" vm="1">
        <v>#VALUE!</v>
      </c>
      <c r="AA38" t="e" vm="1">
        <v>#VALUE!</v>
      </c>
      <c r="AB38" t="e" vm="1">
        <v>#VALUE!</v>
      </c>
      <c r="AC38" t="e" vm="1">
        <v>#VALUE!</v>
      </c>
      <c r="AD38" t="e" vm="1">
        <v>#VALUE!</v>
      </c>
      <c r="AE38" t="e" vm="1">
        <v>#VALUE!</v>
      </c>
      <c r="AF38" t="e" vm="1">
        <v>#VALUE!</v>
      </c>
      <c r="AG38" s="698" t="e" cm="1" vm="1">
        <f t="array" ref="AG38">INDEX(W38:AF38,ROWS($1:1))</f>
        <v>#VALUE!</v>
      </c>
    </row>
    <row r="39" spans="2:33">
      <c r="B39" s="3" t="s">
        <v>863</v>
      </c>
      <c r="N39" s="696"/>
      <c r="O39" s="15"/>
      <c r="P39" s="15"/>
      <c r="Q39" s="15"/>
      <c r="R39" s="700" t="e">
        <f>VLOOKUP(N39,Isolation!$B$32:$R$41,9)</f>
        <v>#N/A</v>
      </c>
      <c r="S39" s="15" t="str">
        <f t="shared" si="4"/>
        <v/>
      </c>
      <c r="U39" s="1898"/>
      <c r="V39" s="681" t="e">
        <f t="shared" ref="V39:V47" si="5">R38</f>
        <v>#N/A</v>
      </c>
      <c r="W39" t="e">
        <v>#N/A</v>
      </c>
      <c r="X39" s="332" t="e">
        <v>#N/A</v>
      </c>
      <c r="Y39" t="e">
        <v>#N/A</v>
      </c>
      <c r="Z39" t="e">
        <v>#N/A</v>
      </c>
      <c r="AA39" t="e">
        <v>#N/A</v>
      </c>
      <c r="AB39" t="e">
        <v>#N/A</v>
      </c>
      <c r="AC39" t="e">
        <v>#N/A</v>
      </c>
      <c r="AD39" t="e">
        <v>#N/A</v>
      </c>
      <c r="AE39" t="e">
        <v>#N/A</v>
      </c>
      <c r="AF39" t="e">
        <v>#N/A</v>
      </c>
      <c r="AG39" s="629" t="e" cm="1">
        <f t="array" ref="AG39">INDEX(W39:AF39,ROWS($1:2))</f>
        <v>#N/A</v>
      </c>
    </row>
    <row r="40" spans="2:33">
      <c r="B40" t="s">
        <v>864</v>
      </c>
      <c r="E40" t="s">
        <v>802</v>
      </c>
      <c r="F40" t="s">
        <v>843</v>
      </c>
      <c r="G40">
        <f>(G37+$E$11)/2</f>
        <v>18.833333333333332</v>
      </c>
      <c r="H40" s="136">
        <f t="shared" ref="H40:K40" si="6">(H37+$E$11)/2</f>
        <v>26.125586843100592</v>
      </c>
      <c r="I40" s="136">
        <f t="shared" si="6"/>
        <v>24.42499916880071</v>
      </c>
      <c r="J40" s="136">
        <f t="shared" si="6"/>
        <v>24.615138767440264</v>
      </c>
      <c r="K40" s="136">
        <f t="shared" si="6"/>
        <v>24.59184290661721</v>
      </c>
      <c r="L40" s="593"/>
      <c r="M40" s="593"/>
      <c r="N40" s="696"/>
      <c r="O40" s="15"/>
      <c r="P40" s="15"/>
      <c r="Q40" s="15"/>
      <c r="R40" s="700" t="e">
        <f>VLOOKUP(N40,Isolation!$B$32:$R$41,9)</f>
        <v>#N/A</v>
      </c>
      <c r="S40" s="15" t="str">
        <f t="shared" si="4"/>
        <v/>
      </c>
      <c r="U40" s="1898"/>
      <c r="V40" s="681" t="e">
        <f t="shared" si="5"/>
        <v>#N/A</v>
      </c>
      <c r="W40" t="e">
        <v>#N/A</v>
      </c>
      <c r="X40" t="e">
        <v>#N/A</v>
      </c>
      <c r="Y40" s="332" t="e">
        <v>#N/A</v>
      </c>
      <c r="Z40" t="e">
        <v>#N/A</v>
      </c>
      <c r="AA40" t="e">
        <v>#N/A</v>
      </c>
      <c r="AB40" t="e">
        <v>#N/A</v>
      </c>
      <c r="AC40" t="e">
        <v>#N/A</v>
      </c>
      <c r="AD40" t="e">
        <v>#N/A</v>
      </c>
      <c r="AE40" t="e">
        <v>#N/A</v>
      </c>
      <c r="AF40" t="e">
        <v>#N/A</v>
      </c>
      <c r="AG40" s="629" t="e" cm="1">
        <f t="array" ref="AG40">INDEX(W40:AF40,ROWS($1:3))</f>
        <v>#N/A</v>
      </c>
    </row>
    <row r="41" spans="2:33">
      <c r="F41" t="s">
        <v>803</v>
      </c>
      <c r="G41">
        <f>G40+273.15</f>
        <v>291.98333333333329</v>
      </c>
      <c r="H41" s="136">
        <f t="shared" ref="H41:K41" si="7">H40+273.15</f>
        <v>299.27558684310054</v>
      </c>
      <c r="I41" s="136">
        <f t="shared" si="7"/>
        <v>297.57499916880067</v>
      </c>
      <c r="J41" s="136">
        <f t="shared" si="7"/>
        <v>297.76513876744025</v>
      </c>
      <c r="K41" s="136">
        <f t="shared" si="7"/>
        <v>297.74184290661719</v>
      </c>
      <c r="L41" s="136"/>
      <c r="M41" s="136"/>
      <c r="N41" s="696"/>
      <c r="O41" s="15"/>
      <c r="P41" s="15"/>
      <c r="Q41" s="15"/>
      <c r="R41" s="700" t="e">
        <f>VLOOKUP(N41,Isolation!$B$32:$R$41,9)</f>
        <v>#N/A</v>
      </c>
      <c r="S41" s="15" t="str">
        <f t="shared" si="4"/>
        <v/>
      </c>
      <c r="U41" s="1898"/>
      <c r="V41" s="681" t="e">
        <f t="shared" si="5"/>
        <v>#N/A</v>
      </c>
      <c r="W41" t="e">
        <v>#N/A</v>
      </c>
      <c r="X41" t="e">
        <v>#N/A</v>
      </c>
      <c r="Y41" t="e">
        <v>#N/A</v>
      </c>
      <c r="Z41" s="332" t="e">
        <v>#N/A</v>
      </c>
      <c r="AA41" t="e">
        <v>#N/A</v>
      </c>
      <c r="AB41" t="e">
        <v>#N/A</v>
      </c>
      <c r="AC41" t="e">
        <v>#N/A</v>
      </c>
      <c r="AD41" t="e">
        <v>#N/A</v>
      </c>
      <c r="AE41" t="e">
        <v>#N/A</v>
      </c>
      <c r="AF41" t="e">
        <v>#N/A</v>
      </c>
      <c r="AG41" s="629" t="e" cm="1">
        <f t="array" ref="AG41">INDEX(W41:AF41,ROWS($1:4))</f>
        <v>#N/A</v>
      </c>
    </row>
    <row r="42" spans="2:33">
      <c r="B42" t="s">
        <v>896</v>
      </c>
      <c r="E42" t="s">
        <v>804</v>
      </c>
      <c r="F42" t="s">
        <v>805</v>
      </c>
      <c r="G42" s="595">
        <f>(Propriété_air!$Q$22*G41^4+Propriété_air!$R$22*G41^3+Propriété_air!$S$22*G41^2+Propriété_air!$T$22*G41+Propriété_air!$U$22)/10^3</f>
        <v>2.5620216674003316E-2</v>
      </c>
      <c r="H42" s="595">
        <f>(Propriété_air!$Q$22*H41^4+Propriété_air!$R$22*H41^3+Propriété_air!$S$22*H41^2+Propriété_air!$T$22*H41+Propriété_air!$U$22)/10^3</f>
        <v>2.6199086142070224E-2</v>
      </c>
      <c r="I42" s="595">
        <f>(Propriété_air!$Q$22*I41^4+Propriété_air!$R$22*I41^3+Propriété_air!$S$22*I41^2+Propriété_air!$T$22*I41+Propriété_air!$U$22)/10^3</f>
        <v>2.6064387476217525E-2</v>
      </c>
      <c r="J42" s="595">
        <f>(Propriété_air!$Q$22*J41^4+Propriété_air!$R$22*J41^3+Propriété_air!$S$22*J41^2+Propriété_air!$T$22*J41+Propriété_air!$U$22)/10^3</f>
        <v>2.6079456875374087E-2</v>
      </c>
      <c r="K42" s="595">
        <f>(Propriété_air!$Q$22*K41^4+Propriété_air!$R$22*K41^3+Propriété_air!$S$22*K41^2+Propriété_air!$T$22*K41+Propriété_air!$U$22)/10^3</f>
        <v>2.6077610697489026E-2</v>
      </c>
      <c r="L42" s="595"/>
      <c r="M42" s="595"/>
      <c r="N42" s="696"/>
      <c r="O42" s="15"/>
      <c r="P42" s="15"/>
      <c r="Q42" s="15"/>
      <c r="R42" s="700" t="e">
        <f>VLOOKUP(N42,Isolation!$B$32:$R$41,9)</f>
        <v>#N/A</v>
      </c>
      <c r="S42" s="15" t="str">
        <f t="shared" si="4"/>
        <v/>
      </c>
      <c r="U42" s="1898"/>
      <c r="V42" s="681" t="e">
        <f t="shared" si="5"/>
        <v>#N/A</v>
      </c>
      <c r="W42" t="e">
        <v>#N/A</v>
      </c>
      <c r="X42" t="e">
        <v>#N/A</v>
      </c>
      <c r="Y42" t="e">
        <v>#N/A</v>
      </c>
      <c r="Z42" t="e">
        <v>#N/A</v>
      </c>
      <c r="AA42" s="332" t="e">
        <v>#N/A</v>
      </c>
      <c r="AB42" t="e">
        <v>#N/A</v>
      </c>
      <c r="AC42" t="e">
        <v>#N/A</v>
      </c>
      <c r="AD42" t="e">
        <v>#N/A</v>
      </c>
      <c r="AE42" t="e">
        <v>#N/A</v>
      </c>
      <c r="AF42" t="e">
        <v>#N/A</v>
      </c>
      <c r="AG42" s="629" t="e" cm="1">
        <f t="array" ref="AG42">INDEX(W42:AF42,ROWS($1:5))</f>
        <v>#N/A</v>
      </c>
    </row>
    <row r="43" spans="2:33">
      <c r="B43" t="s">
        <v>897</v>
      </c>
      <c r="E43" t="s">
        <v>806</v>
      </c>
      <c r="F43" t="s">
        <v>844</v>
      </c>
      <c r="G43" s="596">
        <f>(Propriété_air!$Q$10*G41^4+Propriété_air!$R$10*G41^3+Propriété_air!$S$10*G41^2+Propriété_air!$T$10*G41+Propriété_air!$U$10)/10^7</f>
        <v>1.8090342079092796E-5</v>
      </c>
      <c r="H43" s="596">
        <f>(Propriété_air!$Q$10*H41^4+Propriété_air!$R$10*H41^3+Propriété_air!$S$10*H41^2+Propriété_air!$T$10*H41+Propriété_air!$U$10)/10^7</f>
        <v>1.8445566505561402E-5</v>
      </c>
      <c r="I43" s="596">
        <f>(Propriété_air!$Q$10*I41^4+Propriété_air!$R$10*I41^3+Propriété_air!$S$10*I41^2+Propriété_air!$T$10*I41+Propriété_air!$U$10)/10^7</f>
        <v>1.8363062605914573E-5</v>
      </c>
      <c r="J43" s="596">
        <f>(Propriété_air!$Q$10*J41^4+Propriété_air!$R$10*J41^3+Propriété_air!$S$10*J41^2+Propriété_air!$T$10*J41+Propriété_air!$U$10)/10^7</f>
        <v>1.8372297313362609E-5</v>
      </c>
      <c r="K43" s="596">
        <f>(Propriété_air!$Q$10*K41^4+Propriété_air!$R$10*K41^3+Propriété_air!$S$10*K41^2+Propriété_air!$T$10*K41+Propriété_air!$U$10)/10^7</f>
        <v>1.8371166015928592E-5</v>
      </c>
      <c r="L43" s="596"/>
      <c r="M43" s="601"/>
      <c r="N43" s="696"/>
      <c r="O43" s="15"/>
      <c r="P43" s="15"/>
      <c r="Q43" s="15"/>
      <c r="R43" s="700" t="e">
        <f>VLOOKUP(N43,Isolation!$B$32:$R$41,9)</f>
        <v>#N/A</v>
      </c>
      <c r="S43" s="15" t="str">
        <f t="shared" si="4"/>
        <v/>
      </c>
      <c r="U43" s="1898"/>
      <c r="V43" s="681" t="e">
        <f t="shared" si="5"/>
        <v>#N/A</v>
      </c>
      <c r="W43" t="e">
        <v>#N/A</v>
      </c>
      <c r="X43" t="e">
        <v>#N/A</v>
      </c>
      <c r="Y43" t="e">
        <v>#N/A</v>
      </c>
      <c r="Z43" t="e">
        <v>#N/A</v>
      </c>
      <c r="AA43" t="e">
        <v>#N/A</v>
      </c>
      <c r="AB43" s="332" t="e">
        <v>#N/A</v>
      </c>
      <c r="AC43" t="e">
        <v>#N/A</v>
      </c>
      <c r="AD43" t="e">
        <v>#N/A</v>
      </c>
      <c r="AE43" t="e">
        <v>#N/A</v>
      </c>
      <c r="AF43" t="e">
        <v>#N/A</v>
      </c>
      <c r="AG43" s="629" t="e" cm="1">
        <f t="array" ref="AG43">INDEX(W43:AF43,ROWS($1:6))</f>
        <v>#N/A</v>
      </c>
    </row>
    <row r="44" spans="2:33">
      <c r="B44" t="s">
        <v>807</v>
      </c>
      <c r="E44" t="s">
        <v>808</v>
      </c>
      <c r="G44" s="584">
        <f>Propriété_air!$Q$34*G41^4+Propriété_air!$R$34*G41^3+Propriété_air!$S$34*G41^2+Propriété_air!$T$34*G41+Propriété_air!$U$34</f>
        <v>0.70927939834533715</v>
      </c>
      <c r="H44" s="584">
        <f>Propriété_air!$Q$34*H41^4+Propriété_air!$R$34*H41^3+Propriété_air!$S$34*H41^2+Propriété_air!$T$34*H41+Propriété_air!$U$34</f>
        <v>0.70747598628627206</v>
      </c>
      <c r="I44" s="584">
        <f>Propriété_air!$Q$34*I41^4+Propriété_air!$R$34*I41^3+Propriété_air!$S$34*I41^2+Propriété_air!$T$34*I41+Propriété_air!$U$34</f>
        <v>0.70789012718259636</v>
      </c>
      <c r="J44" s="584">
        <f>Propriété_air!$Q$34*J41^4+Propriété_air!$R$34*J41^3+Propriété_air!$S$34*J41^2+Propriété_air!$T$34*J41+Propriété_air!$U$34</f>
        <v>0.70784362928968636</v>
      </c>
      <c r="K44" s="584">
        <f>Propriété_air!$Q$34*K41^4+Propriété_air!$R$34*K41^3+Propriété_air!$S$34*K41^2+Propriété_air!$T$34*K41+Propriété_air!$U$34</f>
        <v>0.70784932357997632</v>
      </c>
      <c r="L44" s="584"/>
      <c r="M44" s="584"/>
      <c r="N44" s="696"/>
      <c r="O44" s="15"/>
      <c r="P44" s="15"/>
      <c r="Q44" s="15"/>
      <c r="R44" s="700" t="e">
        <f>VLOOKUP(N44,Isolation!$B$32:$R$41,9)</f>
        <v>#N/A</v>
      </c>
      <c r="S44" s="15" t="str">
        <f t="shared" si="4"/>
        <v/>
      </c>
      <c r="U44" s="1898"/>
      <c r="V44" s="681" t="e">
        <f t="shared" si="5"/>
        <v>#N/A</v>
      </c>
      <c r="W44" t="e">
        <v>#N/A</v>
      </c>
      <c r="X44" t="e">
        <v>#N/A</v>
      </c>
      <c r="Y44" t="e">
        <v>#N/A</v>
      </c>
      <c r="Z44" t="e">
        <v>#N/A</v>
      </c>
      <c r="AA44" t="e">
        <v>#N/A</v>
      </c>
      <c r="AB44" t="e">
        <v>#N/A</v>
      </c>
      <c r="AC44" s="332" t="e">
        <v>#N/A</v>
      </c>
      <c r="AD44" t="e">
        <v>#N/A</v>
      </c>
      <c r="AE44" t="e">
        <v>#N/A</v>
      </c>
      <c r="AF44" t="e">
        <v>#N/A</v>
      </c>
      <c r="AG44" s="629" t="e" cm="1">
        <f t="array" ref="AG44">INDEX(W44:AF44,ROWS($1:7))</f>
        <v>#N/A</v>
      </c>
    </row>
    <row r="45" spans="2:33">
      <c r="B45" t="s">
        <v>898</v>
      </c>
      <c r="E45" t="s">
        <v>809</v>
      </c>
      <c r="F45" t="s">
        <v>810</v>
      </c>
      <c r="G45">
        <f>1/G41</f>
        <v>3.4248530167246996E-3</v>
      </c>
      <c r="H45">
        <f t="shared" ref="H45:K45" si="8">1/H41</f>
        <v>3.3414018515458268E-3</v>
      </c>
      <c r="I45">
        <f t="shared" si="8"/>
        <v>3.3604973629950204E-3</v>
      </c>
      <c r="J45">
        <f t="shared" si="8"/>
        <v>3.3583514985648382E-3</v>
      </c>
      <c r="K45">
        <f t="shared" si="8"/>
        <v>3.3586142620660705E-3</v>
      </c>
      <c r="L45" s="601"/>
      <c r="M45" s="197"/>
      <c r="N45" s="696"/>
      <c r="O45" s="15"/>
      <c r="P45" s="15"/>
      <c r="Q45" s="15"/>
      <c r="R45" s="700" t="e">
        <f>VLOOKUP(N45,Isolation!$B$32:$R$41,9)</f>
        <v>#N/A</v>
      </c>
      <c r="S45" s="15" t="str">
        <f t="shared" si="4"/>
        <v/>
      </c>
      <c r="U45" s="1898"/>
      <c r="V45" s="681" t="e">
        <f t="shared" si="5"/>
        <v>#N/A</v>
      </c>
      <c r="W45" t="e">
        <v>#N/A</v>
      </c>
      <c r="X45" t="e">
        <v>#N/A</v>
      </c>
      <c r="Y45" t="e">
        <v>#N/A</v>
      </c>
      <c r="Z45" t="e">
        <v>#N/A</v>
      </c>
      <c r="AA45" t="e">
        <v>#N/A</v>
      </c>
      <c r="AB45" t="e">
        <v>#N/A</v>
      </c>
      <c r="AC45" t="e">
        <v>#N/A</v>
      </c>
      <c r="AD45" s="332" t="e">
        <v>#N/A</v>
      </c>
      <c r="AE45" t="e">
        <v>#N/A</v>
      </c>
      <c r="AF45" t="e">
        <v>#N/A</v>
      </c>
      <c r="AG45" s="629" t="e" cm="1">
        <f t="array" ref="AG45">INDEX(W45:AF45,ROWS($1:8))</f>
        <v>#N/A</v>
      </c>
    </row>
    <row r="46" spans="2:33">
      <c r="B46" t="s">
        <v>899</v>
      </c>
      <c r="E46" t="s">
        <v>811</v>
      </c>
      <c r="F46" t="s">
        <v>845</v>
      </c>
      <c r="G46" s="595">
        <f>Propriété_air!$Q$45/'Isolation - CAS 1'!G41</f>
        <v>1.2089882021352043</v>
      </c>
      <c r="H46" s="595">
        <f>Propriété_air!$Q$45/'Isolation - CAS 1'!H41</f>
        <v>1.1795295732063111</v>
      </c>
      <c r="I46" s="595">
        <f>Propriété_air!$Q$45/'Isolation - CAS 1'!I41</f>
        <v>1.1862703728678075</v>
      </c>
      <c r="J46" s="595">
        <f>Propriété_air!$Q$45/'Isolation - CAS 1'!J41</f>
        <v>1.1855128732709481</v>
      </c>
      <c r="K46" s="595">
        <f>Propriété_air!$Q$45/'Isolation - CAS 1'!K41</f>
        <v>1.1856056299444142</v>
      </c>
      <c r="L46" s="595"/>
      <c r="M46" s="601"/>
      <c r="N46" s="696"/>
      <c r="O46" s="15"/>
      <c r="P46" s="15"/>
      <c r="Q46" s="15"/>
      <c r="R46" s="700" t="e">
        <f>VLOOKUP(N46,Isolation!$B$32:$R$41,9)</f>
        <v>#N/A</v>
      </c>
      <c r="S46" s="15" t="str">
        <f t="shared" si="4"/>
        <v/>
      </c>
      <c r="U46" s="1898"/>
      <c r="V46" s="681" t="e">
        <f t="shared" si="5"/>
        <v>#N/A</v>
      </c>
      <c r="W46" t="e">
        <v>#N/A</v>
      </c>
      <c r="X46" t="e">
        <v>#N/A</v>
      </c>
      <c r="Y46" t="e">
        <v>#N/A</v>
      </c>
      <c r="Z46" t="e">
        <v>#N/A</v>
      </c>
      <c r="AA46" t="e">
        <v>#N/A</v>
      </c>
      <c r="AB46" t="e">
        <v>#N/A</v>
      </c>
      <c r="AC46" t="e">
        <v>#N/A</v>
      </c>
      <c r="AD46" t="e">
        <v>#N/A</v>
      </c>
      <c r="AE46" s="332" t="e">
        <v>#N/A</v>
      </c>
      <c r="AF46" t="e">
        <v>#N/A</v>
      </c>
      <c r="AG46" s="629" t="e" cm="1">
        <f t="array" ref="AG46">INDEX(W46:AF46,ROWS($1:9))</f>
        <v>#N/A</v>
      </c>
    </row>
    <row r="47" spans="2:33" ht="15" thickBot="1">
      <c r="B47" t="s">
        <v>812</v>
      </c>
      <c r="E47" t="s">
        <v>813</v>
      </c>
      <c r="F47" t="s">
        <v>814</v>
      </c>
      <c r="G47" s="596">
        <f>(Propriété_air!$Q$16*G41^4+Propriété_air!$R$16*G41^3+Propriété_air!$S$16*G41^2+Propriété_air!$T$16*G41+Propriété_air!$U$16)/10^6</f>
        <v>1.51587898128742E-5</v>
      </c>
      <c r="H47" s="596">
        <f>(Propriété_air!$Q$16*H41^4+Propriété_air!$R$16*H41^3+Propriété_air!$S$16*H41^2+Propriété_air!$T$16*H41+Propriété_air!$U$16)/10^6</f>
        <v>1.5838781828478914E-5</v>
      </c>
      <c r="I47" s="596">
        <f>(Propriété_air!$Q$16*I41^4+Propriété_air!$R$16*I41^3+Propriété_air!$S$16*I41^2+Propriété_air!$T$16*I41+Propriété_air!$U$16)/10^6</f>
        <v>1.5679152706588047E-5</v>
      </c>
      <c r="J47" s="596">
        <f>(Propriété_air!$Q$16*J41^4+Propriété_air!$R$16*J41^3+Propriété_air!$S$16*J41^2+Propriété_air!$T$16*J41+Propriété_air!$U$16)/10^6</f>
        <v>1.5696968873914508E-5</v>
      </c>
      <c r="K47" s="596">
        <f>(Propriété_air!$Q$16*K41^4+Propriété_air!$R$16*K41^3+Propriété_air!$S$16*K41^2+Propriété_air!$T$16*K41+Propriété_air!$U$16)/10^6</f>
        <v>1.5694785612122874E-5</v>
      </c>
      <c r="L47" s="596"/>
      <c r="M47" s="595"/>
      <c r="N47" s="603"/>
      <c r="R47" s="710"/>
      <c r="U47" s="1898"/>
      <c r="V47" s="681" t="e">
        <f t="shared" si="5"/>
        <v>#N/A</v>
      </c>
      <c r="W47" t="e">
        <v>#N/A</v>
      </c>
      <c r="X47" t="e">
        <v>#N/A</v>
      </c>
      <c r="Y47" t="e">
        <v>#N/A</v>
      </c>
      <c r="Z47" t="e">
        <v>#N/A</v>
      </c>
      <c r="AA47" t="e">
        <v>#N/A</v>
      </c>
      <c r="AB47" t="e">
        <v>#N/A</v>
      </c>
      <c r="AC47" t="e">
        <v>#N/A</v>
      </c>
      <c r="AD47" t="e">
        <v>#N/A</v>
      </c>
      <c r="AE47" t="e">
        <v>#N/A</v>
      </c>
      <c r="AF47" s="332" t="e">
        <v>#N/A</v>
      </c>
      <c r="AG47" s="699" t="e" cm="1">
        <f t="array" ref="AG47">INDEX(W47:AF47,ROWS($1:10))</f>
        <v>#N/A</v>
      </c>
    </row>
    <row r="48" spans="2:33">
      <c r="B48" t="s">
        <v>900</v>
      </c>
      <c r="E48" t="s">
        <v>815</v>
      </c>
      <c r="F48" t="s">
        <v>816</v>
      </c>
      <c r="G48" s="136">
        <f>Propriété_air!$Q$4*G41^4+Propriété_air!$R$4*G41^3+Propriété_air!$S$4*G41^2+Propriété_air!$T$4*G41+Propriété_air!$U$4</f>
        <v>1.0047578086708546</v>
      </c>
      <c r="H48" s="136">
        <f>Propriété_air!$Q$4*H41^4+Propriété_air!$R$4*H41^3+Propriété_air!$S$4*H41^2+Propriété_air!$T$4*H41+Propriété_air!$U$4</f>
        <v>1.0049608499535274</v>
      </c>
      <c r="I48" s="136">
        <f>Propriété_air!$Q$4*I41^4+Propriété_air!$R$4*I41^3+Propriété_air!$S$4*I41^2+Propriété_air!$T$4*I41+Propriété_air!$U$4</f>
        <v>1.0049076579058227</v>
      </c>
      <c r="J48" s="136">
        <f>Propriété_air!$Q$4*J41^4+Propriété_air!$R$4*J41^3+Propriété_air!$S$4*J41^2+Propriété_air!$T$4*J41+Propriété_air!$U$4</f>
        <v>1.0049134300243261</v>
      </c>
      <c r="K48" s="136">
        <f>Propriété_air!$Q$4*K41^4+Propriété_air!$R$4*K41^3+Propriété_air!$S$4*K41^2+Propriété_air!$T$4*K41+Propriété_air!$U$4</f>
        <v>1.0049127204502937</v>
      </c>
      <c r="L48" s="136"/>
      <c r="M48" s="595"/>
      <c r="N48" s="136"/>
      <c r="U48" s="709"/>
      <c r="V48" s="583"/>
      <c r="AG48" s="559"/>
    </row>
    <row r="49" spans="2:33">
      <c r="B49" t="s">
        <v>817</v>
      </c>
      <c r="E49" t="s">
        <v>818</v>
      </c>
      <c r="F49" t="s">
        <v>846</v>
      </c>
      <c r="G49" s="596">
        <f>(Propriété_air!$Q$28*G41^4+Propriété_air!$R$28*G41^3+Propriété_air!$S$28*G41^2+Propriété_air!$T$28*G41+Propriété_air!$U$28)/10^6</f>
        <v>2.1337905661950222E-5</v>
      </c>
      <c r="H49" s="596">
        <f>(Propriété_air!$Q$28*H41^4+Propriété_air!$R$28*H41^3+Propriété_air!$S$28*H41^2+Propriété_air!$T$28*H41+Propriété_air!$U$28)/10^6</f>
        <v>2.2375394270514882E-5</v>
      </c>
      <c r="I49" s="596">
        <f>(Propriété_air!$Q$28*I41^4+Propriété_air!$R$28*I41^3+Propriété_air!$S$28*I41^2+Propriété_air!$T$28*I41+Propriété_air!$U$28)/10^6</f>
        <v>2.2131739162570326E-5</v>
      </c>
      <c r="J49" s="596">
        <f>(Propriété_air!$Q$28*J41^4+Propriété_air!$R$28*J41^3+Propriété_air!$S$28*J41^2+Propriété_air!$T$28*J41+Propriété_air!$U$28)/10^6</f>
        <v>2.2158930577124907E-5</v>
      </c>
      <c r="K49" s="596">
        <f>(Propriété_air!$Q$28*K41^4+Propriété_air!$R$28*K41^3+Propriété_air!$S$28*K41^2+Propriété_air!$T$28*K41+Propriété_air!$U$28)/10^6</f>
        <v>2.2155598396676093E-5</v>
      </c>
      <c r="L49" s="596"/>
      <c r="M49" s="597"/>
      <c r="N49" s="1896" t="s">
        <v>990</v>
      </c>
      <c r="O49" s="1896"/>
      <c r="P49" s="1896"/>
      <c r="Q49" s="1896"/>
      <c r="R49" s="1896"/>
      <c r="S49" s="1896"/>
      <c r="T49" s="1896"/>
      <c r="U49" s="1896"/>
      <c r="V49" s="1896"/>
      <c r="W49" s="1896"/>
      <c r="X49" s="1896"/>
      <c r="Y49" s="1896"/>
      <c r="Z49" s="1896"/>
      <c r="AA49" s="1896"/>
      <c r="AB49" s="1896"/>
      <c r="AC49" s="1896"/>
      <c r="AD49" s="1896"/>
      <c r="AE49" s="1896"/>
      <c r="AF49" s="1896"/>
      <c r="AG49" s="1896"/>
    </row>
    <row r="50" spans="2:33" ht="16.2">
      <c r="B50" t="s">
        <v>819</v>
      </c>
      <c r="E50" t="s">
        <v>820</v>
      </c>
      <c r="G50" s="603">
        <f>($E$18/1000)*$E$12/G47</f>
        <v>0</v>
      </c>
      <c r="H50" s="603">
        <f t="shared" ref="H50:K50" si="9">($E$18/1000)*$E$12/H47</f>
        <v>0</v>
      </c>
      <c r="I50" s="603">
        <f t="shared" si="9"/>
        <v>0</v>
      </c>
      <c r="J50" s="603">
        <f t="shared" si="9"/>
        <v>0</v>
      </c>
      <c r="K50" s="603">
        <f t="shared" si="9"/>
        <v>0</v>
      </c>
      <c r="L50" s="603"/>
      <c r="M50" s="603"/>
      <c r="N50" s="1902" t="s">
        <v>923</v>
      </c>
      <c r="O50" s="689" t="s">
        <v>993</v>
      </c>
      <c r="P50" s="689" t="s">
        <v>925</v>
      </c>
      <c r="Q50" s="1903" t="s">
        <v>935</v>
      </c>
      <c r="R50" s="689" t="s">
        <v>991</v>
      </c>
      <c r="S50" s="689" t="s">
        <v>922</v>
      </c>
      <c r="W50" s="1901" t="s">
        <v>996</v>
      </c>
      <c r="X50" s="1901"/>
      <c r="Y50" s="1901"/>
      <c r="Z50" s="1901"/>
      <c r="AA50" s="1901"/>
      <c r="AB50" s="1901"/>
      <c r="AC50" s="1901"/>
      <c r="AD50" s="1901"/>
      <c r="AE50" s="1901"/>
      <c r="AF50" s="1901"/>
    </row>
    <row r="51" spans="2:33" ht="16.2">
      <c r="B51" t="s">
        <v>821</v>
      </c>
      <c r="E51" t="s">
        <v>822</v>
      </c>
      <c r="G51" s="603">
        <f>9.81*G45*ABS(G37-$E$11)*($E$18/1000)^3/(G47*G49)</f>
        <v>367662.65938812139</v>
      </c>
      <c r="H51" s="603">
        <f t="shared" ref="H51:K51" si="10">9.81*H45*ABS(H37-$E$11)*($E$18/1000)^3/(H47*H49)</f>
        <v>5102149.8883071281</v>
      </c>
      <c r="I51" s="603">
        <f t="shared" si="10"/>
        <v>4096900.359226001</v>
      </c>
      <c r="J51" s="603">
        <f t="shared" si="10"/>
        <v>4212112.2873625616</v>
      </c>
      <c r="K51" s="603">
        <f t="shared" si="10"/>
        <v>4198035.2484492073</v>
      </c>
      <c r="L51" s="603"/>
      <c r="M51" s="603"/>
      <c r="N51" s="1902"/>
      <c r="O51" s="690" t="s">
        <v>1005</v>
      </c>
      <c r="P51" s="690" t="s">
        <v>929</v>
      </c>
      <c r="Q51" s="1904"/>
      <c r="R51" s="691" t="s">
        <v>945</v>
      </c>
      <c r="S51" s="690" t="s">
        <v>1001</v>
      </c>
      <c r="W51" s="1894" t="s">
        <v>779</v>
      </c>
      <c r="X51" s="1894"/>
      <c r="Y51" s="1894"/>
      <c r="Z51" s="1894"/>
      <c r="AA51" s="1894"/>
      <c r="AB51" s="1894"/>
      <c r="AC51" s="1894"/>
      <c r="AD51" s="1894"/>
      <c r="AE51" s="1894"/>
      <c r="AF51" s="1894"/>
      <c r="AG51" s="1897" t="s">
        <v>943</v>
      </c>
    </row>
    <row r="52" spans="2:33" ht="15" thickBot="1">
      <c r="N52" s="696" t="e" cm="1" vm="2">
        <f t="array" ref="N52">_xlfn._xlws.FILTER(Isolation!$B$47:$E$56,Isolation!$E$47:'Isolation'!$E$56=P6)</f>
        <v>#VALUE!</v>
      </c>
      <c r="O52" s="15"/>
      <c r="P52" s="15"/>
      <c r="Q52" s="15"/>
      <c r="R52" s="700" t="e" vm="1">
        <f>VLOOKUP(N52,Isolation!$B$47:$R$56,9)</f>
        <v>#VALUE!</v>
      </c>
      <c r="S52" s="15" t="e" vm="1">
        <f>IF(N52="","",AG53)</f>
        <v>#VALUE!</v>
      </c>
      <c r="V52" s="634">
        <f>$E$32</f>
        <v>851.08989601051201</v>
      </c>
      <c r="W52" s="678" cm="1">
        <f t="array" ref="W52:AF52">TRANSPOSE(P52:P61)</f>
        <v>0</v>
      </c>
      <c r="X52" s="678">
        <v>0</v>
      </c>
      <c r="Y52" s="678">
        <v>0</v>
      </c>
      <c r="Z52" s="678">
        <v>0</v>
      </c>
      <c r="AA52" s="678">
        <v>0</v>
      </c>
      <c r="AB52" s="678">
        <v>0</v>
      </c>
      <c r="AC52" s="678">
        <v>0</v>
      </c>
      <c r="AD52" s="678">
        <v>0</v>
      </c>
      <c r="AE52" s="678">
        <v>0</v>
      </c>
      <c r="AF52" s="678">
        <v>0</v>
      </c>
      <c r="AG52" s="1897"/>
    </row>
    <row r="53" spans="2:33">
      <c r="B53" s="3" t="s">
        <v>901</v>
      </c>
      <c r="N53" s="696"/>
      <c r="O53" s="15"/>
      <c r="P53" s="15"/>
      <c r="Q53" s="15"/>
      <c r="R53" s="700" t="e">
        <f>VLOOKUP(N53,Isolation!$B$47:$R$56,9)</f>
        <v>#N/A</v>
      </c>
      <c r="S53" s="15" t="str">
        <f t="shared" ref="S53:S61" si="11">IF(N53="","",AG54)</f>
        <v/>
      </c>
      <c r="U53" s="1898" t="s">
        <v>992</v>
      </c>
      <c r="V53" s="681" t="e" vm="1">
        <f>R52</f>
        <v>#VALUE!</v>
      </c>
      <c r="W53" s="332" t="e" vm="1">
        <f t="dataTable" ref="W53:AF62" dt2D="1" dtr="1" r1="E10" r2="E9" ca="1"/>
        <v>#VALUE!</v>
      </c>
      <c r="X53" t="e" vm="1">
        <v>#VALUE!</v>
      </c>
      <c r="Y53" t="e" vm="1">
        <v>#VALUE!</v>
      </c>
      <c r="Z53" t="e" vm="1">
        <v>#VALUE!</v>
      </c>
      <c r="AA53" t="e" vm="1">
        <v>#VALUE!</v>
      </c>
      <c r="AB53" t="e" vm="1">
        <v>#VALUE!</v>
      </c>
      <c r="AC53" t="e" vm="1">
        <v>#VALUE!</v>
      </c>
      <c r="AD53" t="e" vm="1">
        <v>#VALUE!</v>
      </c>
      <c r="AE53" t="e" vm="1">
        <v>#VALUE!</v>
      </c>
      <c r="AF53" t="e" vm="1">
        <v>#VALUE!</v>
      </c>
      <c r="AG53" s="698" t="e" cm="1" vm="1">
        <f t="array" ref="AG53">INDEX(W53:AF53,ROWS($1:1))</f>
        <v>#VALUE!</v>
      </c>
    </row>
    <row r="54" spans="2:33">
      <c r="B54" t="s">
        <v>823</v>
      </c>
      <c r="E54" t="s">
        <v>824</v>
      </c>
      <c r="F54" t="s">
        <v>847</v>
      </c>
      <c r="G54" s="136">
        <f>'Facteurs conversion'!$C$30*$E$16*((G37+273.15)^4-($E$11+273.15)^4)/((G37+273.15)-($E$11+273.15))</f>
        <v>5.0814738812175015</v>
      </c>
      <c r="H54" s="136">
        <f>'Facteurs conversion'!$C$30*$E$16*((H37+273.15)^4-($E$11+273.15)^4)/((H37+273.15)-($E$11+273.15))</f>
        <v>5.4754829536212188</v>
      </c>
      <c r="I54" s="136">
        <f>'Facteurs conversion'!$C$30*$E$16*((I37+273.15)^4-($E$11+273.15)^4)/((I37+273.15)-($E$11+273.15))</f>
        <v>5.3812791229595884</v>
      </c>
      <c r="J54" s="136">
        <f>'Facteurs conversion'!$C$30*$E$16*((J37+273.15)^4-($E$11+273.15)^4)/((J37+273.15)-($E$11+273.15))</f>
        <v>5.3917411621695148</v>
      </c>
      <c r="K54" s="136">
        <f>'Facteurs conversion'!$C$30*$E$16*((K37+273.15)^4-($E$11+273.15)^4)/((K37+273.15)-($E$11+273.15))</f>
        <v>5.3904584008403305</v>
      </c>
      <c r="L54" s="136"/>
      <c r="M54" s="595"/>
      <c r="N54" s="696"/>
      <c r="O54" s="15"/>
      <c r="P54" s="15"/>
      <c r="Q54" s="15"/>
      <c r="R54" s="700" t="e">
        <f>VLOOKUP(N54,Isolation!$B$47:$R$56,9)</f>
        <v>#N/A</v>
      </c>
      <c r="S54" s="15" t="str">
        <f t="shared" si="11"/>
        <v/>
      </c>
      <c r="U54" s="1898"/>
      <c r="V54" s="681" t="e">
        <f t="shared" ref="V54:V62" si="12">R53</f>
        <v>#N/A</v>
      </c>
      <c r="W54" t="e">
        <v>#N/A</v>
      </c>
      <c r="X54" s="332" t="e">
        <v>#N/A</v>
      </c>
      <c r="Y54" t="e">
        <v>#N/A</v>
      </c>
      <c r="Z54" t="e">
        <v>#N/A</v>
      </c>
      <c r="AA54" t="e">
        <v>#N/A</v>
      </c>
      <c r="AB54" t="e">
        <v>#N/A</v>
      </c>
      <c r="AC54" t="e">
        <v>#N/A</v>
      </c>
      <c r="AD54" t="e">
        <v>#N/A</v>
      </c>
      <c r="AE54" t="e">
        <v>#N/A</v>
      </c>
      <c r="AF54" t="e">
        <v>#N/A</v>
      </c>
      <c r="AG54" s="629" t="e" cm="1">
        <f t="array" ref="AG54">INDEX(W54:AF54,ROWS($1:2))</f>
        <v>#N/A</v>
      </c>
    </row>
    <row r="55" spans="2:33">
      <c r="B55" t="s">
        <v>825</v>
      </c>
      <c r="N55" s="696"/>
      <c r="O55" s="15"/>
      <c r="P55" s="15"/>
      <c r="Q55" s="15"/>
      <c r="R55" s="700" t="e">
        <f>VLOOKUP(N55,Isolation!$B$47:$R$56,9)</f>
        <v>#N/A</v>
      </c>
      <c r="S55" s="15" t="str">
        <f t="shared" si="11"/>
        <v/>
      </c>
      <c r="U55" s="1898"/>
      <c r="V55" s="681" t="e">
        <f t="shared" si="12"/>
        <v>#N/A</v>
      </c>
      <c r="W55" t="e">
        <v>#N/A</v>
      </c>
      <c r="X55" t="e">
        <v>#N/A</v>
      </c>
      <c r="Y55" s="332" t="e">
        <v>#N/A</v>
      </c>
      <c r="Z55" t="e">
        <v>#N/A</v>
      </c>
      <c r="AA55" t="e">
        <v>#N/A</v>
      </c>
      <c r="AB55" t="e">
        <v>#N/A</v>
      </c>
      <c r="AC55" t="e">
        <v>#N/A</v>
      </c>
      <c r="AD55" t="e">
        <v>#N/A</v>
      </c>
      <c r="AE55" t="e">
        <v>#N/A</v>
      </c>
      <c r="AF55" t="e">
        <v>#N/A</v>
      </c>
      <c r="AG55" s="629" t="e" cm="1">
        <f t="array" ref="AG55">INDEX(W55:AF55,ROWS($1:3))</f>
        <v>#N/A</v>
      </c>
    </row>
    <row r="56" spans="2:33">
      <c r="B56" t="s">
        <v>902</v>
      </c>
      <c r="E56" t="s">
        <v>826</v>
      </c>
      <c r="G56" s="593">
        <f>0.3+(0.62*G50^0.5*G44^(1/3))*(1+(G50/282000)^(5/8))^(4/5)/(1 + (0.4/G44)^(2/3))^(1/4)</f>
        <v>0.3</v>
      </c>
      <c r="H56" s="593">
        <f>0.3+(0.62*H50^0.5*H44^(1/3))*(1+(H50/282000)^(5/8))^(4/5)/(1 + (0.4/H44)^(2/3))^(1/4)</f>
        <v>0.3</v>
      </c>
      <c r="I56" s="593">
        <f t="shared" ref="I56:K56" si="13">0.3+(0.62*I50^0.5*I44^(1/3))*(1+(I50/282000)^(5/8))^(4/5)/(1 + (0.4/I44)^(2/3))^(1/4)</f>
        <v>0.3</v>
      </c>
      <c r="J56" s="593">
        <f t="shared" si="13"/>
        <v>0.3</v>
      </c>
      <c r="K56" s="593">
        <f t="shared" si="13"/>
        <v>0.3</v>
      </c>
      <c r="L56" s="593"/>
      <c r="M56" s="593"/>
      <c r="N56" s="696"/>
      <c r="O56" s="15"/>
      <c r="P56" s="15"/>
      <c r="Q56" s="15"/>
      <c r="R56" s="700" t="e">
        <f>VLOOKUP(N56,Isolation!$B$47:$R$56,9)</f>
        <v>#N/A</v>
      </c>
      <c r="S56" s="15" t="str">
        <f t="shared" si="11"/>
        <v/>
      </c>
      <c r="U56" s="1898"/>
      <c r="V56" s="681" t="e">
        <f t="shared" si="12"/>
        <v>#N/A</v>
      </c>
      <c r="W56" t="e">
        <v>#N/A</v>
      </c>
      <c r="X56" t="e">
        <v>#N/A</v>
      </c>
      <c r="Y56" t="e">
        <v>#N/A</v>
      </c>
      <c r="Z56" s="332" t="e">
        <v>#N/A</v>
      </c>
      <c r="AA56" t="e">
        <v>#N/A</v>
      </c>
      <c r="AB56" t="e">
        <v>#N/A</v>
      </c>
      <c r="AC56" t="e">
        <v>#N/A</v>
      </c>
      <c r="AD56" t="e">
        <v>#N/A</v>
      </c>
      <c r="AE56" t="e">
        <v>#N/A</v>
      </c>
      <c r="AF56" t="e">
        <v>#N/A</v>
      </c>
      <c r="AG56" s="629" t="e" cm="1">
        <f t="array" ref="AG56">INDEX(W56:AF56,ROWS($1:4))</f>
        <v>#N/A</v>
      </c>
    </row>
    <row r="57" spans="2:33">
      <c r="E57" t="s">
        <v>827</v>
      </c>
      <c r="F57" t="s">
        <v>847</v>
      </c>
      <c r="G57" s="136">
        <f>G56*G42/($E$18/1000)</f>
        <v>5.0433497389770314E-2</v>
      </c>
      <c r="H57" s="136">
        <f t="shared" ref="H57:K57" si="14">H56*H42/($E$18/1000)</f>
        <v>5.1573004216673671E-2</v>
      </c>
      <c r="I57" s="136">
        <f t="shared" si="14"/>
        <v>5.1307849362632926E-2</v>
      </c>
      <c r="J57" s="136">
        <f t="shared" si="14"/>
        <v>5.1337513534200969E-2</v>
      </c>
      <c r="K57" s="136">
        <f t="shared" si="14"/>
        <v>5.1333879325765802E-2</v>
      </c>
      <c r="L57" s="136"/>
      <c r="M57" s="595"/>
      <c r="N57" s="696"/>
      <c r="O57" s="15"/>
      <c r="P57" s="15"/>
      <c r="Q57" s="15"/>
      <c r="R57" s="700" t="e">
        <f>VLOOKUP(N57,Isolation!$B$47:$R$56,9)</f>
        <v>#N/A</v>
      </c>
      <c r="S57" s="15" t="str">
        <f t="shared" si="11"/>
        <v/>
      </c>
      <c r="U57" s="1898"/>
      <c r="V57" s="681" t="e">
        <f t="shared" si="12"/>
        <v>#N/A</v>
      </c>
      <c r="W57" t="e">
        <v>#N/A</v>
      </c>
      <c r="X57" t="e">
        <v>#N/A</v>
      </c>
      <c r="Y57" t="e">
        <v>#N/A</v>
      </c>
      <c r="Z57" t="e">
        <v>#N/A</v>
      </c>
      <c r="AA57" s="332" t="e">
        <v>#N/A</v>
      </c>
      <c r="AB57" t="e">
        <v>#N/A</v>
      </c>
      <c r="AC57" t="e">
        <v>#N/A</v>
      </c>
      <c r="AD57" t="e">
        <v>#N/A</v>
      </c>
      <c r="AE57" t="e">
        <v>#N/A</v>
      </c>
      <c r="AF57" t="e">
        <v>#N/A</v>
      </c>
      <c r="AG57" s="629" t="e" cm="1">
        <f t="array" ref="AG57">INDEX(W57:AF57,ROWS($1:5))</f>
        <v>#N/A</v>
      </c>
    </row>
    <row r="58" spans="2:33">
      <c r="B58" t="s">
        <v>828</v>
      </c>
      <c r="E58" t="s">
        <v>829</v>
      </c>
      <c r="G58" s="136">
        <f>(0.6 + 0.387*G51^(1/6)/( 1 +(0.559/G44)^(9/16))^(8/27))^2</f>
        <v>11.016235741847423</v>
      </c>
      <c r="H58" s="136">
        <f t="shared" ref="H58:K58" si="15">(0.6 + 0.387*H51^(1/6)/( 1 +(0.559/H44)^(9/16))^(8/27))^2</f>
        <v>23.176841841617929</v>
      </c>
      <c r="I58" s="136">
        <f t="shared" si="15"/>
        <v>21.744315475212986</v>
      </c>
      <c r="J58" s="136">
        <f t="shared" si="15"/>
        <v>21.920030983387274</v>
      </c>
      <c r="K58" s="136">
        <f t="shared" si="15"/>
        <v>21.898740574275354</v>
      </c>
      <c r="L58" s="136"/>
      <c r="M58" s="136"/>
      <c r="N58" s="696"/>
      <c r="O58" s="15"/>
      <c r="P58" s="15"/>
      <c r="Q58" s="15"/>
      <c r="R58" s="700" t="e">
        <f>VLOOKUP(N58,Isolation!$B$47:$R$56,9)</f>
        <v>#N/A</v>
      </c>
      <c r="S58" s="15" t="str">
        <f t="shared" si="11"/>
        <v/>
      </c>
      <c r="U58" s="1898"/>
      <c r="V58" s="681" t="e">
        <f t="shared" si="12"/>
        <v>#N/A</v>
      </c>
      <c r="W58" t="e">
        <v>#N/A</v>
      </c>
      <c r="X58" t="e">
        <v>#N/A</v>
      </c>
      <c r="Y58" t="e">
        <v>#N/A</v>
      </c>
      <c r="Z58" t="e">
        <v>#N/A</v>
      </c>
      <c r="AA58" t="e">
        <v>#N/A</v>
      </c>
      <c r="AB58" s="332" t="e">
        <v>#N/A</v>
      </c>
      <c r="AC58" t="e">
        <v>#N/A</v>
      </c>
      <c r="AD58" t="e">
        <v>#N/A</v>
      </c>
      <c r="AE58" t="e">
        <v>#N/A</v>
      </c>
      <c r="AF58" t="e">
        <v>#N/A</v>
      </c>
      <c r="AG58" s="629" t="e" cm="1">
        <f t="array" ref="AG58">INDEX(W58:AF58,ROWS($1:6))</f>
        <v>#N/A</v>
      </c>
    </row>
    <row r="59" spans="2:33">
      <c r="E59" t="s">
        <v>830</v>
      </c>
      <c r="F59" t="s">
        <v>847</v>
      </c>
      <c r="G59" s="136">
        <f>G58*G42/($E$18/1000)</f>
        <v>1.8519576551051879</v>
      </c>
      <c r="H59" s="136">
        <f t="shared" ref="H59:K59" si="16">H58*H42/($E$18/1000)</f>
        <v>3.984331206756468</v>
      </c>
      <c r="I59" s="136">
        <f t="shared" si="16"/>
        <v>3.7188468763193199</v>
      </c>
      <c r="J59" s="136">
        <f t="shared" si="16"/>
        <v>3.7510662909324957</v>
      </c>
      <c r="K59" s="136">
        <f t="shared" si="16"/>
        <v>3.7471576867536744</v>
      </c>
      <c r="L59" s="136"/>
      <c r="M59" s="595"/>
      <c r="N59" s="696"/>
      <c r="O59" s="15"/>
      <c r="P59" s="15"/>
      <c r="Q59" s="15"/>
      <c r="R59" s="700" t="e">
        <f>VLOOKUP(N59,Isolation!$B$47:$R$56,9)</f>
        <v>#N/A</v>
      </c>
      <c r="S59" s="15" t="str">
        <f t="shared" si="11"/>
        <v/>
      </c>
      <c r="U59" s="1898"/>
      <c r="V59" s="681" t="e">
        <f t="shared" si="12"/>
        <v>#N/A</v>
      </c>
      <c r="W59" t="e">
        <v>#N/A</v>
      </c>
      <c r="X59" t="e">
        <v>#N/A</v>
      </c>
      <c r="Y59" t="e">
        <v>#N/A</v>
      </c>
      <c r="Z59" t="e">
        <v>#N/A</v>
      </c>
      <c r="AA59" t="e">
        <v>#N/A</v>
      </c>
      <c r="AB59" t="e">
        <v>#N/A</v>
      </c>
      <c r="AC59" s="332" t="e">
        <v>#N/A</v>
      </c>
      <c r="AD59" t="e">
        <v>#N/A</v>
      </c>
      <c r="AE59" t="e">
        <v>#N/A</v>
      </c>
      <c r="AF59" t="e">
        <v>#N/A</v>
      </c>
      <c r="AG59" s="629" t="e" cm="1">
        <f t="array" ref="AG59">INDEX(W59:AF59,ROWS($1:7))</f>
        <v>#N/A</v>
      </c>
    </row>
    <row r="60" spans="2:33">
      <c r="B60" t="s">
        <v>903</v>
      </c>
      <c r="E60" t="s">
        <v>831</v>
      </c>
      <c r="G60" s="593">
        <f>(G56^4+G58^4)^(1/4)</f>
        <v>11.016237256542714</v>
      </c>
      <c r="H60" s="593">
        <f t="shared" ref="H60:K60" si="17">(H56^4+H58^4)^(1/4)</f>
        <v>23.176842004270991</v>
      </c>
      <c r="I60" s="593">
        <f t="shared" si="17"/>
        <v>21.744315672177418</v>
      </c>
      <c r="J60" s="593">
        <f t="shared" si="17"/>
        <v>21.920031175652849</v>
      </c>
      <c r="K60" s="593">
        <f t="shared" si="17"/>
        <v>21.89874076710225</v>
      </c>
      <c r="L60" s="593"/>
      <c r="M60" s="593"/>
      <c r="N60" s="696"/>
      <c r="O60" s="15"/>
      <c r="P60" s="15"/>
      <c r="Q60" s="15"/>
      <c r="R60" s="700" t="e">
        <f>VLOOKUP(N60,Isolation!$B$47:$R$56,9)</f>
        <v>#N/A</v>
      </c>
      <c r="S60" s="15" t="str">
        <f t="shared" si="11"/>
        <v/>
      </c>
      <c r="U60" s="1898"/>
      <c r="V60" s="681" t="e">
        <f t="shared" si="12"/>
        <v>#N/A</v>
      </c>
      <c r="W60" t="e">
        <v>#N/A</v>
      </c>
      <c r="X60" t="e">
        <v>#N/A</v>
      </c>
      <c r="Y60" t="e">
        <v>#N/A</v>
      </c>
      <c r="Z60" t="e">
        <v>#N/A</v>
      </c>
      <c r="AA60" t="e">
        <v>#N/A</v>
      </c>
      <c r="AB60" t="e">
        <v>#N/A</v>
      </c>
      <c r="AC60" t="e">
        <v>#N/A</v>
      </c>
      <c r="AD60" s="332" t="e">
        <v>#N/A</v>
      </c>
      <c r="AE60" t="e">
        <v>#N/A</v>
      </c>
      <c r="AF60" t="e">
        <v>#N/A</v>
      </c>
      <c r="AG60" s="629" t="e" cm="1">
        <f t="array" ref="AG60">INDEX(W60:AF60,ROWS($1:8))</f>
        <v>#N/A</v>
      </c>
    </row>
    <row r="61" spans="2:33">
      <c r="E61" t="s">
        <v>832</v>
      </c>
      <c r="F61" t="s">
        <v>847</v>
      </c>
      <c r="G61" s="136">
        <f>G60*G42/($E$18/1000)</f>
        <v>1.8519579097431249</v>
      </c>
      <c r="H61" s="136">
        <f t="shared" ref="H61:K61" si="18">H60*H42/($E$18/1000)</f>
        <v>3.9843312347181583</v>
      </c>
      <c r="I61" s="136">
        <f t="shared" si="18"/>
        <v>3.7188469100053916</v>
      </c>
      <c r="J61" s="136">
        <f t="shared" si="18"/>
        <v>3.7510663238339506</v>
      </c>
      <c r="K61" s="136">
        <f t="shared" si="18"/>
        <v>3.7471577197488499</v>
      </c>
      <c r="L61" s="136"/>
      <c r="M61" s="136"/>
      <c r="N61" s="696"/>
      <c r="O61" s="15"/>
      <c r="P61" s="15"/>
      <c r="Q61" s="15"/>
      <c r="R61" s="700" t="e">
        <f>VLOOKUP(N61,Isolation!$B$47:$R$56,9)</f>
        <v>#N/A</v>
      </c>
      <c r="S61" s="15" t="str">
        <f t="shared" si="11"/>
        <v/>
      </c>
      <c r="U61" s="1898"/>
      <c r="V61" s="681" t="e">
        <f t="shared" si="12"/>
        <v>#N/A</v>
      </c>
      <c r="W61" t="e">
        <v>#N/A</v>
      </c>
      <c r="X61" t="e">
        <v>#N/A</v>
      </c>
      <c r="Y61" t="e">
        <v>#N/A</v>
      </c>
      <c r="Z61" t="e">
        <v>#N/A</v>
      </c>
      <c r="AA61" t="e">
        <v>#N/A</v>
      </c>
      <c r="AB61" t="e">
        <v>#N/A</v>
      </c>
      <c r="AC61" t="e">
        <v>#N/A</v>
      </c>
      <c r="AD61" t="e">
        <v>#N/A</v>
      </c>
      <c r="AE61" s="332" t="e">
        <v>#N/A</v>
      </c>
      <c r="AF61" t="e">
        <v>#N/A</v>
      </c>
      <c r="AG61" s="629" t="e" cm="1">
        <f t="array" ref="AG61">INDEX(W61:AF61,ROWS($1:9))</f>
        <v>#N/A</v>
      </c>
    </row>
    <row r="62" spans="2:33" ht="15" thickBot="1">
      <c r="B62" t="s">
        <v>904</v>
      </c>
      <c r="E62" t="s">
        <v>833</v>
      </c>
      <c r="F62" t="s">
        <v>847</v>
      </c>
      <c r="G62" s="136">
        <f>G61+G54</f>
        <v>6.9334317909606265</v>
      </c>
      <c r="H62" s="136">
        <f t="shared" ref="H62:K62" si="19">H61+H54</f>
        <v>9.4598141883393776</v>
      </c>
      <c r="I62" s="136">
        <f t="shared" si="19"/>
        <v>9.1001260329649796</v>
      </c>
      <c r="J62" s="136">
        <f t="shared" si="19"/>
        <v>9.1428074860034663</v>
      </c>
      <c r="K62" s="136">
        <f t="shared" si="19"/>
        <v>9.1376161205891808</v>
      </c>
      <c r="L62" s="136"/>
      <c r="M62" s="136"/>
      <c r="U62" s="1898"/>
      <c r="V62" s="681" t="e">
        <f t="shared" si="12"/>
        <v>#N/A</v>
      </c>
      <c r="W62" t="e">
        <v>#N/A</v>
      </c>
      <c r="X62" t="e">
        <v>#N/A</v>
      </c>
      <c r="Y62" t="e">
        <v>#N/A</v>
      </c>
      <c r="Z62" t="e">
        <v>#N/A</v>
      </c>
      <c r="AA62" t="e">
        <v>#N/A</v>
      </c>
      <c r="AB62" t="e">
        <v>#N/A</v>
      </c>
      <c r="AC62" t="e">
        <v>#N/A</v>
      </c>
      <c r="AD62" t="e">
        <v>#N/A</v>
      </c>
      <c r="AE62" t="e">
        <v>#N/A</v>
      </c>
      <c r="AF62" s="332" t="e">
        <v>#N/A</v>
      </c>
      <c r="AG62" s="699" t="e" cm="1">
        <f t="array" ref="AG62">INDEX(W62:AF62,ROWS($1:10))</f>
        <v>#N/A</v>
      </c>
    </row>
    <row r="63" spans="2:33">
      <c r="B63" s="3" t="s">
        <v>905</v>
      </c>
      <c r="G63" s="136"/>
      <c r="H63" s="136"/>
      <c r="I63" s="136"/>
      <c r="J63" s="136"/>
      <c r="K63" s="136"/>
      <c r="N63" s="602"/>
      <c r="O63" s="602"/>
      <c r="P63" s="602"/>
      <c r="Q63" s="602"/>
      <c r="R63" s="602"/>
    </row>
    <row r="64" spans="2:33">
      <c r="B64" t="s">
        <v>896</v>
      </c>
      <c r="E64" t="s">
        <v>834</v>
      </c>
      <c r="F64" t="s">
        <v>805</v>
      </c>
      <c r="G64" s="136">
        <f>Propriété_matériau!$G$9*($E$10+273.15)^3+Propriété_matériau!$H$9*($E$10+273.15)^2+Propriété_matériau!$I$9*($E$10+273.15)+Propriété_matériau!$J$9</f>
        <v>60.381356365592872</v>
      </c>
      <c r="H64" s="136">
        <f>Propriété_matériau!$G$9*($E$10+273.15)^3+Propriété_matériau!$H$9*($E$10+273.15)^2+Propriété_matériau!$I$9*($E$10+273.15)+Propriété_matériau!$J$9</f>
        <v>60.381356365592872</v>
      </c>
      <c r="I64" s="136">
        <f>Propriété_matériau!$G$9*($E$10+273.15)^3+Propriété_matériau!$H$9*($E$10+273.15)^2+Propriété_matériau!$I$9*($E$10+273.15)+Propriété_matériau!$J$9</f>
        <v>60.381356365592872</v>
      </c>
      <c r="J64" s="136">
        <f>Propriété_matériau!$G$9*($E$10+273.15)^3+Propriété_matériau!$H$9*($E$10+273.15)^2+Propriété_matériau!$I$9*($E$10+273.15)+Propriété_matériau!$J$9</f>
        <v>60.381356365592872</v>
      </c>
      <c r="K64" s="136">
        <f>Propriété_matériau!$G$9*($E$10+273.15)^3+Propriété_matériau!$H$9*($E$10+273.15)^2+Propriété_matériau!$I$9*($E$10+273.15)+Propriété_matériau!$J$9</f>
        <v>60.381356365592872</v>
      </c>
      <c r="L64" s="136"/>
      <c r="M64" s="136"/>
      <c r="N64" s="1896" t="s">
        <v>1243</v>
      </c>
      <c r="O64" s="1896"/>
      <c r="P64" s="1896"/>
      <c r="Q64" s="1896"/>
      <c r="R64" s="1896"/>
      <c r="S64" s="1896"/>
      <c r="T64" s="1896"/>
      <c r="U64" s="1896"/>
      <c r="V64" s="1896"/>
      <c r="W64" s="1896"/>
      <c r="X64" s="1896"/>
      <c r="Y64" s="1896"/>
      <c r="Z64" s="1896"/>
      <c r="AA64" s="1896"/>
      <c r="AB64" s="1896"/>
      <c r="AC64" s="1896"/>
      <c r="AD64" s="1896"/>
      <c r="AE64" s="1896"/>
      <c r="AF64" s="1896"/>
      <c r="AG64" s="1896"/>
    </row>
    <row r="65" spans="2:33" ht="16.2">
      <c r="B65" t="s">
        <v>906</v>
      </c>
      <c r="E65" t="s">
        <v>835</v>
      </c>
      <c r="F65" t="s">
        <v>848</v>
      </c>
      <c r="G65" s="601">
        <f>($E$18/1000)*LN($E$9/$E$8)/(2*G64)</f>
        <v>3.8438878323332441E-5</v>
      </c>
      <c r="H65" s="601">
        <f>($E$18/1000)*LN($E$9/$E$8)/(2*H64)</f>
        <v>3.8438878323332441E-5</v>
      </c>
      <c r="I65" s="601">
        <f>($E$18/1000)*LN($E$9/$E$8)/(2*I64)</f>
        <v>3.8438878323332441E-5</v>
      </c>
      <c r="J65" s="601">
        <f>($E$18/1000)*LN($E$9/$E$8)/(2*J64)</f>
        <v>3.8438878323332441E-5</v>
      </c>
      <c r="K65" s="601">
        <f>($E$18/1000)*LN($E$9/$E$8)/(2*K64)</f>
        <v>3.8438878323332441E-5</v>
      </c>
      <c r="L65" s="601"/>
      <c r="M65" s="601"/>
      <c r="N65" s="1902" t="s">
        <v>923</v>
      </c>
      <c r="O65" s="689" t="s">
        <v>993</v>
      </c>
      <c r="P65" s="689" t="s">
        <v>925</v>
      </c>
      <c r="Q65" s="1903" t="s">
        <v>935</v>
      </c>
      <c r="R65" s="689" t="s">
        <v>991</v>
      </c>
      <c r="S65" s="689" t="s">
        <v>922</v>
      </c>
      <c r="W65" s="1901" t="s">
        <v>996</v>
      </c>
      <c r="X65" s="1901"/>
      <c r="Y65" s="1901"/>
      <c r="Z65" s="1901"/>
      <c r="AA65" s="1901"/>
      <c r="AB65" s="1901"/>
      <c r="AC65" s="1901"/>
      <c r="AD65" s="1901"/>
      <c r="AE65" s="1901"/>
      <c r="AF65" s="1901"/>
    </row>
    <row r="66" spans="2:33" ht="16.2">
      <c r="B66" s="3" t="s">
        <v>907</v>
      </c>
      <c r="N66" s="1902"/>
      <c r="O66" s="690" t="s">
        <v>1005</v>
      </c>
      <c r="P66" s="690" t="s">
        <v>929</v>
      </c>
      <c r="Q66" s="1904"/>
      <c r="R66" s="691" t="s">
        <v>945</v>
      </c>
      <c r="S66" s="690" t="s">
        <v>1001</v>
      </c>
      <c r="W66" s="1894" t="s">
        <v>779</v>
      </c>
      <c r="X66" s="1894"/>
      <c r="Y66" s="1894"/>
      <c r="Z66" s="1894"/>
      <c r="AA66" s="1894"/>
      <c r="AB66" s="1894"/>
      <c r="AC66" s="1894"/>
      <c r="AD66" s="1894"/>
      <c r="AE66" s="1894"/>
      <c r="AF66" s="1894"/>
      <c r="AG66" s="1897" t="s">
        <v>943</v>
      </c>
    </row>
    <row r="67" spans="2:33" ht="15" thickBot="1">
      <c r="B67" t="s">
        <v>908</v>
      </c>
      <c r="F67" t="s">
        <v>803</v>
      </c>
      <c r="G67">
        <f>(G37+G38)/2+273.15</f>
        <v>328.98333333333329</v>
      </c>
      <c r="H67">
        <f t="shared" ref="H67:K67" si="20">(H37+H38)/2+273.15</f>
        <v>336.77351010358393</v>
      </c>
      <c r="I67">
        <f t="shared" si="20"/>
        <v>335.0727840889644</v>
      </c>
      <c r="J67">
        <f t="shared" si="20"/>
        <v>335.26294140045957</v>
      </c>
      <c r="K67">
        <f t="shared" si="20"/>
        <v>335.23964342061595</v>
      </c>
      <c r="L67" s="136"/>
      <c r="M67" s="136"/>
      <c r="N67" s="696" t="e" cm="1" vm="2">
        <f t="array" ref="N67">_xlfn._xlws.FILTER(Isolation!B62:E71,Isolation!E62:E71=P6)</f>
        <v>#VALUE!</v>
      </c>
      <c r="O67" s="15"/>
      <c r="P67" s="15"/>
      <c r="Q67" s="15"/>
      <c r="R67" s="700" t="e" vm="1">
        <f>VLOOKUP(N67,Isolation!B62:R71,9)</f>
        <v>#VALUE!</v>
      </c>
      <c r="S67" s="15" t="e" vm="1">
        <f>IF(N67="","",AG68)</f>
        <v>#VALUE!</v>
      </c>
      <c r="V67" s="634">
        <f>$E$32</f>
        <v>851.08989601051201</v>
      </c>
      <c r="W67" s="678" cm="1">
        <f t="array" ref="W67:AF67">TRANSPOSE(P67:P76)</f>
        <v>0</v>
      </c>
      <c r="X67" s="678">
        <v>0</v>
      </c>
      <c r="Y67" s="678">
        <v>0</v>
      </c>
      <c r="Z67" s="678">
        <v>0</v>
      </c>
      <c r="AA67" s="678">
        <v>0</v>
      </c>
      <c r="AB67" s="678">
        <v>0</v>
      </c>
      <c r="AC67" s="678">
        <v>0</v>
      </c>
      <c r="AD67" s="678">
        <v>0</v>
      </c>
      <c r="AE67" s="678">
        <v>0</v>
      </c>
      <c r="AF67" s="678">
        <v>0</v>
      </c>
      <c r="AG67" s="1897"/>
    </row>
    <row r="68" spans="2:33">
      <c r="B68" t="s">
        <v>896</v>
      </c>
      <c r="E68" t="s">
        <v>836</v>
      </c>
      <c r="F68" t="s">
        <v>805</v>
      </c>
      <c r="G68" s="601">
        <f>Propriété_matériau!$G$18*G67^4+Propriété_matériau!$H$18*G67^3+Propriété_matériau!$I$18*G67^2+Propriété_matériau!$J$18*G67+Propriété_matériau!$K$18</f>
        <v>5.6192768692983668E-2</v>
      </c>
      <c r="H68" s="601">
        <f>Propriété_matériau!$G$18*H67^4+Propriété_matériau!$H$18*H67^3+Propriété_matériau!$I$18*H67^2+Propriété_matériau!$J$18*H67+Propriété_matériau!$K$18</f>
        <v>5.6690836238467678E-2</v>
      </c>
      <c r="I68" s="601">
        <f>Propriété_matériau!$G$18*I67^4+Propriété_matériau!$H$18*I67^3+Propriété_matériau!$I$18*I67^2+Propriété_matériau!$J$18*I67+Propriété_matériau!$K$18</f>
        <v>5.6580024828816786E-2</v>
      </c>
      <c r="J68" s="601">
        <f>Propriété_matériau!$G$18*J67^4+Propriété_matériau!$H$18*J67^3+Propriété_matériau!$I$18*J67^2+Propriété_matériau!$J$18*J67+Propriété_matériau!$K$18</f>
        <v>5.6592357631955026E-2</v>
      </c>
      <c r="K68" s="601">
        <f>Propriété_matériau!$G$18*K67^4+Propriété_matériau!$H$18*K67^3+Propriété_matériau!$I$18*K67^2+Propriété_matériau!$J$18*K67+Propriété_matériau!$K$18</f>
        <v>5.6590845850149674E-2</v>
      </c>
      <c r="L68" s="601"/>
      <c r="M68" s="601"/>
      <c r="N68" s="696"/>
      <c r="O68" s="15"/>
      <c r="P68" s="15"/>
      <c r="Q68" s="15"/>
      <c r="R68" s="700" t="e">
        <f>VLOOKUP(N68,Isolation!B63:R72,9)</f>
        <v>#N/A</v>
      </c>
      <c r="S68" s="15" t="str">
        <f t="shared" ref="S68:S76" si="21">IF(N68="","",AG69)</f>
        <v/>
      </c>
      <c r="U68" s="1898" t="s">
        <v>992</v>
      </c>
      <c r="V68" s="681" t="e" vm="1">
        <f>R67</f>
        <v>#VALUE!</v>
      </c>
      <c r="W68" s="332" t="e" vm="1">
        <f t="dataTable" ref="W68:AF77" dt2D="1" dtr="1" r1="E10" r2="E9" ca="1"/>
        <v>#VALUE!</v>
      </c>
      <c r="X68" t="e" vm="1">
        <v>#VALUE!</v>
      </c>
      <c r="Y68" t="e" vm="1">
        <v>#VALUE!</v>
      </c>
      <c r="Z68" t="e" vm="1">
        <v>#VALUE!</v>
      </c>
      <c r="AA68" t="e" vm="1">
        <v>#VALUE!</v>
      </c>
      <c r="AB68" t="e" vm="1">
        <v>#VALUE!</v>
      </c>
      <c r="AC68" t="e" vm="1">
        <v>#VALUE!</v>
      </c>
      <c r="AD68" t="e" vm="1">
        <v>#VALUE!</v>
      </c>
      <c r="AE68" t="e" vm="1">
        <v>#VALUE!</v>
      </c>
      <c r="AF68" t="e" vm="1">
        <v>#VALUE!</v>
      </c>
      <c r="AG68" s="698" t="e" cm="1" vm="1">
        <f t="array" ref="AG68">INDEX(W68:AF68,ROWS($1:1))</f>
        <v>#VALUE!</v>
      </c>
    </row>
    <row r="69" spans="2:33">
      <c r="B69" t="s">
        <v>907</v>
      </c>
      <c r="E69" t="s">
        <v>837</v>
      </c>
      <c r="F69" t="s">
        <v>848</v>
      </c>
      <c r="G69" s="136">
        <f>($E$18/1000)*LN($E$18/$E$9)/(2*G68)</f>
        <v>0.54982948796576914</v>
      </c>
      <c r="H69" s="136">
        <f t="shared" ref="H69:K69" si="22">($E$18/1000)*LN($E$18/$E$9)/(2*H68)</f>
        <v>0.54499886203614101</v>
      </c>
      <c r="I69" s="136">
        <f t="shared" si="22"/>
        <v>0.54606623682685695</v>
      </c>
      <c r="J69" s="136">
        <f t="shared" si="22"/>
        <v>0.5459472361758676</v>
      </c>
      <c r="K69" s="136">
        <f t="shared" si="22"/>
        <v>0.54596182074490751</v>
      </c>
      <c r="L69" s="136"/>
      <c r="M69" s="136"/>
      <c r="N69" s="696"/>
      <c r="O69" s="15"/>
      <c r="P69" s="15"/>
      <c r="Q69" s="15"/>
      <c r="R69" s="700" t="e">
        <f>VLOOKUP(N69,Isolation!B64:R73,9)</f>
        <v>#N/A</v>
      </c>
      <c r="S69" s="15" t="str">
        <f t="shared" si="21"/>
        <v/>
      </c>
      <c r="U69" s="1898"/>
      <c r="V69" s="681" t="e">
        <f t="shared" ref="V69:V77" si="23">R68</f>
        <v>#N/A</v>
      </c>
      <c r="W69" t="e">
        <v>#N/A</v>
      </c>
      <c r="X69" s="332" t="e">
        <v>#N/A</v>
      </c>
      <c r="Y69" t="e">
        <v>#N/A</v>
      </c>
      <c r="Z69" t="e">
        <v>#N/A</v>
      </c>
      <c r="AA69" t="e">
        <v>#N/A</v>
      </c>
      <c r="AB69" t="e">
        <v>#N/A</v>
      </c>
      <c r="AC69" t="e">
        <v>#N/A</v>
      </c>
      <c r="AD69" t="e">
        <v>#N/A</v>
      </c>
      <c r="AE69" t="e">
        <v>#N/A</v>
      </c>
      <c r="AF69" t="e">
        <v>#N/A</v>
      </c>
      <c r="AG69" s="629" t="e" cm="1">
        <f t="array" ref="AG69">INDEX(W69:AF69,ROWS($1:2))</f>
        <v>#N/A</v>
      </c>
    </row>
    <row r="70" spans="2:33">
      <c r="B70" s="3" t="s">
        <v>909</v>
      </c>
      <c r="E70" t="s">
        <v>838</v>
      </c>
      <c r="F70" t="s">
        <v>848</v>
      </c>
      <c r="G70" s="584">
        <f>G69+G65+1/G62</f>
        <v>0.69409664793769832</v>
      </c>
      <c r="H70" s="584">
        <f t="shared" ref="H70:K70" si="24">H69+H65+1/H62</f>
        <v>0.65074762250118723</v>
      </c>
      <c r="I70" s="584">
        <f t="shared" si="24"/>
        <v>0.65599326366292121</v>
      </c>
      <c r="J70" s="584">
        <f t="shared" si="24"/>
        <v>0.6553612690969266</v>
      </c>
      <c r="K70" s="584">
        <f t="shared" si="24"/>
        <v>0.65543799336067321</v>
      </c>
      <c r="L70" s="584"/>
      <c r="M70" s="584"/>
      <c r="N70" s="696"/>
      <c r="O70" s="15"/>
      <c r="P70" s="15"/>
      <c r="Q70" s="15"/>
      <c r="R70" s="700" t="e">
        <f>VLOOKUP(N70,Isolation!B65:R74,9)</f>
        <v>#N/A</v>
      </c>
      <c r="S70" s="15" t="str">
        <f t="shared" si="21"/>
        <v/>
      </c>
      <c r="U70" s="1898"/>
      <c r="V70" s="681" t="e">
        <f t="shared" si="23"/>
        <v>#N/A</v>
      </c>
      <c r="W70" t="e">
        <v>#N/A</v>
      </c>
      <c r="X70" t="e">
        <v>#N/A</v>
      </c>
      <c r="Y70" s="332" t="e">
        <v>#N/A</v>
      </c>
      <c r="Z70" t="e">
        <v>#N/A</v>
      </c>
      <c r="AA70" t="e">
        <v>#N/A</v>
      </c>
      <c r="AB70" t="e">
        <v>#N/A</v>
      </c>
      <c r="AC70" t="e">
        <v>#N/A</v>
      </c>
      <c r="AD70" t="e">
        <v>#N/A</v>
      </c>
      <c r="AE70" t="e">
        <v>#N/A</v>
      </c>
      <c r="AF70" t="e">
        <v>#N/A</v>
      </c>
      <c r="AG70" s="629" t="e" cm="1">
        <f t="array" ref="AG70">INDEX(W70:AF70,ROWS($1:3))</f>
        <v>#N/A</v>
      </c>
    </row>
    <row r="71" spans="2:33">
      <c r="B71" t="s">
        <v>910</v>
      </c>
      <c r="E71" t="s">
        <v>839</v>
      </c>
      <c r="F71" t="s">
        <v>849</v>
      </c>
      <c r="G71" s="608">
        <f>($E$10-$E$11)/G70</f>
        <v>108.05411641568963</v>
      </c>
      <c r="H71" s="608">
        <f t="shared" ref="H71:K71" si="25">($E$10-$E$11)/H70</f>
        <v>115.25205380195327</v>
      </c>
      <c r="I71" s="608">
        <f t="shared" si="25"/>
        <v>114.33044232987486</v>
      </c>
      <c r="J71" s="608">
        <f t="shared" si="25"/>
        <v>114.44069635568844</v>
      </c>
      <c r="K71" s="608">
        <f t="shared" si="25"/>
        <v>114.42730015610971</v>
      </c>
      <c r="L71" s="136"/>
      <c r="M71" s="136"/>
      <c r="N71" s="696"/>
      <c r="O71" s="15"/>
      <c r="P71" s="15"/>
      <c r="Q71" s="15"/>
      <c r="R71" s="700" t="e">
        <f>VLOOKUP(N71,Isolation!B66:R75,9)</f>
        <v>#N/A</v>
      </c>
      <c r="S71" s="15" t="str">
        <f t="shared" si="21"/>
        <v/>
      </c>
      <c r="U71" s="1898"/>
      <c r="V71" s="681" t="e">
        <f t="shared" si="23"/>
        <v>#N/A</v>
      </c>
      <c r="W71" t="e">
        <v>#N/A</v>
      </c>
      <c r="X71" t="e">
        <v>#N/A</v>
      </c>
      <c r="Y71" t="e">
        <v>#N/A</v>
      </c>
      <c r="Z71" s="332" t="e">
        <v>#N/A</v>
      </c>
      <c r="AA71" t="e">
        <v>#N/A</v>
      </c>
      <c r="AB71" t="e">
        <v>#N/A</v>
      </c>
      <c r="AC71" t="e">
        <v>#N/A</v>
      </c>
      <c r="AD71" t="e">
        <v>#N/A</v>
      </c>
      <c r="AE71" t="e">
        <v>#N/A</v>
      </c>
      <c r="AF71" t="e">
        <v>#N/A</v>
      </c>
      <c r="AG71" s="629" t="e" cm="1">
        <f t="array" ref="AG71">INDEX(W71:AF71,ROWS($1:4))</f>
        <v>#N/A</v>
      </c>
    </row>
    <row r="72" spans="2:33">
      <c r="B72" t="s">
        <v>862</v>
      </c>
      <c r="E72" t="s">
        <v>840</v>
      </c>
      <c r="F72" t="s">
        <v>843</v>
      </c>
      <c r="G72" s="593">
        <f>$E$10 - G71*G65</f>
        <v>93.329179854300094</v>
      </c>
      <c r="H72" s="593">
        <f>$E$10 - H71*H65</f>
        <v>93.32890317366072</v>
      </c>
      <c r="I72" s="593">
        <f t="shared" ref="I72:K72" si="26">$E$10 - I71*I65</f>
        <v>93.328938599371952</v>
      </c>
      <c r="J72" s="593">
        <f t="shared" si="26"/>
        <v>93.32893436133088</v>
      </c>
      <c r="K72" s="593">
        <f t="shared" si="26"/>
        <v>93.328934876265762</v>
      </c>
      <c r="L72" s="593"/>
      <c r="M72" s="593"/>
      <c r="N72" s="696"/>
      <c r="O72" s="15"/>
      <c r="P72" s="15"/>
      <c r="Q72" s="15"/>
      <c r="R72" s="700" t="e">
        <f>VLOOKUP(N72,Isolation!B67:R76,9)</f>
        <v>#N/A</v>
      </c>
      <c r="S72" s="15" t="str">
        <f t="shared" si="21"/>
        <v/>
      </c>
      <c r="U72" s="1898"/>
      <c r="V72" s="681" t="e">
        <f t="shared" si="23"/>
        <v>#N/A</v>
      </c>
      <c r="W72" t="e">
        <v>#N/A</v>
      </c>
      <c r="X72" t="e">
        <v>#N/A</v>
      </c>
      <c r="Y72" t="e">
        <v>#N/A</v>
      </c>
      <c r="Z72" t="e">
        <v>#N/A</v>
      </c>
      <c r="AA72" s="332" t="e">
        <v>#N/A</v>
      </c>
      <c r="AB72" t="e">
        <v>#N/A</v>
      </c>
      <c r="AC72" t="e">
        <v>#N/A</v>
      </c>
      <c r="AD72" t="e">
        <v>#N/A</v>
      </c>
      <c r="AE72" t="e">
        <v>#N/A</v>
      </c>
      <c r="AF72" t="e">
        <v>#N/A</v>
      </c>
      <c r="AG72" s="629" t="e" cm="1">
        <f t="array" ref="AG72">INDEX(W72:AF72,ROWS($1:5))</f>
        <v>#N/A</v>
      </c>
    </row>
    <row r="73" spans="2:33">
      <c r="B73" t="s">
        <v>911</v>
      </c>
      <c r="E73" t="s">
        <v>841</v>
      </c>
      <c r="F73" t="s">
        <v>843</v>
      </c>
      <c r="G73" s="136">
        <f>G72-G71*G69</f>
        <v>33.917840352867856</v>
      </c>
      <c r="H73" s="136">
        <f t="shared" ref="H73:J73" si="27">H72-H71*H69</f>
        <v>30.516665004268091</v>
      </c>
      <c r="I73" s="136">
        <f t="shared" si="27"/>
        <v>30.8969442015472</v>
      </c>
      <c r="J73" s="136">
        <f t="shared" si="27"/>
        <v>30.85035247990109</v>
      </c>
      <c r="K73" s="136">
        <f>K72-K71*K69</f>
        <v>30.855997740112066</v>
      </c>
      <c r="L73" s="136"/>
      <c r="M73" s="136"/>
      <c r="N73" s="696"/>
      <c r="O73" s="15"/>
      <c r="P73" s="15"/>
      <c r="Q73" s="15"/>
      <c r="R73" s="700" t="e">
        <f>VLOOKUP(N73,Isolation!B68:R77,9)</f>
        <v>#N/A</v>
      </c>
      <c r="S73" s="15" t="str">
        <f t="shared" si="21"/>
        <v/>
      </c>
      <c r="U73" s="1898"/>
      <c r="V73" s="681" t="e">
        <f t="shared" si="23"/>
        <v>#N/A</v>
      </c>
      <c r="W73" t="e">
        <v>#N/A</v>
      </c>
      <c r="X73" t="e">
        <v>#N/A</v>
      </c>
      <c r="Y73" t="e">
        <v>#N/A</v>
      </c>
      <c r="Z73" t="e">
        <v>#N/A</v>
      </c>
      <c r="AA73" t="e">
        <v>#N/A</v>
      </c>
      <c r="AB73" s="332" t="e">
        <v>#N/A</v>
      </c>
      <c r="AC73" t="e">
        <v>#N/A</v>
      </c>
      <c r="AD73" t="e">
        <v>#N/A</v>
      </c>
      <c r="AE73" t="e">
        <v>#N/A</v>
      </c>
      <c r="AF73" t="e">
        <v>#N/A</v>
      </c>
      <c r="AG73" s="629" t="e" cm="1">
        <f t="array" ref="AG73">INDEX(W73:AF73,ROWS($1:6))</f>
        <v>#N/A</v>
      </c>
    </row>
    <row r="74" spans="2:33">
      <c r="B74" t="s">
        <v>912</v>
      </c>
      <c r="F74" t="s">
        <v>797</v>
      </c>
      <c r="G74" s="136">
        <f>G71*PI()*($E$18/1000)</f>
        <v>51.734011592222018</v>
      </c>
      <c r="H74" s="136">
        <f t="shared" ref="H74:J74" si="28">H71*PI()*($E$18/1000)</f>
        <v>55.180230843587637</v>
      </c>
      <c r="I74" s="136">
        <f t="shared" si="28"/>
        <v>54.73898288227344</v>
      </c>
      <c r="J74" s="136">
        <f t="shared" si="28"/>
        <v>54.791770163672204</v>
      </c>
      <c r="K74" s="136">
        <f>K71*PI()*($E$18/1000)</f>
        <v>54.78535634837958</v>
      </c>
      <c r="N74" s="696"/>
      <c r="O74" s="15"/>
      <c r="P74" s="15"/>
      <c r="Q74" s="15"/>
      <c r="R74" s="700" t="e">
        <f>VLOOKUP(N74,Isolation!B69:R78,9)</f>
        <v>#N/A</v>
      </c>
      <c r="S74" s="15" t="str">
        <f t="shared" si="21"/>
        <v/>
      </c>
      <c r="U74" s="1898"/>
      <c r="V74" s="681" t="e">
        <f t="shared" si="23"/>
        <v>#N/A</v>
      </c>
      <c r="W74" t="e">
        <v>#N/A</v>
      </c>
      <c r="X74" t="e">
        <v>#N/A</v>
      </c>
      <c r="Y74" t="e">
        <v>#N/A</v>
      </c>
      <c r="Z74" t="e">
        <v>#N/A</v>
      </c>
      <c r="AA74" t="e">
        <v>#N/A</v>
      </c>
      <c r="AB74" t="e">
        <v>#N/A</v>
      </c>
      <c r="AC74" s="332" t="e">
        <v>#N/A</v>
      </c>
      <c r="AD74" t="e">
        <v>#N/A</v>
      </c>
      <c r="AE74" t="e">
        <v>#N/A</v>
      </c>
      <c r="AF74" t="e">
        <v>#N/A</v>
      </c>
      <c r="AG74" s="629" t="e" cm="1">
        <f t="array" ref="AG74">INDEX(W74:AF74,ROWS($1:7))</f>
        <v>#N/A</v>
      </c>
    </row>
    <row r="75" spans="2:33">
      <c r="N75" s="696"/>
      <c r="O75" s="15"/>
      <c r="P75" s="15"/>
      <c r="Q75" s="15"/>
      <c r="R75" s="700" t="e">
        <f>VLOOKUP(N75,Isolation!B70:R79,9)</f>
        <v>#N/A</v>
      </c>
      <c r="S75" s="15" t="str">
        <f t="shared" si="21"/>
        <v/>
      </c>
      <c r="U75" s="1898"/>
      <c r="V75" s="681" t="e">
        <f t="shared" si="23"/>
        <v>#N/A</v>
      </c>
      <c r="W75" t="e">
        <v>#N/A</v>
      </c>
      <c r="X75" t="e">
        <v>#N/A</v>
      </c>
      <c r="Y75" t="e">
        <v>#N/A</v>
      </c>
      <c r="Z75" t="e">
        <v>#N/A</v>
      </c>
      <c r="AA75" t="e">
        <v>#N/A</v>
      </c>
      <c r="AB75" t="e">
        <v>#N/A</v>
      </c>
      <c r="AC75" t="e">
        <v>#N/A</v>
      </c>
      <c r="AD75" s="332" t="e">
        <v>#N/A</v>
      </c>
      <c r="AE75" t="e">
        <v>#N/A</v>
      </c>
      <c r="AF75" t="e">
        <v>#N/A</v>
      </c>
      <c r="AG75" s="629" t="e" cm="1">
        <f t="array" ref="AG75">INDEX(W75:AF75,ROWS($1:8))</f>
        <v>#N/A</v>
      </c>
    </row>
    <row r="76" spans="2:33">
      <c r="B76" s="594" t="s">
        <v>913</v>
      </c>
      <c r="N76" s="696"/>
      <c r="O76" s="15"/>
      <c r="P76" s="15"/>
      <c r="Q76" s="15"/>
      <c r="R76" s="700" t="e">
        <f>VLOOKUP(N76,Isolation!B71:R80,9)</f>
        <v>#N/A</v>
      </c>
      <c r="S76" s="15" t="str">
        <f t="shared" si="21"/>
        <v/>
      </c>
      <c r="U76" s="1898"/>
      <c r="V76" s="681" t="e">
        <f t="shared" si="23"/>
        <v>#N/A</v>
      </c>
      <c r="W76" t="e">
        <v>#N/A</v>
      </c>
      <c r="X76" t="e">
        <v>#N/A</v>
      </c>
      <c r="Y76" t="e">
        <v>#N/A</v>
      </c>
      <c r="Z76" t="e">
        <v>#N/A</v>
      </c>
      <c r="AA76" t="e">
        <v>#N/A</v>
      </c>
      <c r="AB76" t="e">
        <v>#N/A</v>
      </c>
      <c r="AC76" t="e">
        <v>#N/A</v>
      </c>
      <c r="AD76" t="e">
        <v>#N/A</v>
      </c>
      <c r="AE76" s="332" t="e">
        <v>#N/A</v>
      </c>
      <c r="AF76" t="e">
        <v>#N/A</v>
      </c>
      <c r="AG76" s="629" t="e" cm="1">
        <f t="array" ref="AG76">INDEX(W76:AF76,ROWS($1:9))</f>
        <v>#N/A</v>
      </c>
    </row>
    <row r="77" spans="2:33" ht="15" thickBot="1">
      <c r="B77" s="3"/>
      <c r="E77" t="s">
        <v>799</v>
      </c>
      <c r="G77">
        <v>1</v>
      </c>
      <c r="H77">
        <v>2</v>
      </c>
      <c r="I77">
        <v>3</v>
      </c>
      <c r="J77">
        <v>4</v>
      </c>
      <c r="K77">
        <v>5</v>
      </c>
      <c r="U77" s="1898"/>
      <c r="V77" s="681" t="e">
        <f t="shared" si="23"/>
        <v>#N/A</v>
      </c>
      <c r="W77" t="e">
        <v>#N/A</v>
      </c>
      <c r="X77" t="e">
        <v>#N/A</v>
      </c>
      <c r="Y77" t="e">
        <v>#N/A</v>
      </c>
      <c r="Z77" t="e">
        <v>#N/A</v>
      </c>
      <c r="AA77" t="e">
        <v>#N/A</v>
      </c>
      <c r="AB77" t="e">
        <v>#N/A</v>
      </c>
      <c r="AC77" t="e">
        <v>#N/A</v>
      </c>
      <c r="AD77" t="e">
        <v>#N/A</v>
      </c>
      <c r="AE77" t="e">
        <v>#N/A</v>
      </c>
      <c r="AF77" s="332" t="e">
        <v>#N/A</v>
      </c>
      <c r="AG77" s="699" t="e" cm="1">
        <f t="array" ref="AG77">INDEX(W77:AF77,ROWS($1:10))</f>
        <v>#N/A</v>
      </c>
    </row>
    <row r="78" spans="2:33">
      <c r="B78" t="s">
        <v>859</v>
      </c>
      <c r="E78" t="s">
        <v>800</v>
      </c>
      <c r="F78" t="s">
        <v>843</v>
      </c>
      <c r="G78" s="593">
        <f>E11+1</f>
        <v>19.333333333333332</v>
      </c>
      <c r="H78" s="593">
        <f>G109</f>
        <v>93.320799811255952</v>
      </c>
      <c r="I78" s="593">
        <f t="shared" ref="I78:K78" si="29">H109</f>
        <v>93.308589852460827</v>
      </c>
      <c r="J78" s="593">
        <f t="shared" si="29"/>
        <v>93.308591068105997</v>
      </c>
      <c r="K78" s="593">
        <f t="shared" si="29"/>
        <v>93.308591067984963</v>
      </c>
      <c r="N78" s="593"/>
      <c r="O78" s="593"/>
      <c r="P78" s="593"/>
      <c r="Q78" s="593"/>
      <c r="R78" s="593"/>
    </row>
    <row r="79" spans="2:33">
      <c r="B79" t="s">
        <v>914</v>
      </c>
      <c r="G79" s="599">
        <f>Hypothèses!$D$167</f>
        <v>0.8</v>
      </c>
      <c r="H79">
        <f>G79</f>
        <v>0.8</v>
      </c>
      <c r="I79">
        <f t="shared" ref="I79:J79" si="30">H79</f>
        <v>0.8</v>
      </c>
      <c r="J79">
        <f t="shared" si="30"/>
        <v>0.8</v>
      </c>
      <c r="K79">
        <f>J79</f>
        <v>0.8</v>
      </c>
      <c r="N79" s="1896" t="s">
        <v>1253</v>
      </c>
      <c r="O79" s="1896"/>
      <c r="P79" s="1896"/>
      <c r="Q79" s="1896"/>
      <c r="R79" s="1896"/>
      <c r="S79" s="1896"/>
      <c r="T79" s="1896"/>
      <c r="U79" s="1896"/>
      <c r="V79" s="1896"/>
      <c r="W79" s="1896"/>
      <c r="X79" s="1896"/>
      <c r="Y79" s="1896"/>
      <c r="Z79" s="1896"/>
      <c r="AA79" s="1896"/>
      <c r="AB79" s="1896"/>
      <c r="AC79" s="1896"/>
      <c r="AD79" s="1896"/>
      <c r="AE79" s="1896"/>
      <c r="AF79" s="1896"/>
      <c r="AG79" s="1896"/>
    </row>
    <row r="80" spans="2:33" ht="16.2">
      <c r="B80" s="3" t="s">
        <v>915</v>
      </c>
      <c r="N80" s="1902" t="s">
        <v>923</v>
      </c>
      <c r="O80" s="689" t="s">
        <v>993</v>
      </c>
      <c r="P80" s="689" t="s">
        <v>925</v>
      </c>
      <c r="Q80" s="1903" t="s">
        <v>935</v>
      </c>
      <c r="R80" s="689" t="s">
        <v>991</v>
      </c>
      <c r="S80" s="689" t="s">
        <v>922</v>
      </c>
      <c r="W80" s="1901" t="s">
        <v>996</v>
      </c>
      <c r="X80" s="1901"/>
      <c r="Y80" s="1901"/>
      <c r="Z80" s="1901"/>
      <c r="AA80" s="1901"/>
      <c r="AB80" s="1901"/>
      <c r="AC80" s="1901"/>
      <c r="AD80" s="1901"/>
      <c r="AE80" s="1901"/>
      <c r="AF80" s="1901"/>
    </row>
    <row r="81" spans="2:33" ht="16.2">
      <c r="B81" t="s">
        <v>916</v>
      </c>
      <c r="E81" t="s">
        <v>802</v>
      </c>
      <c r="F81" t="s">
        <v>843</v>
      </c>
      <c r="G81">
        <f>(G78+$E$11)/2</f>
        <v>18.833333333333332</v>
      </c>
      <c r="H81" s="136">
        <f t="shared" ref="H81:K81" si="31">(H78+$E$11)/2</f>
        <v>55.82706657229464</v>
      </c>
      <c r="I81" s="136">
        <f t="shared" si="31"/>
        <v>55.820961592897078</v>
      </c>
      <c r="J81" s="136">
        <f t="shared" si="31"/>
        <v>55.820962200719663</v>
      </c>
      <c r="K81" s="136">
        <f t="shared" si="31"/>
        <v>55.820962200659146</v>
      </c>
      <c r="N81" s="1902"/>
      <c r="O81" s="690" t="s">
        <v>1005</v>
      </c>
      <c r="P81" s="690" t="s">
        <v>929</v>
      </c>
      <c r="Q81" s="1904"/>
      <c r="R81" s="691" t="s">
        <v>945</v>
      </c>
      <c r="S81" s="690" t="s">
        <v>1001</v>
      </c>
      <c r="W81" s="1894" t="s">
        <v>779</v>
      </c>
      <c r="X81" s="1894"/>
      <c r="Y81" s="1894"/>
      <c r="Z81" s="1894"/>
      <c r="AA81" s="1894"/>
      <c r="AB81" s="1894"/>
      <c r="AC81" s="1894"/>
      <c r="AD81" s="1894"/>
      <c r="AE81" s="1894"/>
      <c r="AF81" s="1894"/>
      <c r="AG81" s="1897" t="s">
        <v>943</v>
      </c>
    </row>
    <row r="82" spans="2:33" ht="15" thickBot="1">
      <c r="F82" t="s">
        <v>803</v>
      </c>
      <c r="G82">
        <f>G81+273.15</f>
        <v>291.98333333333329</v>
      </c>
      <c r="H82" s="136">
        <f t="shared" ref="H82:K82" si="32">H81+273.15</f>
        <v>328.97706657229463</v>
      </c>
      <c r="I82" s="136">
        <f t="shared" si="32"/>
        <v>328.97096159289708</v>
      </c>
      <c r="J82" s="136">
        <f t="shared" si="32"/>
        <v>328.97096220071967</v>
      </c>
      <c r="K82" s="136">
        <f t="shared" si="32"/>
        <v>328.97096220065913</v>
      </c>
      <c r="N82" s="696" t="e" cm="1" vm="2">
        <f t="array" ref="N82">_xlfn._xlws.FILTER(Isolation!B77:E86,Isolation!E77:E86=P6)</f>
        <v>#VALUE!</v>
      </c>
      <c r="O82" s="15"/>
      <c r="P82" s="15"/>
      <c r="Q82" s="15"/>
      <c r="R82" s="700" t="e" vm="1">
        <f>VLOOKUP(N82,Isolation!B77:R86,9)</f>
        <v>#VALUE!</v>
      </c>
      <c r="S82" s="15" t="e" vm="1">
        <f>IF(N82="","",AG83)</f>
        <v>#VALUE!</v>
      </c>
      <c r="V82" s="634">
        <f>$E$32</f>
        <v>851.08989601051201</v>
      </c>
      <c r="W82" s="678" cm="1">
        <f t="array" ref="W82:AF82">TRANSPOSE(P82:P91)</f>
        <v>0</v>
      </c>
      <c r="X82" s="678">
        <v>0</v>
      </c>
      <c r="Y82" s="678">
        <v>0</v>
      </c>
      <c r="Z82" s="678">
        <v>0</v>
      </c>
      <c r="AA82" s="678">
        <v>0</v>
      </c>
      <c r="AB82" s="678">
        <v>0</v>
      </c>
      <c r="AC82" s="678">
        <v>0</v>
      </c>
      <c r="AD82" s="678">
        <v>0</v>
      </c>
      <c r="AE82" s="678">
        <v>0</v>
      </c>
      <c r="AF82" s="678">
        <v>0</v>
      </c>
      <c r="AG82" s="1897"/>
    </row>
    <row r="83" spans="2:33">
      <c r="B83" t="s">
        <v>896</v>
      </c>
      <c r="E83" t="s">
        <v>804</v>
      </c>
      <c r="F83" t="s">
        <v>805</v>
      </c>
      <c r="G83" s="595">
        <f>(Propriété_air!$Q$22*G82^4+Propriété_air!$R$22*G82^3+Propriété_air!$S$22*G82^2+Propriété_air!$T$22*G82+Propriété_air!$U$22)/10^3</f>
        <v>2.5620216674003316E-2</v>
      </c>
      <c r="H83" s="595">
        <f>(Propriété_air!$Q$22*H82^4+Propriété_air!$R$22*H82^3+Propriété_air!$S$22*H82^2+Propriété_air!$T$22*H82+Propriété_air!$U$22)/10^3</f>
        <v>2.8521878796265217E-2</v>
      </c>
      <c r="I83" s="595">
        <f>(Propriété_air!$Q$22*I82^4+Propriété_air!$R$22*I82^3+Propriété_air!$S$22*I82^2+Propriété_air!$T$22*I82+Propriété_air!$U$22)/10^3</f>
        <v>2.8521407255856269E-2</v>
      </c>
      <c r="J83" s="595">
        <f>(Propriété_air!$Q$22*J82^4+Propriété_air!$R$22*J82^3+Propriété_air!$S$22*J82^2+Propriété_air!$T$22*J82+Propriété_air!$U$22)/10^3</f>
        <v>2.8521407302803791E-2</v>
      </c>
      <c r="K83" s="595">
        <f>(Propriété_air!$Q$22*K82^4+Propriété_air!$R$22*K82^3+Propriété_air!$S$22*K82^2+Propriété_air!$T$22*K82+Propriété_air!$U$22)/10^3</f>
        <v>2.8521407302799111E-2</v>
      </c>
      <c r="N83" s="696"/>
      <c r="O83" s="15"/>
      <c r="P83" s="15"/>
      <c r="Q83" s="15"/>
      <c r="R83" s="700" t="e">
        <f>VLOOKUP(N83,Isolation!B78:R87,9)</f>
        <v>#N/A</v>
      </c>
      <c r="S83" s="15" t="str">
        <f t="shared" ref="S83:S91" si="33">IF(N83="","",AG84)</f>
        <v/>
      </c>
      <c r="U83" s="1898" t="s">
        <v>992</v>
      </c>
      <c r="V83" s="681" t="e" vm="1">
        <f>R82</f>
        <v>#VALUE!</v>
      </c>
      <c r="W83" s="332" t="e" vm="1">
        <f t="dataTable" ref="W83:AF92" dt2D="1" dtr="1" r1="E10" r2="E9" ca="1"/>
        <v>#VALUE!</v>
      </c>
      <c r="X83" t="e" vm="1">
        <v>#VALUE!</v>
      </c>
      <c r="Y83" t="e" vm="1">
        <v>#VALUE!</v>
      </c>
      <c r="Z83" t="e" vm="1">
        <v>#VALUE!</v>
      </c>
      <c r="AA83" t="e" vm="1">
        <v>#VALUE!</v>
      </c>
      <c r="AB83" t="e" vm="1">
        <v>#VALUE!</v>
      </c>
      <c r="AC83" t="e" vm="1">
        <v>#VALUE!</v>
      </c>
      <c r="AD83" t="e" vm="1">
        <v>#VALUE!</v>
      </c>
      <c r="AE83" t="e" vm="1">
        <v>#VALUE!</v>
      </c>
      <c r="AF83" t="e" vm="1">
        <v>#VALUE!</v>
      </c>
      <c r="AG83" s="698" t="e" cm="1" vm="1">
        <f t="array" ref="AG83">INDEX(W83:AF83,ROWS($1:1))</f>
        <v>#VALUE!</v>
      </c>
    </row>
    <row r="84" spans="2:33">
      <c r="B84" t="s">
        <v>897</v>
      </c>
      <c r="E84" t="s">
        <v>806</v>
      </c>
      <c r="F84" t="s">
        <v>844</v>
      </c>
      <c r="G84" s="596">
        <f>(Propriété_air!$Q$10*G82^4+Propriété_air!$R$10*G82^3+Propriété_air!$S$10*G82^2+Propriété_air!$T$10*G82+Propriété_air!$U$10)/10^7</f>
        <v>1.8090342079092796E-5</v>
      </c>
      <c r="H84" s="596">
        <f>(Propriété_air!$Q$10*H82^4+Propriété_air!$R$10*H82^3+Propriété_air!$S$10*H82^2+Propriété_air!$T$10*H82+Propriété_air!$U$10)/10^7</f>
        <v>1.9854664465258142E-5</v>
      </c>
      <c r="I84" s="596">
        <f>(Propriété_air!$Q$10*I82^4+Propriété_air!$R$10*I82^3+Propriété_air!$S$10*I82^2+Propriété_air!$T$10*I82+Propriété_air!$U$10)/10^7</f>
        <v>1.9854380849044755E-5</v>
      </c>
      <c r="J84" s="596">
        <f>(Propriété_air!$Q$10*J82^4+Propriété_air!$R$10*J82^3+Propriété_air!$S$10*J82^2+Propriété_air!$T$10*J82+Propriété_air!$U$10)/10^7</f>
        <v>1.9854380877282208E-5</v>
      </c>
      <c r="K84" s="596">
        <f>(Propriété_air!$Q$10*K82^4+Propriété_air!$R$10*K82^3+Propriété_air!$S$10*K82^2+Propriété_air!$T$10*K82+Propriété_air!$U$10)/10^7</f>
        <v>1.9854380877279392E-5</v>
      </c>
      <c r="N84" s="696"/>
      <c r="O84" s="15"/>
      <c r="P84" s="15"/>
      <c r="Q84" s="15"/>
      <c r="R84" s="700" t="e">
        <f>VLOOKUP(N84,Isolation!B79:R88,9)</f>
        <v>#N/A</v>
      </c>
      <c r="S84" s="15" t="str">
        <f t="shared" si="33"/>
        <v/>
      </c>
      <c r="U84" s="1898"/>
      <c r="V84" s="681" t="e">
        <f t="shared" ref="V84:V92" si="34">R83</f>
        <v>#N/A</v>
      </c>
      <c r="W84" t="e">
        <v>#N/A</v>
      </c>
      <c r="X84" s="332" t="e">
        <v>#N/A</v>
      </c>
      <c r="Y84" t="e">
        <v>#N/A</v>
      </c>
      <c r="Z84" t="e">
        <v>#N/A</v>
      </c>
      <c r="AA84" t="e">
        <v>#N/A</v>
      </c>
      <c r="AB84" t="e">
        <v>#N/A</v>
      </c>
      <c r="AC84" t="e">
        <v>#N/A</v>
      </c>
      <c r="AD84" t="e">
        <v>#N/A</v>
      </c>
      <c r="AE84" t="e">
        <v>#N/A</v>
      </c>
      <c r="AF84" t="e">
        <v>#N/A</v>
      </c>
      <c r="AG84" s="629" t="e" cm="1">
        <f t="array" ref="AG84">INDEX(W84:AF84,ROWS($1:2))</f>
        <v>#N/A</v>
      </c>
    </row>
    <row r="85" spans="2:33">
      <c r="B85" t="s">
        <v>807</v>
      </c>
      <c r="E85" t="s">
        <v>808</v>
      </c>
      <c r="G85" s="584">
        <f>Propriété_air!$Q$34*G82^4+Propriété_air!$R$34*G82^3+Propriété_air!$S$34*G82^2+Propriété_air!$T$34*G82+Propriété_air!$U$34</f>
        <v>0.70927939834533715</v>
      </c>
      <c r="H85" s="584">
        <f>Propriété_air!$Q$34*H82^4+Propriété_air!$R$34*H82^3+Propriété_air!$S$34*H82^2+Propriété_air!$T$34*H82+Propriété_air!$U$34</f>
        <v>0.70086350099421879</v>
      </c>
      <c r="I85" s="584">
        <f>Propriété_air!$Q$34*I82^4+Propriété_air!$R$34*I82^3+Propriété_air!$S$34*I82^2+Propriété_air!$T$34*I82+Propriété_air!$U$34</f>
        <v>0.70086474110229535</v>
      </c>
      <c r="J85" s="584">
        <f>Propriété_air!$Q$34*J82^4+Propriété_air!$R$34*J82^3+Propriété_air!$S$34*J82^2+Propriété_air!$T$34*J82+Propriété_air!$U$34</f>
        <v>0.70086474097882556</v>
      </c>
      <c r="K85" s="584">
        <f>Propriété_air!$Q$34*K82^4+Propriété_air!$R$34*K82^3+Propriété_air!$S$34*K82^2+Propriété_air!$T$34*K82+Propriété_air!$U$34</f>
        <v>0.70086474097883789</v>
      </c>
      <c r="N85" s="696"/>
      <c r="O85" s="15"/>
      <c r="P85" s="15"/>
      <c r="Q85" s="15"/>
      <c r="R85" s="700" t="e">
        <f>VLOOKUP(N85,Isolation!B80:R89,9)</f>
        <v>#N/A</v>
      </c>
      <c r="S85" s="15" t="str">
        <f t="shared" si="33"/>
        <v/>
      </c>
      <c r="U85" s="1898"/>
      <c r="V85" s="681" t="e">
        <f t="shared" si="34"/>
        <v>#N/A</v>
      </c>
      <c r="W85" t="e">
        <v>#N/A</v>
      </c>
      <c r="X85" t="e">
        <v>#N/A</v>
      </c>
      <c r="Y85" s="332" t="e">
        <v>#N/A</v>
      </c>
      <c r="Z85" t="e">
        <v>#N/A</v>
      </c>
      <c r="AA85" t="e">
        <v>#N/A</v>
      </c>
      <c r="AB85" t="e">
        <v>#N/A</v>
      </c>
      <c r="AC85" t="e">
        <v>#N/A</v>
      </c>
      <c r="AD85" t="e">
        <v>#N/A</v>
      </c>
      <c r="AE85" t="e">
        <v>#N/A</v>
      </c>
      <c r="AF85" t="e">
        <v>#N/A</v>
      </c>
      <c r="AG85" s="629" t="e" cm="1">
        <f t="array" ref="AG85">INDEX(W85:AF85,ROWS($1:3))</f>
        <v>#N/A</v>
      </c>
    </row>
    <row r="86" spans="2:33">
      <c r="B86" t="s">
        <v>898</v>
      </c>
      <c r="E86" t="s">
        <v>809</v>
      </c>
      <c r="F86" t="s">
        <v>810</v>
      </c>
      <c r="G86">
        <f>1/G82</f>
        <v>3.4248530167246996E-3</v>
      </c>
      <c r="H86">
        <f t="shared" ref="H86:K86" si="35">1/H82</f>
        <v>3.0397255663420055E-3</v>
      </c>
      <c r="I86">
        <f t="shared" si="35"/>
        <v>3.0397819769804003E-3</v>
      </c>
      <c r="J86">
        <f t="shared" si="35"/>
        <v>3.0397819713639529E-3</v>
      </c>
      <c r="K86">
        <f t="shared" si="35"/>
        <v>3.0397819713645119E-3</v>
      </c>
      <c r="N86" s="696"/>
      <c r="O86" s="15"/>
      <c r="P86" s="15"/>
      <c r="Q86" s="15"/>
      <c r="R86" s="700" t="e">
        <f>VLOOKUP(N86,Isolation!B81:R90,9)</f>
        <v>#N/A</v>
      </c>
      <c r="S86" s="15" t="str">
        <f t="shared" si="33"/>
        <v/>
      </c>
      <c r="U86" s="1898"/>
      <c r="V86" s="681" t="e">
        <f t="shared" si="34"/>
        <v>#N/A</v>
      </c>
      <c r="W86" t="e">
        <v>#N/A</v>
      </c>
      <c r="X86" t="e">
        <v>#N/A</v>
      </c>
      <c r="Y86" t="e">
        <v>#N/A</v>
      </c>
      <c r="Z86" s="332" t="e">
        <v>#N/A</v>
      </c>
      <c r="AA86" t="e">
        <v>#N/A</v>
      </c>
      <c r="AB86" t="e">
        <v>#N/A</v>
      </c>
      <c r="AC86" t="e">
        <v>#N/A</v>
      </c>
      <c r="AD86" t="e">
        <v>#N/A</v>
      </c>
      <c r="AE86" t="e">
        <v>#N/A</v>
      </c>
      <c r="AF86" t="e">
        <v>#N/A</v>
      </c>
      <c r="AG86" s="629" t="e" cm="1">
        <f t="array" ref="AG86">INDEX(W86:AF86,ROWS($1:4))</f>
        <v>#N/A</v>
      </c>
    </row>
    <row r="87" spans="2:33">
      <c r="B87" t="s">
        <v>899</v>
      </c>
      <c r="E87" t="s">
        <v>811</v>
      </c>
      <c r="F87" t="s">
        <v>842</v>
      </c>
      <c r="G87" s="595">
        <f>Propriété_air!$Q$45/G82</f>
        <v>1.2089882021352043</v>
      </c>
      <c r="H87" s="595">
        <f>Propriété_air!$Q$45/H82</f>
        <v>1.0730365155789239</v>
      </c>
      <c r="I87" s="595">
        <f>Propriété_air!$Q$45/I82</f>
        <v>1.0730564287827784</v>
      </c>
      <c r="J87" s="595">
        <f>Propriété_air!$Q$45/J82</f>
        <v>1.0730564268001477</v>
      </c>
      <c r="K87" s="595">
        <f>Propriété_air!$Q$45/K82</f>
        <v>1.0730564268003451</v>
      </c>
      <c r="N87" s="696"/>
      <c r="O87" s="15"/>
      <c r="P87" s="15"/>
      <c r="Q87" s="15"/>
      <c r="R87" s="700" t="e">
        <f>VLOOKUP(N87,Isolation!B82:R91,9)</f>
        <v>#N/A</v>
      </c>
      <c r="S87" s="15" t="str">
        <f t="shared" si="33"/>
        <v/>
      </c>
      <c r="U87" s="1898"/>
      <c r="V87" s="681" t="e">
        <f t="shared" si="34"/>
        <v>#N/A</v>
      </c>
      <c r="W87" t="e">
        <v>#N/A</v>
      </c>
      <c r="X87" t="e">
        <v>#N/A</v>
      </c>
      <c r="Y87" t="e">
        <v>#N/A</v>
      </c>
      <c r="Z87" t="e">
        <v>#N/A</v>
      </c>
      <c r="AA87" s="332" t="e">
        <v>#N/A</v>
      </c>
      <c r="AB87" t="e">
        <v>#N/A</v>
      </c>
      <c r="AC87" t="e">
        <v>#N/A</v>
      </c>
      <c r="AD87" t="e">
        <v>#N/A</v>
      </c>
      <c r="AE87" t="e">
        <v>#N/A</v>
      </c>
      <c r="AF87" t="e">
        <v>#N/A</v>
      </c>
      <c r="AG87" s="629" t="e" cm="1">
        <f t="array" ref="AG87">INDEX(W87:AF87,ROWS($1:5))</f>
        <v>#N/A</v>
      </c>
    </row>
    <row r="88" spans="2:33">
      <c r="B88" t="s">
        <v>812</v>
      </c>
      <c r="E88" t="s">
        <v>813</v>
      </c>
      <c r="F88" t="s">
        <v>846</v>
      </c>
      <c r="G88" s="596">
        <f>(Propriété_air!$Q$16*G82^4+Propriété_air!$R$16*G82^3+Propriété_air!$S$16*G82^2+Propriété_air!$T$16*G82+Propriété_air!$U$16)/10^6</f>
        <v>1.51587898128742E-5</v>
      </c>
      <c r="H88" s="596">
        <f>(Propriété_air!$Q$16*H82^4+Propriété_air!$R$16*H82^3+Propriété_air!$S$16*H82^2+Propriété_air!$T$16*H82+Propriété_air!$U$16)/10^6</f>
        <v>1.872801378210591E-5</v>
      </c>
      <c r="I88" s="596">
        <f>(Propriété_air!$Q$16*I82^4+Propriété_air!$R$16*I82^3+Propriété_air!$S$16*I82^2+Propriété_air!$T$16*I82+Propriété_air!$U$16)/10^6</f>
        <v>1.8727400549551703E-5</v>
      </c>
      <c r="J88" s="596">
        <f>(Propriété_air!$Q$16*J82^4+Propriété_air!$R$16*J82^3+Propriété_air!$S$16*J82^2+Propriété_air!$T$16*J82+Propriété_air!$U$16)/10^6</f>
        <v>1.8727400610605834E-5</v>
      </c>
      <c r="K88" s="596">
        <f>(Propriété_air!$Q$16*K82^4+Propriété_air!$R$16*K82^3+Propriété_air!$S$16*K82^2+Propriété_air!$T$16*K82+Propriété_air!$U$16)/10^6</f>
        <v>1.8727400610599759E-5</v>
      </c>
      <c r="N88" s="696"/>
      <c r="O88" s="15"/>
      <c r="P88" s="15"/>
      <c r="Q88" s="15"/>
      <c r="R88" s="700" t="e">
        <f>VLOOKUP(N88,Isolation!B83:R92,9)</f>
        <v>#N/A</v>
      </c>
      <c r="S88" s="15" t="str">
        <f t="shared" si="33"/>
        <v/>
      </c>
      <c r="U88" s="1898"/>
      <c r="V88" s="681" t="e">
        <f t="shared" si="34"/>
        <v>#N/A</v>
      </c>
      <c r="W88" t="e">
        <v>#N/A</v>
      </c>
      <c r="X88" t="e">
        <v>#N/A</v>
      </c>
      <c r="Y88" t="e">
        <v>#N/A</v>
      </c>
      <c r="Z88" t="e">
        <v>#N/A</v>
      </c>
      <c r="AA88" t="e">
        <v>#N/A</v>
      </c>
      <c r="AB88" s="332" t="e">
        <v>#N/A</v>
      </c>
      <c r="AC88" t="e">
        <v>#N/A</v>
      </c>
      <c r="AD88" t="e">
        <v>#N/A</v>
      </c>
      <c r="AE88" t="e">
        <v>#N/A</v>
      </c>
      <c r="AF88" t="e">
        <v>#N/A</v>
      </c>
      <c r="AG88" s="629" t="e" cm="1">
        <f t="array" ref="AG88">INDEX(W88:AF88,ROWS($1:6))</f>
        <v>#N/A</v>
      </c>
    </row>
    <row r="89" spans="2:33">
      <c r="B89" t="s">
        <v>900</v>
      </c>
      <c r="E89" t="s">
        <v>815</v>
      </c>
      <c r="F89" t="s">
        <v>816</v>
      </c>
      <c r="G89" s="136">
        <f>Propriété_air!$Q$4*G82^4+Propriété_air!$R$4*G82^3+Propriété_air!$S$4*G82^2+Propriété_air!$T$4*G82+Propriété_air!$U$4</f>
        <v>1.0047578086708546</v>
      </c>
      <c r="H89" s="136">
        <f>Propriété_air!$Q$4*H82^4+Propriété_air!$R$4*H82^3+Propriété_air!$S$4*H82^2+Propriété_air!$T$4*H82+Propriété_air!$U$4</f>
        <v>1.0064372153851211</v>
      </c>
      <c r="I89" s="136">
        <f>Propriété_air!$Q$4*I82^4+Propriété_air!$R$4*I82^3+Propriété_air!$S$4*I82^2+Propriété_air!$T$4*I82+Propriété_air!$U$4</f>
        <v>1.0064368097039527</v>
      </c>
      <c r="J89" s="136">
        <f>Propriété_air!$Q$4*J82^4+Propriété_air!$R$4*J82^3+Propriété_air!$S$4*J82^2+Propriété_air!$T$4*J82+Propriété_air!$U$4</f>
        <v>1.0064368097443408</v>
      </c>
      <c r="K89" s="136">
        <f>Propriété_air!$Q$4*K82^4+Propriété_air!$R$4*K82^3+Propriété_air!$S$4*K82^2+Propriété_air!$T$4*K82+Propriété_air!$U$4</f>
        <v>1.0064368097443368</v>
      </c>
      <c r="M89" s="596"/>
      <c r="N89" s="696"/>
      <c r="O89" s="15"/>
      <c r="P89" s="15"/>
      <c r="Q89" s="15"/>
      <c r="R89" s="700" t="e">
        <f>VLOOKUP(N89,Isolation!B84:R93,9)</f>
        <v>#N/A</v>
      </c>
      <c r="S89" s="15" t="str">
        <f t="shared" si="33"/>
        <v/>
      </c>
      <c r="U89" s="1898"/>
      <c r="V89" s="681" t="e">
        <f t="shared" si="34"/>
        <v>#N/A</v>
      </c>
      <c r="W89" t="e">
        <v>#N/A</v>
      </c>
      <c r="X89" t="e">
        <v>#N/A</v>
      </c>
      <c r="Y89" t="e">
        <v>#N/A</v>
      </c>
      <c r="Z89" t="e">
        <v>#N/A</v>
      </c>
      <c r="AA89" t="e">
        <v>#N/A</v>
      </c>
      <c r="AB89" t="e">
        <v>#N/A</v>
      </c>
      <c r="AC89" s="332" t="e">
        <v>#N/A</v>
      </c>
      <c r="AD89" t="e">
        <v>#N/A</v>
      </c>
      <c r="AE89" t="e">
        <v>#N/A</v>
      </c>
      <c r="AF89" t="e">
        <v>#N/A</v>
      </c>
      <c r="AG89" s="629" t="e" cm="1">
        <f t="array" ref="AG89">INDEX(W89:AF89,ROWS($1:7))</f>
        <v>#N/A</v>
      </c>
    </row>
    <row r="90" spans="2:33">
      <c r="B90" t="s">
        <v>817</v>
      </c>
      <c r="E90" t="s">
        <v>818</v>
      </c>
      <c r="F90" t="s">
        <v>846</v>
      </c>
      <c r="G90" s="596">
        <f>(Propriété_air!$Q$28*G82^4+Propriété_air!$R$28*G82^3+Propriété_air!$S$28*G82^2+Propriété_air!$T$28*G82+Propriété_air!$U$28)/10^6</f>
        <v>2.1337905661950222E-5</v>
      </c>
      <c r="H90" s="596">
        <f>(Propriété_air!$Q$28*H82^4+Propriété_air!$R$28*H82^3+Propriété_air!$S$28*H82^2+Propriété_air!$T$28*H82+Propriété_air!$U$28)/10^6</f>
        <v>2.679101546173507E-5</v>
      </c>
      <c r="I90" s="596">
        <f>(Propriété_air!$Q$28*I82^4+Propriété_air!$R$28*I82^3+Propriété_air!$S$28*I82^2+Propriété_air!$T$28*I82+Propriété_air!$U$28)/10^6</f>
        <v>2.6790077936831477E-5</v>
      </c>
      <c r="J90" s="596">
        <f>(Propriété_air!$Q$28*J82^4+Propriété_air!$R$28*J82^3+Propriété_air!$S$28*J82^2+Propriété_air!$T$28*J82+Propriété_air!$U$28)/10^6</f>
        <v>2.6790078030172526E-5</v>
      </c>
      <c r="K90" s="596">
        <f>(Propriété_air!$Q$28*K82^4+Propriété_air!$R$28*K82^3+Propriété_air!$S$28*K82^2+Propriété_air!$T$28*K82+Propriété_air!$U$28)/10^6</f>
        <v>2.6790078030163242E-5</v>
      </c>
      <c r="N90" s="696"/>
      <c r="O90" s="15"/>
      <c r="P90" s="15"/>
      <c r="Q90" s="15"/>
      <c r="R90" s="700" t="e">
        <f>VLOOKUP(N90,Isolation!B85:R94,9)</f>
        <v>#N/A</v>
      </c>
      <c r="S90" s="15" t="str">
        <f t="shared" si="33"/>
        <v/>
      </c>
      <c r="U90" s="1898"/>
      <c r="V90" s="681" t="e">
        <f t="shared" si="34"/>
        <v>#N/A</v>
      </c>
      <c r="W90" t="e">
        <v>#N/A</v>
      </c>
      <c r="X90" t="e">
        <v>#N/A</v>
      </c>
      <c r="Y90" t="e">
        <v>#N/A</v>
      </c>
      <c r="Z90" t="e">
        <v>#N/A</v>
      </c>
      <c r="AA90" t="e">
        <v>#N/A</v>
      </c>
      <c r="AB90" t="e">
        <v>#N/A</v>
      </c>
      <c r="AC90" t="e">
        <v>#N/A</v>
      </c>
      <c r="AD90" s="332" t="e">
        <v>#N/A</v>
      </c>
      <c r="AE90" t="e">
        <v>#N/A</v>
      </c>
      <c r="AF90" t="e">
        <v>#N/A</v>
      </c>
      <c r="AG90" s="629" t="e" cm="1">
        <f t="array" ref="AG90">INDEX(W90:AF90,ROWS($1:8))</f>
        <v>#N/A</v>
      </c>
    </row>
    <row r="91" spans="2:33">
      <c r="B91" t="s">
        <v>819</v>
      </c>
      <c r="E91" t="s">
        <v>820</v>
      </c>
      <c r="G91" s="603">
        <f>($E$9/1000)*$E$12/G88</f>
        <v>0</v>
      </c>
      <c r="H91" s="603">
        <f t="shared" ref="H91:K91" si="36">($E$9/1000)*$E$12/H88</f>
        <v>0</v>
      </c>
      <c r="I91" s="603">
        <f t="shared" si="36"/>
        <v>0</v>
      </c>
      <c r="J91" s="603">
        <f t="shared" si="36"/>
        <v>0</v>
      </c>
      <c r="K91" s="603">
        <f t="shared" si="36"/>
        <v>0</v>
      </c>
      <c r="N91" s="696"/>
      <c r="O91" s="15"/>
      <c r="P91" s="15"/>
      <c r="Q91" s="15"/>
      <c r="R91" s="700" t="e">
        <f>VLOOKUP(N91,Isolation!B86:R95,9)</f>
        <v>#N/A</v>
      </c>
      <c r="S91" s="15" t="str">
        <f t="shared" si="33"/>
        <v/>
      </c>
      <c r="U91" s="1898"/>
      <c r="V91" s="681" t="e">
        <f t="shared" si="34"/>
        <v>#N/A</v>
      </c>
      <c r="W91" t="e">
        <v>#N/A</v>
      </c>
      <c r="X91" t="e">
        <v>#N/A</v>
      </c>
      <c r="Y91" t="e">
        <v>#N/A</v>
      </c>
      <c r="Z91" t="e">
        <v>#N/A</v>
      </c>
      <c r="AA91" t="e">
        <v>#N/A</v>
      </c>
      <c r="AB91" t="e">
        <v>#N/A</v>
      </c>
      <c r="AC91" t="e">
        <v>#N/A</v>
      </c>
      <c r="AD91" t="e">
        <v>#N/A</v>
      </c>
      <c r="AE91" s="332" t="e">
        <v>#N/A</v>
      </c>
      <c r="AF91" t="e">
        <v>#N/A</v>
      </c>
      <c r="AG91" s="629" t="e" cm="1">
        <f t="array" ref="AG91">INDEX(W91:AF91,ROWS($1:9))</f>
        <v>#N/A</v>
      </c>
    </row>
    <row r="92" spans="2:33" ht="15" thickBot="1">
      <c r="B92" t="s">
        <v>821</v>
      </c>
      <c r="E92" t="s">
        <v>822</v>
      </c>
      <c r="G92" s="603">
        <f>9.81*G86*ABS(G78-$E$11)*($E$9/1000)^3/(G88*G90)</f>
        <v>108937.08426314713</v>
      </c>
      <c r="H92" s="603">
        <f t="shared" ref="H92:K92" si="37">9.81*H86*ABS(H78-$E$11)*($E$9/1000)^3/(H88*H90)</f>
        <v>4674038.5818991931</v>
      </c>
      <c r="I92" s="603">
        <f t="shared" si="37"/>
        <v>4673680.8306544032</v>
      </c>
      <c r="J92" s="603">
        <f t="shared" si="37"/>
        <v>4673680.8662771462</v>
      </c>
      <c r="K92" s="603">
        <f t="shared" si="37"/>
        <v>4673680.8662735969</v>
      </c>
      <c r="U92" s="1898"/>
      <c r="V92" s="681" t="e">
        <f t="shared" si="34"/>
        <v>#N/A</v>
      </c>
      <c r="W92" t="e">
        <v>#N/A</v>
      </c>
      <c r="X92" t="e">
        <v>#N/A</v>
      </c>
      <c r="Y92" t="e">
        <v>#N/A</v>
      </c>
      <c r="Z92" t="e">
        <v>#N/A</v>
      </c>
      <c r="AA92" t="e">
        <v>#N/A</v>
      </c>
      <c r="AB92" t="e">
        <v>#N/A</v>
      </c>
      <c r="AC92" t="e">
        <v>#N/A</v>
      </c>
      <c r="AD92" t="e">
        <v>#N/A</v>
      </c>
      <c r="AE92" t="e">
        <v>#N/A</v>
      </c>
      <c r="AF92" s="332" t="e">
        <v>#N/A</v>
      </c>
      <c r="AG92" s="699" t="e" cm="1">
        <f t="array" ref="AG92">INDEX(W92:AF92,ROWS($1:10))</f>
        <v>#N/A</v>
      </c>
    </row>
    <row r="94" spans="2:33">
      <c r="B94" s="3" t="s">
        <v>917</v>
      </c>
    </row>
    <row r="95" spans="2:33">
      <c r="B95" t="s">
        <v>823</v>
      </c>
      <c r="E95" t="s">
        <v>824</v>
      </c>
      <c r="F95" t="s">
        <v>847</v>
      </c>
      <c r="G95" s="136">
        <f>'Facteurs conversion'!$C$30*$G$79*((G78+273.15)^4-($E$11+273.15)^4)/((G78+273.15)-($E$11+273.15))</f>
        <v>4.5168656721933349</v>
      </c>
      <c r="H95" s="136">
        <f>'Facteurs conversion'!$C$30*$G$79*((H78+273.15)^4-($E$11+273.15)^4)/((H78+273.15)-($E$11+273.15))</f>
        <v>6.5443037561316553</v>
      </c>
      <c r="I95" s="136">
        <f>'Facteurs conversion'!$C$30*$G$79*((I78+273.15)^4-($E$11+273.15)^4)/((I78+273.15)-($E$11+273.15))</f>
        <v>6.5439152155494371</v>
      </c>
      <c r="J95" s="136">
        <f>'Facteurs conversion'!$C$30*$G$79*((J78+273.15)^4-($E$11+273.15)^4)/((J78+273.15)-($E$11+273.15))</f>
        <v>6.5439152542322914</v>
      </c>
      <c r="K95" s="136">
        <f>'Facteurs conversion'!$C$30*$G$79*((K78+273.15)^4-($E$11+273.15)^4)/((K78+273.15)-($E$11+273.15))</f>
        <v>6.5439152542284384</v>
      </c>
    </row>
    <row r="96" spans="2:33">
      <c r="B96" t="s">
        <v>825</v>
      </c>
    </row>
    <row r="97" spans="2:11">
      <c r="B97" t="s">
        <v>902</v>
      </c>
      <c r="E97" t="s">
        <v>826</v>
      </c>
      <c r="G97" s="593">
        <f>0.3+(0.62*G91^0.5*G85^(1/3))*(1+(G91/282000)^(5/8))^(4/5)/(1 + (0.4/G85)^(2/3))^(1/4)</f>
        <v>0.3</v>
      </c>
      <c r="H97" s="593">
        <f>0.3+(0.62*H91^0.5*H85^(1/3))*(1+(H91/282000)^(5/8))^(4/5)/(1 + (0.4/H85)^(2/3))^(1/4)</f>
        <v>0.3</v>
      </c>
      <c r="I97" s="593">
        <f t="shared" ref="I97:K97" si="38">0.3+(0.62*I91^0.5*I85^(1/3))*(1+(I91/282000)^(5/8))^(4/5)/(1 + (0.4/I85)^(2/3))^(1/4)</f>
        <v>0.3</v>
      </c>
      <c r="J97" s="593">
        <f t="shared" si="38"/>
        <v>0.3</v>
      </c>
      <c r="K97" s="593">
        <f t="shared" si="38"/>
        <v>0.3</v>
      </c>
    </row>
    <row r="98" spans="2:11">
      <c r="E98" t="s">
        <v>827</v>
      </c>
      <c r="F98" t="s">
        <v>847</v>
      </c>
      <c r="G98" s="136">
        <f>G97*G83/($E$9/1000)</f>
        <v>7.5650246084655454E-2</v>
      </c>
      <c r="H98" s="136">
        <f t="shared" ref="H98:K98" si="39">H97*H83/($E$9/1000)</f>
        <v>8.4218146051964232E-2</v>
      </c>
      <c r="I98" s="136">
        <f t="shared" si="39"/>
        <v>8.4216753708237016E-2</v>
      </c>
      <c r="J98" s="136">
        <f t="shared" si="39"/>
        <v>8.4216753846861586E-2</v>
      </c>
      <c r="K98" s="136">
        <f t="shared" si="39"/>
        <v>8.4216753846847764E-2</v>
      </c>
    </row>
    <row r="99" spans="2:11">
      <c r="B99" t="s">
        <v>828</v>
      </c>
      <c r="E99" t="s">
        <v>829</v>
      </c>
      <c r="G99" s="136">
        <f>(0.6 + 0.387*G92^(1/6)/( 1 +(0.559/G85)^(9/16))^(8/27))^2</f>
        <v>7.9530350641323029</v>
      </c>
      <c r="H99" s="136">
        <f t="shared" ref="H99:K99" si="40">(0.6 + 0.387*H92^(1/6)/( 1 +(0.559/H85)^(9/16))^(8/27))^2</f>
        <v>22.563332200089672</v>
      </c>
      <c r="I99" s="136">
        <f t="shared" si="40"/>
        <v>22.562834678935445</v>
      </c>
      <c r="J99" s="136">
        <f t="shared" si="40"/>
        <v>22.562834728477032</v>
      </c>
      <c r="K99" s="136">
        <f t="shared" si="40"/>
        <v>22.562834728472094</v>
      </c>
    </row>
    <row r="100" spans="2:11">
      <c r="E100" t="s">
        <v>830</v>
      </c>
      <c r="F100" t="s">
        <v>847</v>
      </c>
      <c r="G100" s="136">
        <f>G99*G83/($E$9/1000)</f>
        <v>2.0054968657383414</v>
      </c>
      <c r="H100" s="136">
        <f t="shared" ref="H100:K100" si="41">H99*H83/($E$9/1000)</f>
        <v>6.3341400221537985</v>
      </c>
      <c r="I100" s="136">
        <f t="shared" si="41"/>
        <v>6.3338956370519188</v>
      </c>
      <c r="J100" s="136">
        <f t="shared" si="41"/>
        <v>6.3338956613852346</v>
      </c>
      <c r="K100" s="136">
        <f t="shared" si="41"/>
        <v>6.333895661382809</v>
      </c>
    </row>
    <row r="101" spans="2:11">
      <c r="B101" t="s">
        <v>903</v>
      </c>
      <c r="E101" t="s">
        <v>831</v>
      </c>
      <c r="G101" s="593">
        <f>(G97^4+G99^4)^(1/4)</f>
        <v>7.9530390896895415</v>
      </c>
      <c r="H101" s="593">
        <f t="shared" ref="H101:K101" si="42">(H97^4+H99^4)^(1/4)</f>
        <v>22.563332376374657</v>
      </c>
      <c r="I101" s="593">
        <f t="shared" si="42"/>
        <v>22.562834855232087</v>
      </c>
      <c r="J101" s="593">
        <f t="shared" si="42"/>
        <v>22.562834904773677</v>
      </c>
      <c r="K101" s="593">
        <f t="shared" si="42"/>
        <v>22.562834904768735</v>
      </c>
    </row>
    <row r="102" spans="2:11">
      <c r="E102" t="s">
        <v>832</v>
      </c>
      <c r="F102" t="s">
        <v>847</v>
      </c>
      <c r="G102" s="136">
        <f>G101*G83/($E$9/1000)</f>
        <v>2.0054978808529937</v>
      </c>
      <c r="H102" s="136">
        <f t="shared" ref="H102:K102" si="43">H101*H83/($E$9/1000)</f>
        <v>6.3341400716417802</v>
      </c>
      <c r="I102" s="136">
        <f t="shared" si="43"/>
        <v>6.3338956865423546</v>
      </c>
      <c r="J102" s="136">
        <f t="shared" si="43"/>
        <v>6.3338957108756722</v>
      </c>
      <c r="K102" s="136">
        <f t="shared" si="43"/>
        <v>6.3338957108732448</v>
      </c>
    </row>
    <row r="103" spans="2:11">
      <c r="B103" t="s">
        <v>904</v>
      </c>
      <c r="E103" t="s">
        <v>833</v>
      </c>
      <c r="F103" t="s">
        <v>847</v>
      </c>
      <c r="G103" s="136">
        <f>G102+G95</f>
        <v>6.5223635530463291</v>
      </c>
      <c r="H103" s="136">
        <f t="shared" ref="H103:K103" si="44">H102+H95</f>
        <v>12.878443827773435</v>
      </c>
      <c r="I103" s="136">
        <f t="shared" si="44"/>
        <v>12.877810902091792</v>
      </c>
      <c r="J103" s="136">
        <f t="shared" si="44"/>
        <v>12.877810965107964</v>
      </c>
      <c r="K103" s="136">
        <f t="shared" si="44"/>
        <v>12.877810965101684</v>
      </c>
    </row>
    <row r="104" spans="2:11">
      <c r="B104" s="3" t="s">
        <v>905</v>
      </c>
      <c r="G104" s="136"/>
      <c r="H104" s="136"/>
      <c r="I104" s="136"/>
      <c r="J104" s="136"/>
      <c r="K104" s="136"/>
    </row>
    <row r="105" spans="2:11">
      <c r="B105" t="s">
        <v>918</v>
      </c>
      <c r="E105" t="s">
        <v>834</v>
      </c>
      <c r="F105" t="s">
        <v>805</v>
      </c>
      <c r="G105" s="136">
        <f>Propriété_matériau!$G$9*($E$10+273.15)^3+Propriété_matériau!$H$9*($E$10+273.15)^2+Propriété_matériau!$I$9*($E$10+273.15)+Propriété_matériau!$J$9</f>
        <v>60.381356365592872</v>
      </c>
      <c r="H105" s="136">
        <f>Propriété_matériau!$G$9*($E$10+273.15)^3+Propriété_matériau!$H$9*($E$10+273.15)^2+Propriété_matériau!$I$9*($E$10+273.15)+Propriété_matériau!$J$9</f>
        <v>60.381356365592872</v>
      </c>
      <c r="I105" s="136">
        <f>Propriété_matériau!$G$9*($E$10+273.15)^3+Propriété_matériau!$H$9*($E$10+273.15)^2+Propriété_matériau!$I$9*($E$10+273.15)+Propriété_matériau!$J$9</f>
        <v>60.381356365592872</v>
      </c>
      <c r="J105" s="136">
        <f>Propriété_matériau!$G$9*($E$10+273.15)^3+Propriété_matériau!$H$9*($E$10+273.15)^2+Propriété_matériau!$I$9*($E$10+273.15)+Propriété_matériau!$J$9</f>
        <v>60.381356365592872</v>
      </c>
      <c r="K105" s="136">
        <f>Propriété_matériau!$G$9*($E$10+273.15)^3+Propriété_matériau!$H$9*($E$10+273.15)^2+Propriété_matériau!$I$9*($E$10+273.15)+Propriété_matériau!$J$9</f>
        <v>60.381356365592872</v>
      </c>
    </row>
    <row r="106" spans="2:11">
      <c r="B106" t="s">
        <v>906</v>
      </c>
      <c r="E106" t="s">
        <v>835</v>
      </c>
      <c r="F106" t="s">
        <v>848</v>
      </c>
      <c r="G106" s="601">
        <f>($E$9/1000)*LN($E$9/$E$8)/(2*G105)</f>
        <v>2.5625918882221631E-5</v>
      </c>
      <c r="H106" s="601">
        <f>($E$9/1000)*LN($E$9/$E$8)/(2*H105)</f>
        <v>2.5625918882221631E-5</v>
      </c>
      <c r="I106" s="601">
        <f>($E$9/1000)*LN($E$9/$E$8)/(2*I105)</f>
        <v>2.5625918882221631E-5</v>
      </c>
      <c r="J106" s="601">
        <f>($E$9/1000)*LN($E$9/$E$8)/(2*J105)</f>
        <v>2.5625918882221631E-5</v>
      </c>
      <c r="K106" s="601">
        <f>($E$9/1000)*LN($E$9/$E$8)/(2*K105)</f>
        <v>2.5625918882221631E-5</v>
      </c>
    </row>
    <row r="107" spans="2:11">
      <c r="B107" s="3" t="s">
        <v>919</v>
      </c>
      <c r="E107" t="s">
        <v>838</v>
      </c>
      <c r="F107" t="s">
        <v>848</v>
      </c>
      <c r="G107" s="584">
        <f>G106+1/G103</f>
        <v>0.15334427978829754</v>
      </c>
      <c r="H107" s="584">
        <f t="shared" ref="H107:K107" si="45">H106+1/H103</f>
        <v>7.7674759104012628E-2</v>
      </c>
      <c r="I107" s="584">
        <f t="shared" si="45"/>
        <v>7.7678575446007689E-2</v>
      </c>
      <c r="J107" s="584">
        <f t="shared" si="45"/>
        <v>7.7678575066021396E-2</v>
      </c>
      <c r="K107" s="584">
        <f t="shared" si="45"/>
        <v>7.7678575066059269E-2</v>
      </c>
    </row>
    <row r="108" spans="2:11">
      <c r="B108" t="s">
        <v>910</v>
      </c>
      <c r="E108" t="s">
        <v>839</v>
      </c>
      <c r="F108" t="s">
        <v>849</v>
      </c>
      <c r="G108" s="608">
        <f>($E$10-$E$11)/G107</f>
        <v>489.09551829088588</v>
      </c>
      <c r="H108" s="608">
        <f t="shared" ref="H108:K108" si="46">($E$10-$E$11)/H107</f>
        <v>965.5646295544874</v>
      </c>
      <c r="I108" s="608">
        <f t="shared" si="46"/>
        <v>965.51719144399738</v>
      </c>
      <c r="J108" s="608">
        <f t="shared" si="46"/>
        <v>965.51719616709249</v>
      </c>
      <c r="K108" s="608">
        <f t="shared" si="46"/>
        <v>965.51719616662172</v>
      </c>
    </row>
    <row r="109" spans="2:11">
      <c r="B109" t="s">
        <v>920</v>
      </c>
      <c r="E109" t="s">
        <v>840</v>
      </c>
      <c r="F109" t="s">
        <v>843</v>
      </c>
      <c r="G109" s="593">
        <f>$E$10 - G108*G106</f>
        <v>93.320799811255952</v>
      </c>
      <c r="H109" s="593">
        <f t="shared" ref="H109:K109" si="47">$E$10 - H108*H106</f>
        <v>93.308589852460827</v>
      </c>
      <c r="I109" s="593">
        <f t="shared" si="47"/>
        <v>93.308591068105997</v>
      </c>
      <c r="J109" s="593">
        <f t="shared" si="47"/>
        <v>93.308591067984963</v>
      </c>
      <c r="K109" s="593">
        <f t="shared" si="47"/>
        <v>93.308591067984977</v>
      </c>
    </row>
    <row r="110" spans="2:11">
      <c r="B110" t="s">
        <v>912</v>
      </c>
      <c r="F110" t="s">
        <v>797</v>
      </c>
      <c r="G110" s="136">
        <f>G108*PI()*($E$9/1000)</f>
        <v>156.11235093610009</v>
      </c>
      <c r="H110" s="136">
        <f t="shared" ref="H110:K110" si="48">H108*PI()*($E$9/1000)</f>
        <v>308.19453187229198</v>
      </c>
      <c r="I110" s="136">
        <f t="shared" si="48"/>
        <v>308.17939030039935</v>
      </c>
      <c r="J110" s="136">
        <f t="shared" si="48"/>
        <v>308.17939180794434</v>
      </c>
      <c r="K110" s="136">
        <f t="shared" si="48"/>
        <v>308.17939180779405</v>
      </c>
    </row>
  </sheetData>
  <mergeCells count="38">
    <mergeCell ref="U83:U92"/>
    <mergeCell ref="U68:U77"/>
    <mergeCell ref="N79:AG79"/>
    <mergeCell ref="N80:N81"/>
    <mergeCell ref="Q80:Q81"/>
    <mergeCell ref="W80:AF80"/>
    <mergeCell ref="W81:AF81"/>
    <mergeCell ref="AG81:AG82"/>
    <mergeCell ref="N64:AG64"/>
    <mergeCell ref="N65:N66"/>
    <mergeCell ref="Q65:Q66"/>
    <mergeCell ref="W65:AF65"/>
    <mergeCell ref="W66:AF66"/>
    <mergeCell ref="AG66:AG67"/>
    <mergeCell ref="AG51:AG52"/>
    <mergeCell ref="U53:U62"/>
    <mergeCell ref="W51:AF51"/>
    <mergeCell ref="Q10:Q11"/>
    <mergeCell ref="N10:N11"/>
    <mergeCell ref="W50:AF50"/>
    <mergeCell ref="N50:N51"/>
    <mergeCell ref="Q50:Q51"/>
    <mergeCell ref="AG36:AG37"/>
    <mergeCell ref="U38:U47"/>
    <mergeCell ref="N34:AG34"/>
    <mergeCell ref="N49:AG49"/>
    <mergeCell ref="W35:AF35"/>
    <mergeCell ref="N35:N36"/>
    <mergeCell ref="Q35:Q36"/>
    <mergeCell ref="W36:AF36"/>
    <mergeCell ref="W10:AQ10"/>
    <mergeCell ref="B21:K21"/>
    <mergeCell ref="U13:U32"/>
    <mergeCell ref="W11:AP11"/>
    <mergeCell ref="B3:Z3"/>
    <mergeCell ref="B7:K7"/>
    <mergeCell ref="N9:AQ9"/>
    <mergeCell ref="AQ11:AQ12"/>
  </mergeCells>
  <pageMargins left="0.23622047244094491" right="0.23622047244094491" top="0.74803149606299213" bottom="0.74803149606299213" header="0.31496062992125984" footer="0.31496062992125984"/>
  <pageSetup paperSize="9" scale="85" orientation="portrait" horizontalDpi="4294967293" verticalDpi="4294967293" r:id="rId1"/>
  <rowBreaks count="1" manualBreakCount="1">
    <brk id="74" max="10" man="1"/>
  </rowBreaks>
  <colBreaks count="1" manualBreakCount="1">
    <brk id="11"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4E31-22B3-463F-B820-4D77E8F12466}">
  <sheetPr codeName="Feuil8">
    <tabColor theme="7" tint="0.39997558519241921"/>
  </sheetPr>
  <dimension ref="A1:AQ110"/>
  <sheetViews>
    <sheetView workbookViewId="0">
      <selection activeCell="E14" sqref="E14:I14"/>
    </sheetView>
  </sheetViews>
  <sheetFormatPr baseColWidth="10" defaultColWidth="9.21875" defaultRowHeight="14.4"/>
  <cols>
    <col min="1" max="1" width="4.21875" style="592" customWidth="1"/>
    <col min="2" max="2" width="12.21875" customWidth="1"/>
    <col min="3" max="3" width="10.5546875" customWidth="1"/>
    <col min="4" max="4" width="10.77734375" customWidth="1"/>
    <col min="5" max="5" width="13.77734375" bestFit="1" customWidth="1"/>
    <col min="13" max="13" width="9.5546875" bestFit="1" customWidth="1"/>
    <col min="14" max="14" width="11.77734375" bestFit="1" customWidth="1"/>
    <col min="15" max="15" width="11.5546875" customWidth="1"/>
    <col min="16" max="16" width="10.77734375" customWidth="1"/>
    <col min="17" max="17" width="22.77734375" customWidth="1"/>
    <col min="18" max="18" width="11.5546875" customWidth="1"/>
    <col min="21" max="21" width="4.77734375" customWidth="1"/>
    <col min="22" max="22" width="12.44140625" customWidth="1"/>
    <col min="23" max="23" width="10.5546875" bestFit="1" customWidth="1"/>
    <col min="33" max="33" width="10.5546875" bestFit="1" customWidth="1"/>
  </cols>
  <sheetData>
    <row r="1" spans="1:43" ht="36.6">
      <c r="A1" s="787"/>
      <c r="B1" s="741" t="s">
        <v>1150</v>
      </c>
      <c r="C1" s="584"/>
      <c r="D1" s="584"/>
      <c r="E1" s="584"/>
      <c r="F1" s="584"/>
      <c r="G1" s="584"/>
      <c r="H1" s="584"/>
      <c r="I1" s="176"/>
    </row>
    <row r="2" spans="1:43" ht="15" customHeight="1">
      <c r="A2" s="679"/>
      <c r="B2" s="679"/>
      <c r="C2" s="584"/>
      <c r="D2" s="584"/>
      <c r="E2" s="584"/>
      <c r="F2" s="584"/>
      <c r="G2" s="584"/>
      <c r="H2" s="584"/>
      <c r="I2" s="176"/>
    </row>
    <row r="3" spans="1:43" ht="12.75" customHeight="1">
      <c r="A3" s="585"/>
      <c r="B3" s="1895" t="s">
        <v>1080</v>
      </c>
      <c r="C3" s="1895"/>
      <c r="D3" s="1895"/>
      <c r="E3" s="1895"/>
      <c r="F3" s="1895"/>
      <c r="G3" s="1895"/>
      <c r="H3" s="1895"/>
      <c r="I3" s="1895"/>
      <c r="J3" s="1895"/>
      <c r="K3" s="1895"/>
      <c r="L3" s="1895"/>
      <c r="M3" s="1895"/>
      <c r="N3" s="1895"/>
      <c r="O3" s="1895"/>
      <c r="P3" s="1895"/>
      <c r="Q3" s="1895"/>
      <c r="R3" s="1895"/>
      <c r="S3" s="1895"/>
      <c r="T3" s="1895"/>
      <c r="U3" s="1895"/>
      <c r="V3" s="1895"/>
      <c r="W3" s="1895"/>
      <c r="X3" s="1895"/>
      <c r="Y3" s="1895"/>
      <c r="Z3" s="1895"/>
    </row>
    <row r="4" spans="1:43" ht="12.75" customHeight="1">
      <c r="A4" s="585"/>
      <c r="B4" s="609"/>
      <c r="C4" s="609"/>
      <c r="D4" s="609"/>
      <c r="E4" s="609"/>
      <c r="F4" s="609"/>
      <c r="G4" s="609"/>
      <c r="H4" s="609"/>
      <c r="I4" s="609"/>
      <c r="J4" s="609"/>
      <c r="K4" s="609"/>
      <c r="L4" s="604"/>
    </row>
    <row r="5" spans="1:43" ht="27" customHeight="1" thickBot="1">
      <c r="A5" s="585"/>
      <c r="B5" s="631" t="s">
        <v>921</v>
      </c>
      <c r="C5" s="630"/>
      <c r="D5" s="630"/>
      <c r="E5" s="630"/>
      <c r="F5" s="630"/>
      <c r="G5" s="630"/>
      <c r="H5" s="630"/>
      <c r="I5" s="630"/>
      <c r="J5" s="630"/>
      <c r="K5" s="630"/>
      <c r="L5" s="604"/>
      <c r="N5" s="680" t="s">
        <v>931</v>
      </c>
      <c r="O5" s="675"/>
      <c r="P5" s="675"/>
      <c r="Q5" s="675"/>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row>
    <row r="6" spans="1:43" ht="12.75" customHeight="1">
      <c r="A6" s="585"/>
      <c r="B6" s="609"/>
      <c r="C6" s="609"/>
      <c r="D6" s="609"/>
      <c r="E6" s="609"/>
      <c r="F6" s="609"/>
      <c r="G6" s="609"/>
      <c r="H6" s="609"/>
      <c r="I6" s="609"/>
      <c r="J6" s="609"/>
      <c r="K6" s="609"/>
      <c r="L6" s="604"/>
      <c r="N6" s="614" t="s">
        <v>964</v>
      </c>
      <c r="O6" s="615" t="s">
        <v>933</v>
      </c>
      <c r="P6" s="674" t="s">
        <v>1481</v>
      </c>
      <c r="Q6" s="615"/>
      <c r="R6" s="615" t="s">
        <v>927</v>
      </c>
      <c r="S6" s="616"/>
      <c r="T6" s="633">
        <f>Hypothèses!D178</f>
        <v>2.2351999999999999</v>
      </c>
      <c r="U6" s="618" t="s">
        <v>794</v>
      </c>
    </row>
    <row r="7" spans="1:43" ht="15" thickBot="1">
      <c r="B7" s="1892" t="s">
        <v>936</v>
      </c>
      <c r="C7" s="1892"/>
      <c r="D7" s="1892"/>
      <c r="E7" s="1892"/>
      <c r="F7" s="1892"/>
      <c r="G7" s="1892"/>
      <c r="H7" s="1892"/>
      <c r="I7" s="1892"/>
      <c r="J7" s="1892"/>
      <c r="K7" s="1892"/>
      <c r="N7" s="619"/>
      <c r="O7" s="620" t="s">
        <v>393</v>
      </c>
      <c r="P7" s="620" t="s">
        <v>1474</v>
      </c>
      <c r="Q7" s="620"/>
      <c r="R7" s="621" t="s">
        <v>934</v>
      </c>
      <c r="S7" s="621"/>
      <c r="T7" s="622">
        <f>Hypothèses!D175</f>
        <v>-0.41428571428571404</v>
      </c>
      <c r="U7" s="623" t="s">
        <v>13</v>
      </c>
    </row>
    <row r="8" spans="1:43">
      <c r="B8" t="s">
        <v>850</v>
      </c>
      <c r="C8" t="s">
        <v>851</v>
      </c>
      <c r="E8" s="593">
        <f>E9-CONVERT(Hypothèses!D180,"in","mm")</f>
        <v>87.376000000000005</v>
      </c>
      <c r="F8" t="s">
        <v>793</v>
      </c>
      <c r="N8" s="601"/>
      <c r="O8" s="601"/>
      <c r="P8" s="601"/>
      <c r="Q8" s="601"/>
      <c r="T8" s="136"/>
    </row>
    <row r="9" spans="1:43">
      <c r="C9" t="s">
        <v>997</v>
      </c>
      <c r="E9" s="627">
        <v>88.9</v>
      </c>
      <c r="F9" t="s">
        <v>793</v>
      </c>
      <c r="N9" s="1905" t="s">
        <v>999</v>
      </c>
      <c r="O9" s="1905"/>
      <c r="P9" s="1905"/>
      <c r="Q9" s="1905"/>
      <c r="R9" s="1905"/>
      <c r="S9" s="1905"/>
    </row>
    <row r="10" spans="1:43">
      <c r="B10" t="s">
        <v>853</v>
      </c>
      <c r="E10" s="627">
        <v>93.333333333333329</v>
      </c>
      <c r="F10" t="s">
        <v>843</v>
      </c>
      <c r="N10" s="1902" t="s">
        <v>923</v>
      </c>
      <c r="O10" s="689" t="s">
        <v>924</v>
      </c>
      <c r="P10" s="689" t="s">
        <v>925</v>
      </c>
      <c r="Q10" s="1899" t="s">
        <v>935</v>
      </c>
      <c r="R10" s="702" t="s">
        <v>991</v>
      </c>
      <c r="S10" s="702" t="s">
        <v>922</v>
      </c>
      <c r="W10" s="1901" t="s">
        <v>982</v>
      </c>
      <c r="X10" s="1901"/>
      <c r="Y10" s="1901"/>
      <c r="Z10" s="1901"/>
      <c r="AA10" s="1901"/>
      <c r="AB10" s="1901"/>
      <c r="AC10" s="1901"/>
      <c r="AD10" s="1901"/>
      <c r="AE10" s="1901"/>
      <c r="AF10" s="1901"/>
      <c r="AG10" s="1901"/>
      <c r="AH10" s="1901"/>
      <c r="AI10" s="1901"/>
      <c r="AJ10" s="1901"/>
      <c r="AK10" s="1901"/>
      <c r="AL10" s="1901"/>
      <c r="AM10" s="1901"/>
      <c r="AN10" s="1901"/>
      <c r="AO10" s="1901"/>
      <c r="AP10" s="1901"/>
      <c r="AQ10" s="1901"/>
    </row>
    <row r="11" spans="1:43" ht="15" thickBot="1">
      <c r="B11" t="s">
        <v>854</v>
      </c>
      <c r="E11" s="598">
        <f>T7</f>
        <v>-0.41428571428571404</v>
      </c>
      <c r="F11" t="s">
        <v>843</v>
      </c>
      <c r="N11" s="1902"/>
      <c r="O11" s="690" t="s">
        <v>928</v>
      </c>
      <c r="P11" s="690" t="s">
        <v>929</v>
      </c>
      <c r="Q11" s="1900"/>
      <c r="R11" s="704" t="s">
        <v>945</v>
      </c>
      <c r="S11" s="703" t="s">
        <v>1000</v>
      </c>
      <c r="W11" s="1894" t="s">
        <v>779</v>
      </c>
      <c r="X11" s="1894"/>
      <c r="Y11" s="1894"/>
      <c r="Z11" s="1894"/>
      <c r="AA11" s="1894"/>
      <c r="AB11" s="1894"/>
      <c r="AC11" s="1894"/>
      <c r="AD11" s="1894"/>
      <c r="AE11" s="1894"/>
      <c r="AF11" s="1894"/>
      <c r="AG11" s="1894"/>
      <c r="AH11" s="1894"/>
      <c r="AI11" s="1894"/>
      <c r="AJ11" s="1894"/>
      <c r="AK11" s="1894"/>
      <c r="AL11" s="1894"/>
      <c r="AM11" s="1894"/>
      <c r="AN11" s="1894"/>
      <c r="AO11" s="1894"/>
      <c r="AP11" s="1894"/>
    </row>
    <row r="12" spans="1:43" ht="15" customHeight="1">
      <c r="B12" t="s">
        <v>855</v>
      </c>
      <c r="E12" s="598">
        <f>T6</f>
        <v>2.2351999999999999</v>
      </c>
      <c r="F12" t="s">
        <v>794</v>
      </c>
      <c r="N12" s="15" t="e" cm="1" vm="2">
        <f t="array" ref="N12">_xlfn._xlws.FILTER(Isolation!$B$7:$E$26,Isolation!$E$7:$E$26=P6&amp;"_"&amp;P7)</f>
        <v>#VALUE!</v>
      </c>
      <c r="O12" s="15"/>
      <c r="P12" s="15"/>
      <c r="Q12" s="15"/>
      <c r="R12" s="697" t="e">
        <f>VLOOKUP(O12,Hypothèses!$C$214:$E$234,3)</f>
        <v>#N/A</v>
      </c>
      <c r="S12" s="683" t="e" vm="1">
        <f t="shared" ref="S12:S31" si="0">IF(N12="","",AQ13)</f>
        <v>#VALUE!</v>
      </c>
      <c r="V12" s="593">
        <f>$E$30</f>
        <v>584.50050366487062</v>
      </c>
      <c r="W12" s="678" cm="1">
        <f t="array" ref="W12:AP12">TRANSPOSE(P12:P31)</f>
        <v>0</v>
      </c>
      <c r="X12" s="678">
        <v>0</v>
      </c>
      <c r="Y12" s="678">
        <v>0</v>
      </c>
      <c r="Z12" s="678">
        <v>0</v>
      </c>
      <c r="AA12" s="678">
        <v>0</v>
      </c>
      <c r="AB12" s="678">
        <v>0</v>
      </c>
      <c r="AC12" s="678">
        <v>0</v>
      </c>
      <c r="AD12" s="678">
        <v>0</v>
      </c>
      <c r="AE12" s="678">
        <v>0</v>
      </c>
      <c r="AF12" s="678">
        <v>0</v>
      </c>
      <c r="AG12" s="678">
        <v>0</v>
      </c>
      <c r="AH12" s="678">
        <v>0</v>
      </c>
      <c r="AI12" s="678">
        <v>0</v>
      </c>
      <c r="AJ12" s="678">
        <v>0</v>
      </c>
      <c r="AK12" s="678">
        <v>0</v>
      </c>
      <c r="AL12" s="678">
        <v>0</v>
      </c>
      <c r="AM12" s="678">
        <v>0</v>
      </c>
      <c r="AN12" s="678">
        <v>0</v>
      </c>
      <c r="AO12" s="678">
        <v>0</v>
      </c>
      <c r="AP12" s="678">
        <v>0</v>
      </c>
      <c r="AQ12" s="628" t="s">
        <v>1217</v>
      </c>
    </row>
    <row r="13" spans="1:43">
      <c r="N13" s="15"/>
      <c r="O13" s="15"/>
      <c r="P13" s="15"/>
      <c r="Q13" s="15"/>
      <c r="R13" s="697" t="e">
        <f>VLOOKUP(O13,Hypothèses!$C$214:$E$234,3)</f>
        <v>#N/A</v>
      </c>
      <c r="S13" s="683" t="str">
        <f t="shared" si="0"/>
        <v/>
      </c>
      <c r="U13" s="1893" t="s">
        <v>992</v>
      </c>
      <c r="V13" s="677" t="e">
        <f>R12</f>
        <v>#N/A</v>
      </c>
      <c r="W13" s="332" t="e">
        <f t="dataTable" ref="W13:AP32" dt2D="1" dtr="1" r1="E10" r2="E9" ca="1"/>
        <v>#N/A</v>
      </c>
      <c r="X13" t="e">
        <v>#N/A</v>
      </c>
      <c r="Y13" t="e">
        <v>#N/A</v>
      </c>
      <c r="Z13" t="e">
        <v>#N/A</v>
      </c>
      <c r="AA13" t="e">
        <v>#N/A</v>
      </c>
      <c r="AB13" t="e">
        <v>#N/A</v>
      </c>
      <c r="AC13" t="e">
        <v>#N/A</v>
      </c>
      <c r="AD13" t="e">
        <v>#N/A</v>
      </c>
      <c r="AE13" t="e">
        <v>#N/A</v>
      </c>
      <c r="AF13" t="e">
        <v>#N/A</v>
      </c>
      <c r="AG13" t="e">
        <v>#N/A</v>
      </c>
      <c r="AH13" t="e">
        <v>#N/A</v>
      </c>
      <c r="AI13" t="e">
        <v>#N/A</v>
      </c>
      <c r="AJ13" t="e">
        <v>#N/A</v>
      </c>
      <c r="AK13" t="e">
        <v>#N/A</v>
      </c>
      <c r="AL13" t="e">
        <v>#N/A</v>
      </c>
      <c r="AM13" t="e">
        <v>#N/A</v>
      </c>
      <c r="AN13" t="e">
        <v>#N/A</v>
      </c>
      <c r="AO13" t="e">
        <v>#N/A</v>
      </c>
      <c r="AP13" t="e">
        <v>#N/A</v>
      </c>
      <c r="AQ13" s="629" t="e" cm="1">
        <f t="array" ref="AQ13">INDEX(W13:AP13,ROWS($1:1))</f>
        <v>#N/A</v>
      </c>
    </row>
    <row r="14" spans="1:43">
      <c r="B14" t="s">
        <v>258</v>
      </c>
      <c r="N14" s="15"/>
      <c r="O14" s="15"/>
      <c r="P14" s="15"/>
      <c r="Q14" s="15"/>
      <c r="R14" s="697" t="e">
        <f>VLOOKUP(O14,Hypothèses!$C$214:$E$234,3)</f>
        <v>#N/A</v>
      </c>
      <c r="S14" s="683" t="str">
        <f t="shared" si="0"/>
        <v/>
      </c>
      <c r="U14" s="1893"/>
      <c r="V14" s="677" t="e">
        <f t="shared" ref="V14:V32" si="1">R13</f>
        <v>#N/A</v>
      </c>
      <c r="W14" t="e">
        <v>#N/A</v>
      </c>
      <c r="X14" s="332" t="e">
        <v>#N/A</v>
      </c>
      <c r="Y14" t="e">
        <v>#N/A</v>
      </c>
      <c r="Z14" t="e">
        <v>#N/A</v>
      </c>
      <c r="AA14" t="e">
        <v>#N/A</v>
      </c>
      <c r="AB14" t="e">
        <v>#N/A</v>
      </c>
      <c r="AC14" t="e">
        <v>#N/A</v>
      </c>
      <c r="AD14" t="e">
        <v>#N/A</v>
      </c>
      <c r="AE14" t="e">
        <v>#N/A</v>
      </c>
      <c r="AF14" t="e">
        <v>#N/A</v>
      </c>
      <c r="AG14" t="e">
        <v>#N/A</v>
      </c>
      <c r="AH14" t="e">
        <v>#N/A</v>
      </c>
      <c r="AI14" t="e">
        <v>#N/A</v>
      </c>
      <c r="AJ14" t="e">
        <v>#N/A</v>
      </c>
      <c r="AK14" t="e">
        <v>#N/A</v>
      </c>
      <c r="AL14" t="e">
        <v>#N/A</v>
      </c>
      <c r="AM14" t="e">
        <v>#N/A</v>
      </c>
      <c r="AN14" t="e">
        <v>#N/A</v>
      </c>
      <c r="AO14" t="e">
        <v>#N/A</v>
      </c>
      <c r="AP14" t="e">
        <v>#N/A</v>
      </c>
      <c r="AQ14" s="629" t="e" cm="1">
        <f t="array" ref="AQ14">INDEX(W14:AP14,ROWS($1:2))</f>
        <v>#N/A</v>
      </c>
    </row>
    <row r="15" spans="1:43">
      <c r="B15" t="s">
        <v>795</v>
      </c>
      <c r="E15" s="600" t="s">
        <v>796</v>
      </c>
      <c r="M15" s="584"/>
      <c r="N15" s="684"/>
      <c r="O15" s="684"/>
      <c r="P15" s="684"/>
      <c r="Q15" s="684"/>
      <c r="R15" s="697" t="e">
        <f>VLOOKUP(O15,Hypothèses!$C$214:$E$234,3)</f>
        <v>#N/A</v>
      </c>
      <c r="S15" s="683" t="str">
        <f t="shared" si="0"/>
        <v/>
      </c>
      <c r="U15" s="1893"/>
      <c r="V15" s="677" t="e">
        <f t="shared" si="1"/>
        <v>#N/A</v>
      </c>
      <c r="W15" t="e">
        <v>#N/A</v>
      </c>
      <c r="X15" t="e">
        <v>#N/A</v>
      </c>
      <c r="Y15" s="332" t="e">
        <v>#N/A</v>
      </c>
      <c r="Z15" t="e">
        <v>#N/A</v>
      </c>
      <c r="AA15" t="e">
        <v>#N/A</v>
      </c>
      <c r="AB15" t="e">
        <v>#N/A</v>
      </c>
      <c r="AC15" t="e">
        <v>#N/A</v>
      </c>
      <c r="AD15" t="e">
        <v>#N/A</v>
      </c>
      <c r="AE15" t="e">
        <v>#N/A</v>
      </c>
      <c r="AF15" t="e">
        <v>#N/A</v>
      </c>
      <c r="AG15" t="e">
        <v>#N/A</v>
      </c>
      <c r="AH15" t="e">
        <v>#N/A</v>
      </c>
      <c r="AI15" t="e">
        <v>#N/A</v>
      </c>
      <c r="AJ15" t="e">
        <v>#N/A</v>
      </c>
      <c r="AK15" t="e">
        <v>#N/A</v>
      </c>
      <c r="AL15" t="e">
        <v>#N/A</v>
      </c>
      <c r="AM15" t="e">
        <v>#N/A</v>
      </c>
      <c r="AN15" t="e">
        <v>#N/A</v>
      </c>
      <c r="AO15" t="e">
        <v>#N/A</v>
      </c>
      <c r="AP15" t="e">
        <v>#N/A</v>
      </c>
      <c r="AQ15" s="629" t="e" cm="1">
        <f t="array" ref="AQ15">INDEX(W15:AP15,ROWS($1:3))</f>
        <v>#N/A</v>
      </c>
    </row>
    <row r="16" spans="1:43">
      <c r="B16" t="s">
        <v>856</v>
      </c>
      <c r="E16">
        <v>0.9</v>
      </c>
      <c r="M16" s="136"/>
      <c r="N16" s="685"/>
      <c r="O16" s="685"/>
      <c r="P16" s="685"/>
      <c r="Q16" s="685"/>
      <c r="R16" s="697" t="e">
        <f>VLOOKUP(O16,Hypothèses!$C$214:$E$234,3)</f>
        <v>#N/A</v>
      </c>
      <c r="S16" s="683" t="str">
        <f t="shared" si="0"/>
        <v/>
      </c>
      <c r="U16" s="1893"/>
      <c r="V16" s="677" t="e">
        <f t="shared" si="1"/>
        <v>#N/A</v>
      </c>
      <c r="W16" t="e">
        <v>#N/A</v>
      </c>
      <c r="X16" t="e">
        <v>#N/A</v>
      </c>
      <c r="Y16" t="e">
        <v>#N/A</v>
      </c>
      <c r="Z16" s="332" t="e">
        <v>#N/A</v>
      </c>
      <c r="AA16" t="e">
        <v>#N/A</v>
      </c>
      <c r="AB16" t="e">
        <v>#N/A</v>
      </c>
      <c r="AC16" t="e">
        <v>#N/A</v>
      </c>
      <c r="AD16" t="e">
        <v>#N/A</v>
      </c>
      <c r="AE16" t="e">
        <v>#N/A</v>
      </c>
      <c r="AF16" t="e">
        <v>#N/A</v>
      </c>
      <c r="AG16" t="e">
        <v>#N/A</v>
      </c>
      <c r="AH16" t="e">
        <v>#N/A</v>
      </c>
      <c r="AI16" t="e">
        <v>#N/A</v>
      </c>
      <c r="AJ16" t="e">
        <v>#N/A</v>
      </c>
      <c r="AK16" t="e">
        <v>#N/A</v>
      </c>
      <c r="AL16" t="e">
        <v>#N/A</v>
      </c>
      <c r="AM16" t="e">
        <v>#N/A</v>
      </c>
      <c r="AN16" t="e">
        <v>#N/A</v>
      </c>
      <c r="AO16" t="e">
        <v>#N/A</v>
      </c>
      <c r="AP16" t="e">
        <v>#N/A</v>
      </c>
      <c r="AQ16" s="629" t="e" cm="1">
        <f t="array" ref="AQ16">INDEX(W16:AP16,ROWS($1:4))</f>
        <v>#N/A</v>
      </c>
    </row>
    <row r="17" spans="2:43">
      <c r="B17" t="s">
        <v>857</v>
      </c>
      <c r="E17" s="599">
        <f>CONVERT(Hypothèses!D184,"in","mm")</f>
        <v>50.8</v>
      </c>
      <c r="F17" t="s">
        <v>793</v>
      </c>
      <c r="M17" s="136"/>
      <c r="N17" s="684"/>
      <c r="O17" s="684"/>
      <c r="P17" s="684"/>
      <c r="Q17" s="684"/>
      <c r="R17" s="697" t="e">
        <f>VLOOKUP(O17,Hypothèses!$C$214:$E$234,3)</f>
        <v>#N/A</v>
      </c>
      <c r="S17" s="683" t="str">
        <f t="shared" si="0"/>
        <v/>
      </c>
      <c r="U17" s="1893"/>
      <c r="V17" s="677" t="e">
        <f t="shared" si="1"/>
        <v>#N/A</v>
      </c>
      <c r="W17" t="e">
        <v>#N/A</v>
      </c>
      <c r="X17" t="e">
        <v>#N/A</v>
      </c>
      <c r="Y17" t="e">
        <v>#N/A</v>
      </c>
      <c r="Z17" t="e">
        <v>#N/A</v>
      </c>
      <c r="AA17" s="332" t="e">
        <v>#N/A</v>
      </c>
      <c r="AB17" t="e">
        <v>#N/A</v>
      </c>
      <c r="AC17" t="e">
        <v>#N/A</v>
      </c>
      <c r="AD17" t="e">
        <v>#N/A</v>
      </c>
      <c r="AE17" t="e">
        <v>#N/A</v>
      </c>
      <c r="AF17" t="e">
        <v>#N/A</v>
      </c>
      <c r="AG17" t="e">
        <v>#N/A</v>
      </c>
      <c r="AH17" t="e">
        <v>#N/A</v>
      </c>
      <c r="AI17" t="e">
        <v>#N/A</v>
      </c>
      <c r="AJ17" t="e">
        <v>#N/A</v>
      </c>
      <c r="AK17" t="e">
        <v>#N/A</v>
      </c>
      <c r="AL17" t="e">
        <v>#N/A</v>
      </c>
      <c r="AM17" t="e">
        <v>#N/A</v>
      </c>
      <c r="AN17" t="e">
        <v>#N/A</v>
      </c>
      <c r="AO17" t="e">
        <v>#N/A</v>
      </c>
      <c r="AP17" t="e">
        <v>#N/A</v>
      </c>
      <c r="AQ17" s="629" t="e" cm="1">
        <f t="array" ref="AQ17">INDEX(W17:AP17,ROWS($1:5))</f>
        <v>#N/A</v>
      </c>
    </row>
    <row r="18" spans="2:43">
      <c r="B18" t="s">
        <v>852</v>
      </c>
      <c r="D18" t="s">
        <v>1154</v>
      </c>
      <c r="E18">
        <f>E9+2*E17</f>
        <v>190.5</v>
      </c>
      <c r="F18" t="s">
        <v>793</v>
      </c>
      <c r="M18" s="136"/>
      <c r="N18" s="686"/>
      <c r="O18" s="686"/>
      <c r="P18" s="686"/>
      <c r="Q18" s="686"/>
      <c r="R18" s="697" t="e">
        <f>VLOOKUP(O18,Hypothèses!$C$214:$E$234,3)</f>
        <v>#N/A</v>
      </c>
      <c r="S18" s="683" t="str">
        <f t="shared" si="0"/>
        <v/>
      </c>
      <c r="U18" s="1893"/>
      <c r="V18" s="677" t="e">
        <f t="shared" si="1"/>
        <v>#N/A</v>
      </c>
      <c r="W18" t="e">
        <v>#N/A</v>
      </c>
      <c r="X18" t="e">
        <v>#N/A</v>
      </c>
      <c r="Y18" t="e">
        <v>#N/A</v>
      </c>
      <c r="Z18" t="e">
        <v>#N/A</v>
      </c>
      <c r="AA18" t="e">
        <v>#N/A</v>
      </c>
      <c r="AB18" s="332" t="e">
        <v>#N/A</v>
      </c>
      <c r="AC18" t="e">
        <v>#N/A</v>
      </c>
      <c r="AD18" t="e">
        <v>#N/A</v>
      </c>
      <c r="AE18" t="e">
        <v>#N/A</v>
      </c>
      <c r="AF18" t="e">
        <v>#N/A</v>
      </c>
      <c r="AG18" t="e">
        <v>#N/A</v>
      </c>
      <c r="AH18" t="e">
        <v>#N/A</v>
      </c>
      <c r="AI18" t="e">
        <v>#N/A</v>
      </c>
      <c r="AJ18" t="e">
        <v>#N/A</v>
      </c>
      <c r="AK18" t="e">
        <v>#N/A</v>
      </c>
      <c r="AL18" t="e">
        <v>#N/A</v>
      </c>
      <c r="AM18" t="e">
        <v>#N/A</v>
      </c>
      <c r="AN18" t="e">
        <v>#N/A</v>
      </c>
      <c r="AO18" t="e">
        <v>#N/A</v>
      </c>
      <c r="AP18" t="e">
        <v>#N/A</v>
      </c>
      <c r="AQ18" s="629" t="e" cm="1">
        <f t="array" ref="AQ18">INDEX(W18:AP18,ROWS($1:6))</f>
        <v>#N/A</v>
      </c>
    </row>
    <row r="19" spans="2:43">
      <c r="N19" s="687"/>
      <c r="O19" s="687"/>
      <c r="P19" s="687"/>
      <c r="Q19" s="687"/>
      <c r="R19" s="697" t="e">
        <f>VLOOKUP(O19,Hypothèses!$C$214:$E$234,3)</f>
        <v>#N/A</v>
      </c>
      <c r="S19" s="683" t="str">
        <f t="shared" si="0"/>
        <v/>
      </c>
      <c r="U19" s="1893"/>
      <c r="V19" s="677" t="e">
        <f t="shared" si="1"/>
        <v>#N/A</v>
      </c>
      <c r="W19" t="e">
        <v>#N/A</v>
      </c>
      <c r="X19" t="e">
        <v>#N/A</v>
      </c>
      <c r="Y19" t="e">
        <v>#N/A</v>
      </c>
      <c r="Z19" t="e">
        <v>#N/A</v>
      </c>
      <c r="AA19" t="e">
        <v>#N/A</v>
      </c>
      <c r="AB19" t="e">
        <v>#N/A</v>
      </c>
      <c r="AC19" s="332" t="e">
        <v>#N/A</v>
      </c>
      <c r="AD19" t="e">
        <v>#N/A</v>
      </c>
      <c r="AE19" t="e">
        <v>#N/A</v>
      </c>
      <c r="AF19" t="e">
        <v>#N/A</v>
      </c>
      <c r="AG19" t="e">
        <v>#N/A</v>
      </c>
      <c r="AH19" t="e">
        <v>#N/A</v>
      </c>
      <c r="AI19" t="e">
        <v>#N/A</v>
      </c>
      <c r="AJ19" t="e">
        <v>#N/A</v>
      </c>
      <c r="AK19" t="e">
        <v>#N/A</v>
      </c>
      <c r="AL19" t="e">
        <v>#N/A</v>
      </c>
      <c r="AM19" t="e">
        <v>#N/A</v>
      </c>
      <c r="AN19" t="e">
        <v>#N/A</v>
      </c>
      <c r="AO19" t="e">
        <v>#N/A</v>
      </c>
      <c r="AP19" t="e">
        <v>#N/A</v>
      </c>
      <c r="AQ19" s="629" t="e" cm="1">
        <f t="array" ref="AQ19">INDEX(W19:AP19,ROWS($1:7))</f>
        <v>#N/A</v>
      </c>
    </row>
    <row r="20" spans="2:43">
      <c r="J20" s="593"/>
      <c r="N20" s="684"/>
      <c r="O20" s="684"/>
      <c r="P20" s="684"/>
      <c r="Q20" s="684"/>
      <c r="R20" s="697" t="e">
        <f>VLOOKUP(O20,Hypothèses!$C$214:$E$234,3)</f>
        <v>#N/A</v>
      </c>
      <c r="S20" s="683" t="str">
        <f t="shared" si="0"/>
        <v/>
      </c>
      <c r="U20" s="1893"/>
      <c r="V20" s="677" t="e">
        <f t="shared" si="1"/>
        <v>#N/A</v>
      </c>
      <c r="W20" t="e">
        <v>#N/A</v>
      </c>
      <c r="X20" t="e">
        <v>#N/A</v>
      </c>
      <c r="Y20" t="e">
        <v>#N/A</v>
      </c>
      <c r="Z20" t="e">
        <v>#N/A</v>
      </c>
      <c r="AA20" t="e">
        <v>#N/A</v>
      </c>
      <c r="AB20" t="e">
        <v>#N/A</v>
      </c>
      <c r="AC20" t="e">
        <v>#N/A</v>
      </c>
      <c r="AD20" s="332" t="e">
        <v>#N/A</v>
      </c>
      <c r="AE20" t="e">
        <v>#N/A</v>
      </c>
      <c r="AF20" t="e">
        <v>#N/A</v>
      </c>
      <c r="AG20" t="e">
        <v>#N/A</v>
      </c>
      <c r="AH20" t="e">
        <v>#N/A</v>
      </c>
      <c r="AI20" t="e">
        <v>#N/A</v>
      </c>
      <c r="AJ20" t="e">
        <v>#N/A</v>
      </c>
      <c r="AK20" t="e">
        <v>#N/A</v>
      </c>
      <c r="AL20" t="e">
        <v>#N/A</v>
      </c>
      <c r="AM20" t="e">
        <v>#N/A</v>
      </c>
      <c r="AN20" t="e">
        <v>#N/A</v>
      </c>
      <c r="AO20" t="e">
        <v>#N/A</v>
      </c>
      <c r="AP20" t="e">
        <v>#N/A</v>
      </c>
      <c r="AQ20" s="629" t="e" cm="1">
        <f t="array" ref="AQ20">INDEX(W20:AP20,ROWS($1:8))</f>
        <v>#N/A</v>
      </c>
    </row>
    <row r="21" spans="2:43">
      <c r="B21" s="1892" t="s">
        <v>128</v>
      </c>
      <c r="C21" s="1892"/>
      <c r="D21" s="1892"/>
      <c r="E21" s="1892"/>
      <c r="F21" s="1892"/>
      <c r="G21" s="1892"/>
      <c r="H21" s="1892"/>
      <c r="I21" s="1892"/>
      <c r="J21" s="1892"/>
      <c r="K21" s="1892"/>
      <c r="N21" s="685"/>
      <c r="O21" s="685"/>
      <c r="P21" s="685"/>
      <c r="Q21" s="685"/>
      <c r="R21" s="697" t="e">
        <f>VLOOKUP(O21,Hypothèses!$C$214:$E$234,3)</f>
        <v>#N/A</v>
      </c>
      <c r="S21" s="683" t="str">
        <f t="shared" si="0"/>
        <v/>
      </c>
      <c r="U21" s="1893"/>
      <c r="V21" s="677" t="e">
        <f t="shared" si="1"/>
        <v>#N/A</v>
      </c>
      <c r="W21" t="e">
        <v>#N/A</v>
      </c>
      <c r="X21" t="e">
        <v>#N/A</v>
      </c>
      <c r="Y21" t="e">
        <v>#N/A</v>
      </c>
      <c r="Z21" t="e">
        <v>#N/A</v>
      </c>
      <c r="AA21" t="e">
        <v>#N/A</v>
      </c>
      <c r="AB21" t="e">
        <v>#N/A</v>
      </c>
      <c r="AC21" t="e">
        <v>#N/A</v>
      </c>
      <c r="AD21" t="e">
        <v>#N/A</v>
      </c>
      <c r="AE21" s="332" t="e">
        <v>#N/A</v>
      </c>
      <c r="AF21" t="e">
        <v>#N/A</v>
      </c>
      <c r="AG21" t="e">
        <v>#N/A</v>
      </c>
      <c r="AH21" t="e">
        <v>#N/A</v>
      </c>
      <c r="AI21" t="e">
        <v>#N/A</v>
      </c>
      <c r="AJ21" t="e">
        <v>#N/A</v>
      </c>
      <c r="AK21" t="e">
        <v>#N/A</v>
      </c>
      <c r="AL21" t="e">
        <v>#N/A</v>
      </c>
      <c r="AM21" t="e">
        <v>#N/A</v>
      </c>
      <c r="AN21" t="e">
        <v>#N/A</v>
      </c>
      <c r="AO21" t="e">
        <v>#N/A</v>
      </c>
      <c r="AP21" t="e">
        <v>#N/A</v>
      </c>
      <c r="AQ21" s="629" t="e" cm="1">
        <f t="array" ref="AQ21">INDEX(W21:AP21,ROWS($1:9))</f>
        <v>#N/A</v>
      </c>
    </row>
    <row r="22" spans="2:43">
      <c r="B22" s="594" t="s">
        <v>858</v>
      </c>
      <c r="J22" s="593"/>
      <c r="N22" s="15"/>
      <c r="O22" s="15"/>
      <c r="P22" s="15"/>
      <c r="Q22" s="15"/>
      <c r="R22" s="697" t="e">
        <f>VLOOKUP(O22,Hypothèses!$C$214:$E$234,3)</f>
        <v>#N/A</v>
      </c>
      <c r="S22" s="683" t="str">
        <f t="shared" si="0"/>
        <v/>
      </c>
      <c r="U22" s="1893"/>
      <c r="V22" s="677" t="e">
        <f t="shared" si="1"/>
        <v>#N/A</v>
      </c>
      <c r="W22" t="e">
        <v>#N/A</v>
      </c>
      <c r="X22" t="e">
        <v>#N/A</v>
      </c>
      <c r="Y22" t="e">
        <v>#N/A</v>
      </c>
      <c r="Z22" t="e">
        <v>#N/A</v>
      </c>
      <c r="AA22" t="e">
        <v>#N/A</v>
      </c>
      <c r="AB22" t="e">
        <v>#N/A</v>
      </c>
      <c r="AC22" t="e">
        <v>#N/A</v>
      </c>
      <c r="AD22" t="e">
        <v>#N/A</v>
      </c>
      <c r="AE22" t="e">
        <v>#N/A</v>
      </c>
      <c r="AF22" s="332" t="e">
        <v>#N/A</v>
      </c>
      <c r="AG22" t="e">
        <v>#N/A</v>
      </c>
      <c r="AH22" t="e">
        <v>#N/A</v>
      </c>
      <c r="AI22" t="e">
        <v>#N/A</v>
      </c>
      <c r="AJ22" t="e">
        <v>#N/A</v>
      </c>
      <c r="AK22" t="e">
        <v>#N/A</v>
      </c>
      <c r="AL22" t="e">
        <v>#N/A</v>
      </c>
      <c r="AM22" t="e">
        <v>#N/A</v>
      </c>
      <c r="AN22" t="e">
        <v>#N/A</v>
      </c>
      <c r="AO22" t="e">
        <v>#N/A</v>
      </c>
      <c r="AP22" t="e">
        <v>#N/A</v>
      </c>
      <c r="AQ22" s="629" t="e" cm="1">
        <f t="array" ref="AQ22">INDEX(W22:AP22,ROWS($1:10))</f>
        <v>#N/A</v>
      </c>
    </row>
    <row r="23" spans="2:43">
      <c r="B23" t="s">
        <v>859</v>
      </c>
      <c r="E23" s="593">
        <f>K73</f>
        <v>3.5471027086795175</v>
      </c>
      <c r="F23" t="s">
        <v>843</v>
      </c>
      <c r="J23" s="593"/>
      <c r="N23" s="15"/>
      <c r="O23" s="15"/>
      <c r="P23" s="15"/>
      <c r="Q23" s="15"/>
      <c r="R23" s="697" t="e">
        <f>VLOOKUP(O23,Hypothèses!$C$214:$E$234,3)</f>
        <v>#N/A</v>
      </c>
      <c r="S23" s="683" t="str">
        <f t="shared" si="0"/>
        <v/>
      </c>
      <c r="U23" s="1893"/>
      <c r="V23" s="677" t="e">
        <f t="shared" si="1"/>
        <v>#N/A</v>
      </c>
      <c r="W23" t="e">
        <v>#N/A</v>
      </c>
      <c r="X23" t="e">
        <v>#N/A</v>
      </c>
      <c r="Y23" t="e">
        <v>#N/A</v>
      </c>
      <c r="Z23" t="e">
        <v>#N/A</v>
      </c>
      <c r="AA23" t="e">
        <v>#N/A</v>
      </c>
      <c r="AB23" t="e">
        <v>#N/A</v>
      </c>
      <c r="AC23" t="e">
        <v>#N/A</v>
      </c>
      <c r="AD23" t="e">
        <v>#N/A</v>
      </c>
      <c r="AE23" t="e">
        <v>#N/A</v>
      </c>
      <c r="AF23" t="e">
        <v>#N/A</v>
      </c>
      <c r="AG23" s="332" t="e">
        <v>#N/A</v>
      </c>
      <c r="AH23" t="e">
        <v>#N/A</v>
      </c>
      <c r="AI23" t="e">
        <v>#N/A</v>
      </c>
      <c r="AJ23" t="e">
        <v>#N/A</v>
      </c>
      <c r="AK23" t="e">
        <v>#N/A</v>
      </c>
      <c r="AL23" t="e">
        <v>#N/A</v>
      </c>
      <c r="AM23" t="e">
        <v>#N/A</v>
      </c>
      <c r="AN23" t="e">
        <v>#N/A</v>
      </c>
      <c r="AO23" t="e">
        <v>#N/A</v>
      </c>
      <c r="AP23" t="e">
        <v>#N/A</v>
      </c>
      <c r="AQ23" s="629" t="e" cm="1">
        <f t="array" ref="AQ23">INDEX(W23:AP23,ROWS($1:11))</f>
        <v>#N/A</v>
      </c>
    </row>
    <row r="24" spans="2:43">
      <c r="B24" t="s">
        <v>860</v>
      </c>
      <c r="E24" s="593">
        <f>K74</f>
        <v>41.260664076469901</v>
      </c>
      <c r="F24" t="s">
        <v>797</v>
      </c>
      <c r="J24" s="593"/>
      <c r="N24" s="15"/>
      <c r="O24" s="15"/>
      <c r="P24" s="15"/>
      <c r="Q24" s="15"/>
      <c r="R24" s="697" t="e">
        <f>VLOOKUP(O24,Hypothèses!$C$214:$E$234,3)</f>
        <v>#N/A</v>
      </c>
      <c r="S24" s="683" t="str">
        <f t="shared" si="0"/>
        <v/>
      </c>
      <c r="U24" s="1893"/>
      <c r="V24" s="677" t="e">
        <f t="shared" si="1"/>
        <v>#N/A</v>
      </c>
      <c r="W24" t="e">
        <v>#N/A</v>
      </c>
      <c r="X24" t="e">
        <v>#N/A</v>
      </c>
      <c r="Y24" t="e">
        <v>#N/A</v>
      </c>
      <c r="Z24" t="e">
        <v>#N/A</v>
      </c>
      <c r="AA24" t="e">
        <v>#N/A</v>
      </c>
      <c r="AB24" t="e">
        <v>#N/A</v>
      </c>
      <c r="AC24" t="e">
        <v>#N/A</v>
      </c>
      <c r="AD24" t="e">
        <v>#N/A</v>
      </c>
      <c r="AE24" t="e">
        <v>#N/A</v>
      </c>
      <c r="AF24" t="e">
        <v>#N/A</v>
      </c>
      <c r="AG24" t="e">
        <v>#N/A</v>
      </c>
      <c r="AH24" s="332" t="e">
        <v>#N/A</v>
      </c>
      <c r="AI24" t="e">
        <v>#N/A</v>
      </c>
      <c r="AJ24" t="e">
        <v>#N/A</v>
      </c>
      <c r="AK24" t="e">
        <v>#N/A</v>
      </c>
      <c r="AL24" t="e">
        <v>#N/A</v>
      </c>
      <c r="AM24" t="e">
        <v>#N/A</v>
      </c>
      <c r="AN24" t="e">
        <v>#N/A</v>
      </c>
      <c r="AO24" t="e">
        <v>#N/A</v>
      </c>
      <c r="AP24" t="e">
        <v>#N/A</v>
      </c>
      <c r="AQ24" s="629" t="e" cm="1">
        <f t="array" ref="AQ24">INDEX(W24:AP24,ROWS($1:12))</f>
        <v>#N/A</v>
      </c>
    </row>
    <row r="25" spans="2:43">
      <c r="B25" s="594" t="s">
        <v>861</v>
      </c>
      <c r="E25" s="593"/>
      <c r="J25" s="593"/>
      <c r="N25" s="687"/>
      <c r="O25" s="687"/>
      <c r="P25" s="687"/>
      <c r="Q25" s="687"/>
      <c r="R25" s="697" t="e">
        <f>VLOOKUP(O25,Hypothèses!$C$214:$E$234,3)</f>
        <v>#N/A</v>
      </c>
      <c r="S25" s="683" t="str">
        <f t="shared" si="0"/>
        <v/>
      </c>
      <c r="U25" s="1893"/>
      <c r="V25" s="677" t="e">
        <f t="shared" si="1"/>
        <v>#N/A</v>
      </c>
      <c r="W25" t="e">
        <v>#N/A</v>
      </c>
      <c r="X25" t="e">
        <v>#N/A</v>
      </c>
      <c r="Y25" t="e">
        <v>#N/A</v>
      </c>
      <c r="Z25" t="e">
        <v>#N/A</v>
      </c>
      <c r="AA25" t="e">
        <v>#N/A</v>
      </c>
      <c r="AB25" t="e">
        <v>#N/A</v>
      </c>
      <c r="AC25" t="e">
        <v>#N/A</v>
      </c>
      <c r="AD25" t="e">
        <v>#N/A</v>
      </c>
      <c r="AE25" t="e">
        <v>#N/A</v>
      </c>
      <c r="AF25" t="e">
        <v>#N/A</v>
      </c>
      <c r="AG25" t="e">
        <v>#N/A</v>
      </c>
      <c r="AH25" t="e">
        <v>#N/A</v>
      </c>
      <c r="AI25" s="332" t="e">
        <v>#N/A</v>
      </c>
      <c r="AJ25" t="e">
        <v>#N/A</v>
      </c>
      <c r="AK25" t="e">
        <v>#N/A</v>
      </c>
      <c r="AL25" t="e">
        <v>#N/A</v>
      </c>
      <c r="AM25" t="e">
        <v>#N/A</v>
      </c>
      <c r="AN25" t="e">
        <v>#N/A</v>
      </c>
      <c r="AO25" t="e">
        <v>#N/A</v>
      </c>
      <c r="AP25" t="e">
        <v>#N/A</v>
      </c>
      <c r="AQ25" s="629" t="e" cm="1">
        <f t="array" ref="AQ25">INDEX(W25:AP25,ROWS($1:13))</f>
        <v>#N/A</v>
      </c>
    </row>
    <row r="26" spans="2:43">
      <c r="B26" t="s">
        <v>859</v>
      </c>
      <c r="E26" s="593">
        <f>K109</f>
        <v>93.30481274548815</v>
      </c>
      <c r="F26" t="s">
        <v>843</v>
      </c>
      <c r="J26" s="593"/>
      <c r="N26" s="15"/>
      <c r="O26" s="15"/>
      <c r="P26" s="15"/>
      <c r="Q26" s="15"/>
      <c r="R26" s="697" t="e">
        <f>VLOOKUP(O26,Hypothèses!$C$214:$E$234,3)</f>
        <v>#N/A</v>
      </c>
      <c r="S26" s="683" t="str">
        <f t="shared" si="0"/>
        <v/>
      </c>
      <c r="U26" s="1893"/>
      <c r="V26" s="677" t="e">
        <f t="shared" si="1"/>
        <v>#N/A</v>
      </c>
      <c r="W26" t="e">
        <v>#N/A</v>
      </c>
      <c r="X26" t="e">
        <v>#N/A</v>
      </c>
      <c r="Y26" t="e">
        <v>#N/A</v>
      </c>
      <c r="Z26" t="e">
        <v>#N/A</v>
      </c>
      <c r="AA26" t="e">
        <v>#N/A</v>
      </c>
      <c r="AB26" t="e">
        <v>#N/A</v>
      </c>
      <c r="AC26" t="e">
        <v>#N/A</v>
      </c>
      <c r="AD26" t="e">
        <v>#N/A</v>
      </c>
      <c r="AE26" t="e">
        <v>#N/A</v>
      </c>
      <c r="AF26" t="e">
        <v>#N/A</v>
      </c>
      <c r="AG26" t="e">
        <v>#N/A</v>
      </c>
      <c r="AH26" t="e">
        <v>#N/A</v>
      </c>
      <c r="AI26" t="e">
        <v>#N/A</v>
      </c>
      <c r="AJ26" s="332" t="e">
        <v>#N/A</v>
      </c>
      <c r="AK26" t="e">
        <v>#N/A</v>
      </c>
      <c r="AL26" t="e">
        <v>#N/A</v>
      </c>
      <c r="AM26" t="e">
        <v>#N/A</v>
      </c>
      <c r="AN26" t="e">
        <v>#N/A</v>
      </c>
      <c r="AO26" t="e">
        <v>#N/A</v>
      </c>
      <c r="AP26" t="e">
        <v>#N/A</v>
      </c>
      <c r="AQ26" s="629" t="e" cm="1">
        <f t="array" ref="AQ26">INDEX(W26:AP26,ROWS($1:14))</f>
        <v>#N/A</v>
      </c>
    </row>
    <row r="27" spans="2:43" ht="15" customHeight="1">
      <c r="B27" t="s">
        <v>860</v>
      </c>
      <c r="E27" s="593">
        <f>K110</f>
        <v>625.7611677413405</v>
      </c>
      <c r="F27" t="s">
        <v>797</v>
      </c>
      <c r="J27" s="593"/>
      <c r="N27" s="15"/>
      <c r="O27" s="15"/>
      <c r="P27" s="15"/>
      <c r="Q27" s="15"/>
      <c r="R27" s="697" t="e">
        <f>VLOOKUP(O27,Hypothèses!$C$214:$E$234,3)</f>
        <v>#N/A</v>
      </c>
      <c r="S27" s="683" t="str">
        <f t="shared" si="0"/>
        <v/>
      </c>
      <c r="U27" s="1893"/>
      <c r="V27" s="677" t="e">
        <f t="shared" si="1"/>
        <v>#N/A</v>
      </c>
      <c r="W27" t="e">
        <v>#N/A</v>
      </c>
      <c r="X27" t="e">
        <v>#N/A</v>
      </c>
      <c r="Y27" t="e">
        <v>#N/A</v>
      </c>
      <c r="Z27" t="e">
        <v>#N/A</v>
      </c>
      <c r="AA27" t="e">
        <v>#N/A</v>
      </c>
      <c r="AB27" t="e">
        <v>#N/A</v>
      </c>
      <c r="AC27" t="e">
        <v>#N/A</v>
      </c>
      <c r="AD27" t="e">
        <v>#N/A</v>
      </c>
      <c r="AE27" t="e">
        <v>#N/A</v>
      </c>
      <c r="AF27" t="e">
        <v>#N/A</v>
      </c>
      <c r="AG27" t="e">
        <v>#N/A</v>
      </c>
      <c r="AH27" t="e">
        <v>#N/A</v>
      </c>
      <c r="AI27" t="e">
        <v>#N/A</v>
      </c>
      <c r="AJ27" t="e">
        <v>#N/A</v>
      </c>
      <c r="AK27" s="332" t="e">
        <v>#N/A</v>
      </c>
      <c r="AL27" t="e">
        <v>#N/A</v>
      </c>
      <c r="AM27" t="e">
        <v>#N/A</v>
      </c>
      <c r="AN27" t="e">
        <v>#N/A</v>
      </c>
      <c r="AO27" t="e">
        <v>#N/A</v>
      </c>
      <c r="AP27" t="e">
        <v>#N/A</v>
      </c>
      <c r="AQ27" s="629" t="e" cm="1">
        <f t="array" ref="AQ27">INDEX(W27:AP27,ROWS($1:15))</f>
        <v>#N/A</v>
      </c>
    </row>
    <row r="28" spans="2:43">
      <c r="J28" s="593"/>
      <c r="N28" s="15"/>
      <c r="O28" s="15"/>
      <c r="P28" s="15"/>
      <c r="Q28" s="15"/>
      <c r="R28" s="697" t="e">
        <f>VLOOKUP(O28,Hypothèses!$C$214:$E$234,3)</f>
        <v>#N/A</v>
      </c>
      <c r="S28" s="683" t="str">
        <f t="shared" si="0"/>
        <v/>
      </c>
      <c r="U28" s="1893"/>
      <c r="V28" s="677" t="e">
        <f t="shared" si="1"/>
        <v>#N/A</v>
      </c>
      <c r="W28" t="e">
        <v>#N/A</v>
      </c>
      <c r="X28" t="e">
        <v>#N/A</v>
      </c>
      <c r="Y28" t="e">
        <v>#N/A</v>
      </c>
      <c r="Z28" t="e">
        <v>#N/A</v>
      </c>
      <c r="AA28" t="e">
        <v>#N/A</v>
      </c>
      <c r="AB28" t="e">
        <v>#N/A</v>
      </c>
      <c r="AC28" t="e">
        <v>#N/A</v>
      </c>
      <c r="AD28" t="e">
        <v>#N/A</v>
      </c>
      <c r="AE28" t="e">
        <v>#N/A</v>
      </c>
      <c r="AF28" t="e">
        <v>#N/A</v>
      </c>
      <c r="AG28" t="e">
        <v>#N/A</v>
      </c>
      <c r="AH28" t="e">
        <v>#N/A</v>
      </c>
      <c r="AI28" t="e">
        <v>#N/A</v>
      </c>
      <c r="AJ28" t="e">
        <v>#N/A</v>
      </c>
      <c r="AK28" t="e">
        <v>#N/A</v>
      </c>
      <c r="AL28" s="332" t="e">
        <v>#N/A</v>
      </c>
      <c r="AM28" t="e">
        <v>#N/A</v>
      </c>
      <c r="AN28" t="e">
        <v>#N/A</v>
      </c>
      <c r="AO28" t="e">
        <v>#N/A</v>
      </c>
      <c r="AP28" t="e">
        <v>#N/A</v>
      </c>
      <c r="AQ28" s="629" t="e" cm="1">
        <f t="array" ref="AQ28">INDEX(W28:AP28,ROWS($1:16))</f>
        <v>#N/A</v>
      </c>
    </row>
    <row r="29" spans="2:43">
      <c r="B29" t="s">
        <v>965</v>
      </c>
      <c r="J29" s="593"/>
      <c r="N29" s="15"/>
      <c r="O29" s="15"/>
      <c r="P29" s="15"/>
      <c r="Q29" s="15"/>
      <c r="R29" s="697" t="e">
        <f>VLOOKUP(O29,Hypothèses!$C$214:$E$234,3)</f>
        <v>#N/A</v>
      </c>
      <c r="S29" s="683" t="str">
        <f t="shared" si="0"/>
        <v/>
      </c>
      <c r="U29" s="1893"/>
      <c r="V29" s="677" t="e">
        <f t="shared" si="1"/>
        <v>#N/A</v>
      </c>
      <c r="W29" t="e">
        <v>#N/A</v>
      </c>
      <c r="X29" t="e">
        <v>#N/A</v>
      </c>
      <c r="Y29" t="e">
        <v>#N/A</v>
      </c>
      <c r="Z29" t="e">
        <v>#N/A</v>
      </c>
      <c r="AA29" t="e">
        <v>#N/A</v>
      </c>
      <c r="AB29" t="e">
        <v>#N/A</v>
      </c>
      <c r="AC29" t="e">
        <v>#N/A</v>
      </c>
      <c r="AD29" t="e">
        <v>#N/A</v>
      </c>
      <c r="AE29" t="e">
        <v>#N/A</v>
      </c>
      <c r="AF29" t="e">
        <v>#N/A</v>
      </c>
      <c r="AG29" t="e">
        <v>#N/A</v>
      </c>
      <c r="AH29" t="e">
        <v>#N/A</v>
      </c>
      <c r="AI29" t="e">
        <v>#N/A</v>
      </c>
      <c r="AJ29" t="e">
        <v>#N/A</v>
      </c>
      <c r="AK29" t="e">
        <v>#N/A</v>
      </c>
      <c r="AL29" t="e">
        <v>#N/A</v>
      </c>
      <c r="AM29" s="332" t="e">
        <v>#N/A</v>
      </c>
      <c r="AN29" t="e">
        <v>#N/A</v>
      </c>
      <c r="AO29" t="e">
        <v>#N/A</v>
      </c>
      <c r="AP29" t="e">
        <v>#N/A</v>
      </c>
      <c r="AQ29" s="629" t="e" cm="1">
        <f t="array" ref="AQ29">INDEX(W29:AP29,ROWS($1:17))</f>
        <v>#N/A</v>
      </c>
    </row>
    <row r="30" spans="2:43">
      <c r="B30" s="176" t="s">
        <v>938</v>
      </c>
      <c r="E30" s="626">
        <f>E27-E24</f>
        <v>584.50050366487062</v>
      </c>
      <c r="F30" t="s">
        <v>797</v>
      </c>
      <c r="J30" s="593"/>
      <c r="N30" s="684"/>
      <c r="O30" s="684"/>
      <c r="P30" s="684"/>
      <c r="Q30" s="684"/>
      <c r="R30" s="697" t="e">
        <f>VLOOKUP(O30,Hypothèses!$C$214:$E$234,3)</f>
        <v>#N/A</v>
      </c>
      <c r="S30" s="683" t="str">
        <f t="shared" si="0"/>
        <v/>
      </c>
      <c r="U30" s="1893"/>
      <c r="V30" s="677" t="e">
        <f t="shared" si="1"/>
        <v>#N/A</v>
      </c>
      <c r="W30" t="e">
        <v>#N/A</v>
      </c>
      <c r="X30" t="e">
        <v>#N/A</v>
      </c>
      <c r="Y30" t="e">
        <v>#N/A</v>
      </c>
      <c r="Z30" t="e">
        <v>#N/A</v>
      </c>
      <c r="AA30" t="e">
        <v>#N/A</v>
      </c>
      <c r="AB30" t="e">
        <v>#N/A</v>
      </c>
      <c r="AC30" t="e">
        <v>#N/A</v>
      </c>
      <c r="AD30" t="e">
        <v>#N/A</v>
      </c>
      <c r="AE30" t="e">
        <v>#N/A</v>
      </c>
      <c r="AF30" t="e">
        <v>#N/A</v>
      </c>
      <c r="AG30" t="e">
        <v>#N/A</v>
      </c>
      <c r="AH30" t="e">
        <v>#N/A</v>
      </c>
      <c r="AI30" t="e">
        <v>#N/A</v>
      </c>
      <c r="AJ30" t="e">
        <v>#N/A</v>
      </c>
      <c r="AK30" t="e">
        <v>#N/A</v>
      </c>
      <c r="AL30" t="e">
        <v>#N/A</v>
      </c>
      <c r="AM30" t="e">
        <v>#N/A</v>
      </c>
      <c r="AN30" s="332" t="e">
        <v>#N/A</v>
      </c>
      <c r="AO30" t="e">
        <v>#N/A</v>
      </c>
      <c r="AP30" t="e">
        <v>#N/A</v>
      </c>
      <c r="AQ30" s="629" t="e" cm="1">
        <f t="array" ref="AQ30">INDEX(W30:AP30,ROWS($1:18))</f>
        <v>#N/A</v>
      </c>
    </row>
    <row r="31" spans="2:43">
      <c r="B31" s="176"/>
      <c r="E31" s="626">
        <f>E30*3.41/3.28</f>
        <v>607.66668216378332</v>
      </c>
      <c r="F31" t="s">
        <v>940</v>
      </c>
      <c r="J31" s="593"/>
      <c r="N31" s="688"/>
      <c r="O31" s="688"/>
      <c r="P31" s="688"/>
      <c r="Q31" s="688"/>
      <c r="R31" s="697" t="e">
        <f>VLOOKUP(O31,Hypothèses!$C$214:$E$234,3)</f>
        <v>#N/A</v>
      </c>
      <c r="S31" s="683" t="str">
        <f t="shared" si="0"/>
        <v/>
      </c>
      <c r="U31" s="1893"/>
      <c r="V31" s="677" t="e">
        <f t="shared" si="1"/>
        <v>#N/A</v>
      </c>
      <c r="W31" t="e">
        <v>#N/A</v>
      </c>
      <c r="X31" t="e">
        <v>#N/A</v>
      </c>
      <c r="Y31" t="e">
        <v>#N/A</v>
      </c>
      <c r="Z31" t="e">
        <v>#N/A</v>
      </c>
      <c r="AA31" t="e">
        <v>#N/A</v>
      </c>
      <c r="AB31" t="e">
        <v>#N/A</v>
      </c>
      <c r="AC31" t="e">
        <v>#N/A</v>
      </c>
      <c r="AD31" t="e">
        <v>#N/A</v>
      </c>
      <c r="AE31" t="e">
        <v>#N/A</v>
      </c>
      <c r="AF31" t="e">
        <v>#N/A</v>
      </c>
      <c r="AG31" t="e">
        <v>#N/A</v>
      </c>
      <c r="AH31" t="e">
        <v>#N/A</v>
      </c>
      <c r="AI31" t="e">
        <v>#N/A</v>
      </c>
      <c r="AJ31" t="e">
        <v>#N/A</v>
      </c>
      <c r="AK31" t="e">
        <v>#N/A</v>
      </c>
      <c r="AL31" t="e">
        <v>#N/A</v>
      </c>
      <c r="AM31" t="e">
        <v>#N/A</v>
      </c>
      <c r="AN31" t="e">
        <v>#N/A</v>
      </c>
      <c r="AO31" s="332" t="e">
        <v>#N/A</v>
      </c>
      <c r="AP31" t="e">
        <v>#N/A</v>
      </c>
      <c r="AQ31" s="629" t="e" cm="1">
        <f t="array" ref="AQ31">INDEX(W31:AP31,ROWS($1:19))</f>
        <v>#N/A</v>
      </c>
    </row>
    <row r="32" spans="2:43">
      <c r="B32" s="176" t="s">
        <v>939</v>
      </c>
      <c r="E32" s="626">
        <f>K108-K71</f>
        <v>2171.6188603130026</v>
      </c>
      <c r="F32" t="s">
        <v>941</v>
      </c>
      <c r="J32" s="593"/>
      <c r="N32" s="595"/>
      <c r="U32" s="1893"/>
      <c r="V32" s="677" t="e">
        <f t="shared" si="1"/>
        <v>#N/A</v>
      </c>
      <c r="W32" t="e">
        <v>#N/A</v>
      </c>
      <c r="X32" t="e">
        <v>#N/A</v>
      </c>
      <c r="Y32" t="e">
        <v>#N/A</v>
      </c>
      <c r="Z32" t="e">
        <v>#N/A</v>
      </c>
      <c r="AA32" t="e">
        <v>#N/A</v>
      </c>
      <c r="AB32" t="e">
        <v>#N/A</v>
      </c>
      <c r="AC32" t="e">
        <v>#N/A</v>
      </c>
      <c r="AD32" t="e">
        <v>#N/A</v>
      </c>
      <c r="AE32" t="e">
        <v>#N/A</v>
      </c>
      <c r="AF32" t="e">
        <v>#N/A</v>
      </c>
      <c r="AG32" t="e">
        <v>#N/A</v>
      </c>
      <c r="AH32" t="e">
        <v>#N/A</v>
      </c>
      <c r="AI32" t="e">
        <v>#N/A</v>
      </c>
      <c r="AJ32" t="e">
        <v>#N/A</v>
      </c>
      <c r="AK32" t="e">
        <v>#N/A</v>
      </c>
      <c r="AL32" t="e">
        <v>#N/A</v>
      </c>
      <c r="AM32" t="e">
        <v>#N/A</v>
      </c>
      <c r="AN32" t="e">
        <v>#N/A</v>
      </c>
      <c r="AO32" t="e">
        <v>#N/A</v>
      </c>
      <c r="AP32" s="332" t="e">
        <v>#N/A</v>
      </c>
      <c r="AQ32" s="629" t="e" cm="1">
        <f t="array" ref="AQ32">INDEX(W32:AP32,ROWS($1:20))</f>
        <v>#N/A</v>
      </c>
    </row>
    <row r="33" spans="2:33">
      <c r="B33" s="176"/>
      <c r="E33" s="626">
        <f>E32*3.41/3.28^2</f>
        <v>688.31985366479591</v>
      </c>
      <c r="F33" t="s">
        <v>942</v>
      </c>
      <c r="J33" s="593"/>
      <c r="N33" s="595"/>
      <c r="U33" s="708"/>
      <c r="V33" s="592"/>
    </row>
    <row r="34" spans="2:33">
      <c r="B34" s="176"/>
      <c r="E34" s="593"/>
      <c r="J34" s="593"/>
      <c r="N34" s="1896" t="s">
        <v>1004</v>
      </c>
      <c r="O34" s="1896"/>
      <c r="P34" s="1896"/>
      <c r="Q34" s="1896"/>
      <c r="R34" s="1896"/>
      <c r="S34" s="1896"/>
      <c r="T34" s="1896"/>
      <c r="U34" s="1896"/>
      <c r="V34" s="1896"/>
      <c r="W34" s="1896"/>
      <c r="X34" s="1896"/>
      <c r="Y34" s="1896"/>
      <c r="Z34" s="1896"/>
      <c r="AA34" s="1896"/>
      <c r="AB34" s="1896"/>
      <c r="AC34" s="1896"/>
      <c r="AD34" s="1896"/>
      <c r="AE34" s="1896"/>
      <c r="AF34" s="1896"/>
      <c r="AG34" s="1896"/>
    </row>
    <row r="35" spans="2:33" ht="16.2">
      <c r="B35" s="594" t="s">
        <v>1218</v>
      </c>
      <c r="N35" s="1902" t="s">
        <v>923</v>
      </c>
      <c r="O35" s="689" t="s">
        <v>993</v>
      </c>
      <c r="P35" s="689" t="s">
        <v>925</v>
      </c>
      <c r="Q35" s="1906" t="s">
        <v>935</v>
      </c>
      <c r="R35" s="689" t="s">
        <v>991</v>
      </c>
      <c r="S35" s="689" t="s">
        <v>922</v>
      </c>
      <c r="W35" s="1901" t="s">
        <v>996</v>
      </c>
      <c r="X35" s="1901"/>
      <c r="Y35" s="1901"/>
      <c r="Z35" s="1901"/>
      <c r="AA35" s="1901"/>
      <c r="AB35" s="1901"/>
      <c r="AC35" s="1901"/>
      <c r="AD35" s="1901"/>
      <c r="AE35" s="1901"/>
      <c r="AF35" s="1901"/>
    </row>
    <row r="36" spans="2:33" ht="15" customHeight="1">
      <c r="E36" t="s">
        <v>799</v>
      </c>
      <c r="G36">
        <v>1</v>
      </c>
      <c r="H36">
        <v>2</v>
      </c>
      <c r="I36">
        <v>3</v>
      </c>
      <c r="J36">
        <v>4</v>
      </c>
      <c r="K36">
        <v>5</v>
      </c>
      <c r="N36" s="1902"/>
      <c r="O36" s="690" t="s">
        <v>1005</v>
      </c>
      <c r="P36" s="690" t="s">
        <v>929</v>
      </c>
      <c r="Q36" s="1906"/>
      <c r="R36" s="691" t="s">
        <v>945</v>
      </c>
      <c r="S36" s="690" t="s">
        <v>1001</v>
      </c>
      <c r="W36" s="1894" t="s">
        <v>779</v>
      </c>
      <c r="X36" s="1894"/>
      <c r="Y36" s="1894"/>
      <c r="Z36" s="1894"/>
      <c r="AA36" s="1894"/>
      <c r="AB36" s="1894"/>
      <c r="AC36" s="1894"/>
      <c r="AD36" s="1894"/>
      <c r="AE36" s="1894"/>
      <c r="AF36" s="1894"/>
      <c r="AG36" s="1897" t="s">
        <v>943</v>
      </c>
    </row>
    <row r="37" spans="2:33" ht="15" customHeight="1" thickBot="1">
      <c r="B37" t="s">
        <v>859</v>
      </c>
      <c r="E37" t="s">
        <v>800</v>
      </c>
      <c r="F37" t="s">
        <v>843</v>
      </c>
      <c r="G37" s="593">
        <f>E11+1</f>
        <v>0.58571428571428596</v>
      </c>
      <c r="H37" s="136">
        <f>G73</f>
        <v>3.55197145507627</v>
      </c>
      <c r="I37" s="136">
        <f t="shared" ref="I37:K37" si="2">H73</f>
        <v>3.5470911730788117</v>
      </c>
      <c r="J37" s="136">
        <f t="shared" si="2"/>
        <v>3.5471027360189566</v>
      </c>
      <c r="K37" s="136">
        <f t="shared" si="2"/>
        <v>3.5471027086145597</v>
      </c>
      <c r="L37" s="136"/>
      <c r="M37" s="136"/>
      <c r="N37" s="696" t="e" cm="1" vm="2">
        <f t="array" ref="N37">_xlfn._xlws.FILTER(Isolation!$B$32:$E$41,Isolation!$E$32:'Isolation'!$E$41=P6&amp;"_"&amp;P7)</f>
        <v>#VALUE!</v>
      </c>
      <c r="O37" s="15"/>
      <c r="P37" s="15"/>
      <c r="Q37" s="15"/>
      <c r="R37" s="700" t="e" vm="1">
        <f>VLOOKUP(N37,Isolation!$B$32:$R$41,9)</f>
        <v>#VALUE!</v>
      </c>
      <c r="S37" s="15" t="e" vm="1">
        <f t="shared" ref="S37:S46" si="3">IF(N37="","",AG38)</f>
        <v>#VALUE!</v>
      </c>
      <c r="V37" s="634">
        <f>$E$32</f>
        <v>2171.6188603130026</v>
      </c>
      <c r="W37" s="678" cm="1">
        <f t="array" ref="W37:AF37">TRANSPOSE(P37:P46)</f>
        <v>0</v>
      </c>
      <c r="X37" s="678">
        <v>0</v>
      </c>
      <c r="Y37" s="678">
        <v>0</v>
      </c>
      <c r="Z37" s="678">
        <v>0</v>
      </c>
      <c r="AA37" s="678">
        <v>0</v>
      </c>
      <c r="AB37" s="678">
        <v>0</v>
      </c>
      <c r="AC37" s="678">
        <v>0</v>
      </c>
      <c r="AD37" s="678">
        <v>0</v>
      </c>
      <c r="AE37" s="678">
        <v>0</v>
      </c>
      <c r="AF37" s="678">
        <v>0</v>
      </c>
      <c r="AG37" s="1907"/>
    </row>
    <row r="38" spans="2:33">
      <c r="B38" t="s">
        <v>862</v>
      </c>
      <c r="E38" t="s">
        <v>801</v>
      </c>
      <c r="F38" t="s">
        <v>843</v>
      </c>
      <c r="G38" s="593">
        <f>E10-1</f>
        <v>92.333333333333329</v>
      </c>
      <c r="H38" s="136">
        <f>G72</f>
        <v>93.331456810567502</v>
      </c>
      <c r="I38" s="136">
        <f t="shared" ref="I38:K38" si="4">H72</f>
        <v>93.331452773057492</v>
      </c>
      <c r="J38" s="136">
        <f t="shared" si="4"/>
        <v>93.331452778183177</v>
      </c>
      <c r="K38" s="136">
        <f t="shared" si="4"/>
        <v>93.331452778171027</v>
      </c>
      <c r="L38" s="136"/>
      <c r="M38" s="593"/>
      <c r="N38" s="696"/>
      <c r="O38" s="15"/>
      <c r="P38" s="15"/>
      <c r="Q38" s="15"/>
      <c r="R38" s="700" t="e">
        <f>VLOOKUP(N38,Isolation!$B$32:$R$41,9)</f>
        <v>#N/A</v>
      </c>
      <c r="S38" s="15" t="str">
        <f t="shared" si="3"/>
        <v/>
      </c>
      <c r="U38" s="1898" t="s">
        <v>992</v>
      </c>
      <c r="V38" s="681" t="e" vm="1">
        <f t="shared" ref="V38:V47" si="5">R37</f>
        <v>#VALUE!</v>
      </c>
      <c r="W38" s="332" t="e" vm="1">
        <f t="dataTable" ref="W38:AF47" dt2D="1" dtr="1" r1="E10" r2="E9" ca="1"/>
        <v>#VALUE!</v>
      </c>
      <c r="X38" t="e" vm="1">
        <v>#VALUE!</v>
      </c>
      <c r="Y38" t="e" vm="1">
        <v>#VALUE!</v>
      </c>
      <c r="Z38" t="e" vm="1">
        <v>#VALUE!</v>
      </c>
      <c r="AA38" t="e" vm="1">
        <v>#VALUE!</v>
      </c>
      <c r="AB38" t="e" vm="1">
        <v>#VALUE!</v>
      </c>
      <c r="AC38" t="e" vm="1">
        <v>#VALUE!</v>
      </c>
      <c r="AD38" t="e" vm="1">
        <v>#VALUE!</v>
      </c>
      <c r="AE38" t="e" vm="1">
        <v>#VALUE!</v>
      </c>
      <c r="AF38" t="e" vm="1">
        <v>#VALUE!</v>
      </c>
      <c r="AG38" s="698" t="e" cm="1" vm="1">
        <f t="array" ref="AG38">INDEX(W38:AF38,ROWS($1:1))</f>
        <v>#VALUE!</v>
      </c>
    </row>
    <row r="39" spans="2:33">
      <c r="B39" s="3" t="s">
        <v>863</v>
      </c>
      <c r="N39" s="696"/>
      <c r="O39" s="15"/>
      <c r="P39" s="15"/>
      <c r="Q39" s="15"/>
      <c r="R39" s="700" t="e">
        <f>VLOOKUP(N39,Isolation!$B$32:$R$41,9)</f>
        <v>#N/A</v>
      </c>
      <c r="S39" s="15" t="str">
        <f t="shared" si="3"/>
        <v/>
      </c>
      <c r="U39" s="1898"/>
      <c r="V39" s="681" t="e">
        <f t="shared" si="5"/>
        <v>#N/A</v>
      </c>
      <c r="W39" t="e">
        <v>#N/A</v>
      </c>
      <c r="X39" s="332" t="e">
        <v>#N/A</v>
      </c>
      <c r="Y39" t="e">
        <v>#N/A</v>
      </c>
      <c r="Z39" t="e">
        <v>#N/A</v>
      </c>
      <c r="AA39" t="e">
        <v>#N/A</v>
      </c>
      <c r="AB39" t="e">
        <v>#N/A</v>
      </c>
      <c r="AC39" t="e">
        <v>#N/A</v>
      </c>
      <c r="AD39" t="e">
        <v>#N/A</v>
      </c>
      <c r="AE39" t="e">
        <v>#N/A</v>
      </c>
      <c r="AF39" t="e">
        <v>#N/A</v>
      </c>
      <c r="AG39" s="629" t="e" cm="1">
        <f t="array" ref="AG39">INDEX(W39:AF39,ROWS($1:2))</f>
        <v>#N/A</v>
      </c>
    </row>
    <row r="40" spans="2:33">
      <c r="B40" t="s">
        <v>864</v>
      </c>
      <c r="E40" t="s">
        <v>802</v>
      </c>
      <c r="F40" t="s">
        <v>843</v>
      </c>
      <c r="G40">
        <f>(G37+$E$11)/2</f>
        <v>8.5714285714285965E-2</v>
      </c>
      <c r="H40" s="136">
        <f t="shared" ref="H40:K40" si="6">(H37+$E$11)/2</f>
        <v>1.5688428703952779</v>
      </c>
      <c r="I40" s="136">
        <f t="shared" si="6"/>
        <v>1.5664027293965488</v>
      </c>
      <c r="J40" s="136">
        <f t="shared" si="6"/>
        <v>1.5664085108666213</v>
      </c>
      <c r="K40" s="136">
        <f t="shared" si="6"/>
        <v>1.5664084971644228</v>
      </c>
      <c r="L40" s="593"/>
      <c r="M40" s="593"/>
      <c r="N40" s="696"/>
      <c r="O40" s="15"/>
      <c r="P40" s="15"/>
      <c r="Q40" s="15"/>
      <c r="R40" s="700" t="e">
        <f>VLOOKUP(N40,Isolation!$B$32:$R$41,9)</f>
        <v>#N/A</v>
      </c>
      <c r="S40" s="15" t="str">
        <f t="shared" si="3"/>
        <v/>
      </c>
      <c r="U40" s="1898"/>
      <c r="V40" s="681" t="e">
        <f t="shared" si="5"/>
        <v>#N/A</v>
      </c>
      <c r="W40" t="e">
        <v>#N/A</v>
      </c>
      <c r="X40" t="e">
        <v>#N/A</v>
      </c>
      <c r="Y40" s="332" t="e">
        <v>#N/A</v>
      </c>
      <c r="Z40" t="e">
        <v>#N/A</v>
      </c>
      <c r="AA40" t="e">
        <v>#N/A</v>
      </c>
      <c r="AB40" t="e">
        <v>#N/A</v>
      </c>
      <c r="AC40" t="e">
        <v>#N/A</v>
      </c>
      <c r="AD40" t="e">
        <v>#N/A</v>
      </c>
      <c r="AE40" t="e">
        <v>#N/A</v>
      </c>
      <c r="AF40" t="e">
        <v>#N/A</v>
      </c>
      <c r="AG40" s="629" t="e" cm="1">
        <f t="array" ref="AG40">INDEX(W40:AF40,ROWS($1:3))</f>
        <v>#N/A</v>
      </c>
    </row>
    <row r="41" spans="2:33">
      <c r="F41" t="s">
        <v>803</v>
      </c>
      <c r="G41">
        <f>G40+273.15</f>
        <v>273.23571428571427</v>
      </c>
      <c r="H41" s="136">
        <f t="shared" ref="H41:K41" si="7">H40+273.15</f>
        <v>274.71884287039524</v>
      </c>
      <c r="I41" s="136">
        <f t="shared" si="7"/>
        <v>274.71640272939652</v>
      </c>
      <c r="J41" s="136">
        <f t="shared" si="7"/>
        <v>274.71640851086659</v>
      </c>
      <c r="K41" s="136">
        <f t="shared" si="7"/>
        <v>274.71640849716442</v>
      </c>
      <c r="L41" s="136"/>
      <c r="M41" s="136"/>
      <c r="N41" s="696"/>
      <c r="O41" s="15"/>
      <c r="P41" s="15"/>
      <c r="Q41" s="15"/>
      <c r="R41" s="700" t="e">
        <f>VLOOKUP(N41,Isolation!$B$32:$R$41,9)</f>
        <v>#N/A</v>
      </c>
      <c r="S41" s="15" t="str">
        <f t="shared" si="3"/>
        <v/>
      </c>
      <c r="U41" s="1898"/>
      <c r="V41" s="681" t="e">
        <f t="shared" si="5"/>
        <v>#N/A</v>
      </c>
      <c r="W41" t="e">
        <v>#N/A</v>
      </c>
      <c r="X41" t="e">
        <v>#N/A</v>
      </c>
      <c r="Y41" t="e">
        <v>#N/A</v>
      </c>
      <c r="Z41" s="332" t="e">
        <v>#N/A</v>
      </c>
      <c r="AA41" t="e">
        <v>#N/A</v>
      </c>
      <c r="AB41" t="e">
        <v>#N/A</v>
      </c>
      <c r="AC41" t="e">
        <v>#N/A</v>
      </c>
      <c r="AD41" t="e">
        <v>#N/A</v>
      </c>
      <c r="AE41" t="e">
        <v>#N/A</v>
      </c>
      <c r="AF41" t="e">
        <v>#N/A</v>
      </c>
      <c r="AG41" s="629" t="e" cm="1">
        <f t="array" ref="AG41">INDEX(W41:AF41,ROWS($1:4))</f>
        <v>#N/A</v>
      </c>
    </row>
    <row r="42" spans="2:33">
      <c r="B42" t="s">
        <v>896</v>
      </c>
      <c r="E42" t="s">
        <v>804</v>
      </c>
      <c r="F42" t="s">
        <v>805</v>
      </c>
      <c r="G42" s="595">
        <f>(Propriété_air!$Q$22*G41^4+Propriété_air!$R$22*G41^3+Propriété_air!$S$22*G41^2+Propriété_air!$T$22*G41+Propriété_air!$U$22)/10^3</f>
        <v>2.4117050275889996E-2</v>
      </c>
      <c r="H42" s="595">
        <f>(Propriété_air!$Q$22*H41^4+Propriété_air!$R$22*H41^3+Propriété_air!$S$22*H41^2+Propriété_air!$T$22*H41+Propriété_air!$U$22)/10^3</f>
        <v>2.4236736058398069E-2</v>
      </c>
      <c r="I42" s="595">
        <f>(Propriété_air!$Q$22*I41^4+Propriété_air!$R$22*I41^3+Propriété_air!$S$22*I41^2+Propriété_air!$T$22*I41+Propriété_air!$U$22)/10^3</f>
        <v>2.4236539250617903E-2</v>
      </c>
      <c r="J42" s="595">
        <f>(Propriété_air!$Q$22*J41^4+Propriété_air!$R$22*J41^3+Propriété_air!$S$22*J41^2+Propriété_air!$T$22*J41+Propriété_air!$U$22)/10^3</f>
        <v>2.4236539716918543E-2</v>
      </c>
      <c r="K42" s="595">
        <f>(Propriété_air!$Q$22*K41^4+Propriété_air!$R$22*K41^3+Propriété_air!$S$22*K41^2+Propriété_air!$T$22*K41+Propriété_air!$U$22)/10^3</f>
        <v>2.4236539715813403E-2</v>
      </c>
      <c r="L42" s="595"/>
      <c r="M42" s="595"/>
      <c r="N42" s="696"/>
      <c r="O42" s="15"/>
      <c r="P42" s="15"/>
      <c r="Q42" s="15"/>
      <c r="R42" s="700" t="e">
        <f>VLOOKUP(N42,Isolation!$B$32:$R$41,9)</f>
        <v>#N/A</v>
      </c>
      <c r="S42" s="15" t="str">
        <f t="shared" si="3"/>
        <v/>
      </c>
      <c r="U42" s="1898"/>
      <c r="V42" s="681" t="e">
        <f t="shared" si="5"/>
        <v>#N/A</v>
      </c>
      <c r="W42" t="e">
        <v>#N/A</v>
      </c>
      <c r="X42" t="e">
        <v>#N/A</v>
      </c>
      <c r="Y42" t="e">
        <v>#N/A</v>
      </c>
      <c r="Z42" t="e">
        <v>#N/A</v>
      </c>
      <c r="AA42" s="332" t="e">
        <v>#N/A</v>
      </c>
      <c r="AB42" t="e">
        <v>#N/A</v>
      </c>
      <c r="AC42" t="e">
        <v>#N/A</v>
      </c>
      <c r="AD42" t="e">
        <v>#N/A</v>
      </c>
      <c r="AE42" t="e">
        <v>#N/A</v>
      </c>
      <c r="AF42" t="e">
        <v>#N/A</v>
      </c>
      <c r="AG42" s="629" t="e" cm="1">
        <f t="array" ref="AG42">INDEX(W42:AF42,ROWS($1:5))</f>
        <v>#N/A</v>
      </c>
    </row>
    <row r="43" spans="2:33">
      <c r="B43" t="s">
        <v>897</v>
      </c>
      <c r="E43" t="s">
        <v>806</v>
      </c>
      <c r="F43" t="s">
        <v>844</v>
      </c>
      <c r="G43" s="596">
        <f>(Propriété_air!$Q$10*G41^4+Propriété_air!$R$10*G41^3+Propriété_air!$S$10*G41^2+Propriété_air!$T$10*G41+Propriété_air!$U$10)/10^7</f>
        <v>1.7159453569518444E-5</v>
      </c>
      <c r="H43" s="596">
        <f>(Propriété_air!$Q$10*H41^4+Propriété_air!$R$10*H41^3+Propriété_air!$S$10*H41^2+Propriété_air!$T$10*H41+Propriété_air!$U$10)/10^7</f>
        <v>1.7234042602949317E-5</v>
      </c>
      <c r="I43" s="596">
        <f>(Propriété_air!$Q$10*I41^4+Propriété_air!$R$10*I41^3+Propriété_air!$S$10*I41^2+Propriété_air!$T$10*I41+Propriété_air!$U$10)/10^7</f>
        <v>1.7233920019756656E-5</v>
      </c>
      <c r="J43" s="596">
        <f>(Propriété_air!$Q$10*J41^4+Propriété_air!$R$10*J41^3+Propriété_air!$S$10*J41^2+Propriété_air!$T$10*J41+Propriété_air!$U$10)/10^7</f>
        <v>1.7233920310195753E-5</v>
      </c>
      <c r="K43" s="596">
        <f>(Propriété_air!$Q$10*K41^4+Propriété_air!$R$10*K41^3+Propriété_air!$S$10*K41^2+Propriété_air!$T$10*K41+Propriété_air!$U$10)/10^7</f>
        <v>1.723392030950741E-5</v>
      </c>
      <c r="L43" s="596"/>
      <c r="M43" s="601"/>
      <c r="N43" s="696"/>
      <c r="O43" s="15"/>
      <c r="P43" s="15"/>
      <c r="Q43" s="15"/>
      <c r="R43" s="700" t="e">
        <f>VLOOKUP(N43,Isolation!$B$32:$R$41,9)</f>
        <v>#N/A</v>
      </c>
      <c r="S43" s="15" t="str">
        <f t="shared" si="3"/>
        <v/>
      </c>
      <c r="U43" s="1898"/>
      <c r="V43" s="681" t="e">
        <f t="shared" si="5"/>
        <v>#N/A</v>
      </c>
      <c r="W43" t="e">
        <v>#N/A</v>
      </c>
      <c r="X43" t="e">
        <v>#N/A</v>
      </c>
      <c r="Y43" t="e">
        <v>#N/A</v>
      </c>
      <c r="Z43" t="e">
        <v>#N/A</v>
      </c>
      <c r="AA43" t="e">
        <v>#N/A</v>
      </c>
      <c r="AB43" s="332" t="e">
        <v>#N/A</v>
      </c>
      <c r="AC43" t="e">
        <v>#N/A</v>
      </c>
      <c r="AD43" t="e">
        <v>#N/A</v>
      </c>
      <c r="AE43" t="e">
        <v>#N/A</v>
      </c>
      <c r="AF43" t="e">
        <v>#N/A</v>
      </c>
      <c r="AG43" s="629" t="e" cm="1">
        <f t="array" ref="AG43">INDEX(W43:AF43,ROWS($1:6))</f>
        <v>#N/A</v>
      </c>
    </row>
    <row r="44" spans="2:33">
      <c r="B44" t="s">
        <v>807</v>
      </c>
      <c r="E44" t="s">
        <v>808</v>
      </c>
      <c r="G44" s="584">
        <f>Propriété_air!$Q$34*G41^4+Propriété_air!$R$34*G41^3+Propriété_air!$S$34*G41^2+Propriété_air!$T$34*G41+Propriété_air!$U$34</f>
        <v>0.71424862584199311</v>
      </c>
      <c r="H44" s="584">
        <f>Propriété_air!$Q$34*H41^4+Propriété_air!$R$34*H41^3+Propriété_air!$S$34*H41^2+Propriété_air!$T$34*H41+Propriété_air!$U$34</f>
        <v>0.7138378911405151</v>
      </c>
      <c r="I44" s="584">
        <f>Propriété_air!$Q$34*I41^4+Propriété_air!$R$34*I41^3+Propriété_air!$S$34*I41^2+Propriété_air!$T$34*I41+Propriété_air!$U$34</f>
        <v>0.71383856440677218</v>
      </c>
      <c r="J44" s="584">
        <f>Propriété_air!$Q$34*J41^4+Propriété_air!$R$34*J41^3+Propriété_air!$S$34*J41^2+Propriété_air!$T$34*J41+Propriété_air!$U$34</f>
        <v>0.71383856281158053</v>
      </c>
      <c r="K44" s="584">
        <f>Propriété_air!$Q$34*K41^4+Propriété_air!$R$34*K41^3+Propriété_air!$S$34*K41^2+Propriété_air!$T$34*K41+Propriété_air!$U$34</f>
        <v>0.71383856281536118</v>
      </c>
      <c r="L44" s="584"/>
      <c r="M44" s="584"/>
      <c r="N44" s="696"/>
      <c r="O44" s="15"/>
      <c r="P44" s="15"/>
      <c r="Q44" s="15"/>
      <c r="R44" s="700" t="e">
        <f>VLOOKUP(N44,Isolation!$B$32:$R$41,9)</f>
        <v>#N/A</v>
      </c>
      <c r="S44" s="15" t="str">
        <f t="shared" si="3"/>
        <v/>
      </c>
      <c r="U44" s="1898"/>
      <c r="V44" s="681" t="e">
        <f t="shared" si="5"/>
        <v>#N/A</v>
      </c>
      <c r="W44" t="e">
        <v>#N/A</v>
      </c>
      <c r="X44" t="e">
        <v>#N/A</v>
      </c>
      <c r="Y44" t="e">
        <v>#N/A</v>
      </c>
      <c r="Z44" t="e">
        <v>#N/A</v>
      </c>
      <c r="AA44" t="e">
        <v>#N/A</v>
      </c>
      <c r="AB44" t="e">
        <v>#N/A</v>
      </c>
      <c r="AC44" s="332" t="e">
        <v>#N/A</v>
      </c>
      <c r="AD44" t="e">
        <v>#N/A</v>
      </c>
      <c r="AE44" t="e">
        <v>#N/A</v>
      </c>
      <c r="AF44" t="e">
        <v>#N/A</v>
      </c>
      <c r="AG44" s="629" t="e" cm="1">
        <f t="array" ref="AG44">INDEX(W44:AF44,ROWS($1:7))</f>
        <v>#N/A</v>
      </c>
    </row>
    <row r="45" spans="2:33">
      <c r="B45" t="s">
        <v>898</v>
      </c>
      <c r="E45" t="s">
        <v>809</v>
      </c>
      <c r="F45" t="s">
        <v>810</v>
      </c>
      <c r="G45">
        <f>1/G41</f>
        <v>3.6598436723917081E-3</v>
      </c>
      <c r="H45">
        <f t="shared" ref="H45:K45" si="8">1/H41</f>
        <v>3.6400852214996129E-3</v>
      </c>
      <c r="I45">
        <f t="shared" si="8"/>
        <v>3.6401175541928908E-3</v>
      </c>
      <c r="J45">
        <f t="shared" si="8"/>
        <v>3.6401174775857787E-3</v>
      </c>
      <c r="K45">
        <f t="shared" si="8"/>
        <v>3.6401174777673387E-3</v>
      </c>
      <c r="L45" s="601"/>
      <c r="M45" s="197"/>
      <c r="N45" s="696"/>
      <c r="O45" s="15"/>
      <c r="P45" s="15"/>
      <c r="Q45" s="15"/>
      <c r="R45" s="700" t="e">
        <f>VLOOKUP(N45,Isolation!$B$32:$R$41,9)</f>
        <v>#N/A</v>
      </c>
      <c r="S45" s="15" t="str">
        <f t="shared" si="3"/>
        <v/>
      </c>
      <c r="U45" s="1898"/>
      <c r="V45" s="681" t="e">
        <f t="shared" si="5"/>
        <v>#N/A</v>
      </c>
      <c r="W45" t="e">
        <v>#N/A</v>
      </c>
      <c r="X45" t="e">
        <v>#N/A</v>
      </c>
      <c r="Y45" t="e">
        <v>#N/A</v>
      </c>
      <c r="Z45" t="e">
        <v>#N/A</v>
      </c>
      <c r="AA45" t="e">
        <v>#N/A</v>
      </c>
      <c r="AB45" t="e">
        <v>#N/A</v>
      </c>
      <c r="AC45" t="e">
        <v>#N/A</v>
      </c>
      <c r="AD45" s="332" t="e">
        <v>#N/A</v>
      </c>
      <c r="AE45" t="e">
        <v>#N/A</v>
      </c>
      <c r="AF45" t="e">
        <v>#N/A</v>
      </c>
      <c r="AG45" s="629" t="e" cm="1">
        <f t="array" ref="AG45">INDEX(W45:AF45,ROWS($1:8))</f>
        <v>#N/A</v>
      </c>
    </row>
    <row r="46" spans="2:33">
      <c r="B46" t="s">
        <v>899</v>
      </c>
      <c r="E46" t="s">
        <v>811</v>
      </c>
      <c r="F46" t="s">
        <v>845</v>
      </c>
      <c r="G46" s="595">
        <f>Propriété_air!$Q$45/G41</f>
        <v>1.2919409387712206</v>
      </c>
      <c r="H46" s="595">
        <f>Propriété_air!$Q$45/H41</f>
        <v>1.2849661185659857</v>
      </c>
      <c r="I46" s="595">
        <f>Propriété_air!$Q$45/I41</f>
        <v>1.2849775321491455</v>
      </c>
      <c r="J46" s="595">
        <f>Propriété_air!$Q$45/J41</f>
        <v>1.2849775051064973</v>
      </c>
      <c r="K46" s="595">
        <f>Propriété_air!$Q$45/K41</f>
        <v>1.284977505170589</v>
      </c>
      <c r="L46" s="595"/>
      <c r="M46" s="601"/>
      <c r="N46" s="696"/>
      <c r="O46" s="15"/>
      <c r="P46" s="15"/>
      <c r="Q46" s="15"/>
      <c r="R46" s="700" t="e">
        <f>VLOOKUP(N46,Isolation!$B$32:$R$41,9)</f>
        <v>#N/A</v>
      </c>
      <c r="S46" s="15" t="str">
        <f t="shared" si="3"/>
        <v/>
      </c>
      <c r="U46" s="1898"/>
      <c r="V46" s="681" t="e">
        <f t="shared" si="5"/>
        <v>#N/A</v>
      </c>
      <c r="W46" t="e">
        <v>#N/A</v>
      </c>
      <c r="X46" t="e">
        <v>#N/A</v>
      </c>
      <c r="Y46" t="e">
        <v>#N/A</v>
      </c>
      <c r="Z46" t="e">
        <v>#N/A</v>
      </c>
      <c r="AA46" t="e">
        <v>#N/A</v>
      </c>
      <c r="AB46" t="e">
        <v>#N/A</v>
      </c>
      <c r="AC46" t="e">
        <v>#N/A</v>
      </c>
      <c r="AD46" t="e">
        <v>#N/A</v>
      </c>
      <c r="AE46" s="332" t="e">
        <v>#N/A</v>
      </c>
      <c r="AF46" t="e">
        <v>#N/A</v>
      </c>
      <c r="AG46" s="629" t="e" cm="1">
        <f t="array" ref="AG46">INDEX(W46:AF46,ROWS($1:9))</f>
        <v>#N/A</v>
      </c>
    </row>
    <row r="47" spans="2:33" ht="15" thickBot="1">
      <c r="B47" t="s">
        <v>812</v>
      </c>
      <c r="E47" t="s">
        <v>813</v>
      </c>
      <c r="F47" t="s">
        <v>814</v>
      </c>
      <c r="G47" s="596">
        <f>(Propriété_air!$Q$16*G41^4+Propriété_air!$R$16*G41^3+Propriété_air!$S$16*G41^2+Propriété_air!$T$16*G41+Propriété_air!$U$16)/10^6</f>
        <v>1.3465276468804519E-5</v>
      </c>
      <c r="H47" s="596">
        <f>(Propriété_air!$Q$16*H41^4+Propriété_air!$R$16*H41^3+Propriété_air!$S$16*H41^2+Propriété_air!$T$16*H41+Propriété_air!$U$16)/10^6</f>
        <v>1.3596346859965319E-5</v>
      </c>
      <c r="I47" s="596">
        <f>(Propriété_air!$Q$16*I41^4+Propriété_air!$R$16*I41^3+Propriété_air!$S$16*I41^2+Propriété_air!$T$16*I41+Propriété_air!$U$16)/10^6</f>
        <v>1.3596130800938365E-5</v>
      </c>
      <c r="J47" s="596">
        <f>(Propriété_air!$Q$16*J41^4+Propriété_air!$R$16*J41^3+Propriété_air!$S$16*J41^2+Propriété_air!$T$16*J41+Propriété_air!$U$16)/10^6</f>
        <v>1.3596131312849305E-5</v>
      </c>
      <c r="K47" s="596">
        <f>(Propriété_air!$Q$16*K41^4+Propriété_air!$R$16*K41^3+Propriété_air!$S$16*K41^2+Propriété_air!$T$16*K41+Propriété_air!$U$16)/10^6</f>
        <v>1.3596131311636067E-5</v>
      </c>
      <c r="L47" s="596"/>
      <c r="M47" s="595"/>
      <c r="N47" s="136"/>
      <c r="U47" s="1898"/>
      <c r="V47" s="681" t="e">
        <f t="shared" si="5"/>
        <v>#N/A</v>
      </c>
      <c r="W47" t="e">
        <v>#N/A</v>
      </c>
      <c r="X47" t="e">
        <v>#N/A</v>
      </c>
      <c r="Y47" t="e">
        <v>#N/A</v>
      </c>
      <c r="Z47" t="e">
        <v>#N/A</v>
      </c>
      <c r="AA47" t="e">
        <v>#N/A</v>
      </c>
      <c r="AB47" t="e">
        <v>#N/A</v>
      </c>
      <c r="AC47" t="e">
        <v>#N/A</v>
      </c>
      <c r="AD47" t="e">
        <v>#N/A</v>
      </c>
      <c r="AE47" t="e">
        <v>#N/A</v>
      </c>
      <c r="AF47" s="332" t="e">
        <v>#N/A</v>
      </c>
      <c r="AG47" s="699" t="e" cm="1">
        <f t="array" ref="AG47">INDEX(W47:AF47,ROWS($1:10))</f>
        <v>#N/A</v>
      </c>
    </row>
    <row r="48" spans="2:33">
      <c r="B48" t="s">
        <v>900</v>
      </c>
      <c r="E48" t="s">
        <v>815</v>
      </c>
      <c r="F48" t="s">
        <v>816</v>
      </c>
      <c r="G48" s="136">
        <f>Propriété_air!$Q$4*G41^4+Propriété_air!$R$4*G41^3+Propriété_air!$S$4*G41^2+Propriété_air!$T$4*G41+Propriété_air!$U$4</f>
        <v>1.0045447581006435</v>
      </c>
      <c r="H48" s="136">
        <f>Propriété_air!$Q$4*H41^4+Propriété_air!$R$4*H41^3+Propriété_air!$S$4*H41^2+Propriété_air!$T$4*H41+Propriété_air!$U$4</f>
        <v>1.0045449258176629</v>
      </c>
      <c r="I48" s="136">
        <f>Propriété_air!$Q$4*I41^4+Propriété_air!$R$4*I41^3+Propriété_air!$S$4*I41^2+Propriété_air!$T$4*I41+Propriété_air!$U$4</f>
        <v>1.00454492313879</v>
      </c>
      <c r="J48" s="136">
        <f>Propriété_air!$Q$4*J41^4+Propriété_air!$R$4*J41^3+Propriété_air!$S$4*J41^2+Propriété_air!$T$4*J41+Propriété_air!$U$4</f>
        <v>1.0045449231451278</v>
      </c>
      <c r="K48" s="136">
        <f>Propriété_air!$Q$4*K41^4+Propriété_air!$R$4*K41^3+Propriété_air!$S$4*K41^2+Propriété_air!$T$4*K41+Propriété_air!$U$4</f>
        <v>1.0045449231451127</v>
      </c>
      <c r="L48" s="136"/>
      <c r="M48" s="595"/>
      <c r="N48" s="584"/>
    </row>
    <row r="49" spans="2:33">
      <c r="B49" t="s">
        <v>817</v>
      </c>
      <c r="E49" t="s">
        <v>818</v>
      </c>
      <c r="F49" t="s">
        <v>846</v>
      </c>
      <c r="G49" s="596">
        <f>(Propriété_air!$Q$28*G41^4+Propriété_air!$R$28*G41^3+Propriété_air!$S$28*G41^2+Propriété_air!$T$28*G41+Propriété_air!$U$28)/10^6</f>
        <v>1.8760963114524117E-5</v>
      </c>
      <c r="H49" s="596">
        <f>(Propriété_air!$Q$28*H41^4+Propriété_air!$R$28*H41^3+Propriété_air!$S$28*H41^2+Propriété_air!$T$28*H41+Propriété_air!$U$28)/10^6</f>
        <v>1.895994552306476E-5</v>
      </c>
      <c r="I49" s="596">
        <f>(Propriété_air!$Q$28*I41^4+Propriété_air!$R$28*I41^3+Propriété_air!$S$28*I41^2+Propriété_air!$T$28*I41+Propriété_air!$U$28)/10^6</f>
        <v>1.8959617441145767E-5</v>
      </c>
      <c r="J49" s="596">
        <f>(Propriété_air!$Q$28*J41^4+Propriété_air!$R$28*J41^3+Propriété_air!$S$28*J41^2+Propriété_air!$T$28*J41+Propriété_air!$U$28)/10^6</f>
        <v>1.8959618218473446E-5</v>
      </c>
      <c r="K49" s="596">
        <f>(Propriété_air!$Q$28*K41^4+Propriété_air!$R$28*K41^3+Propriété_air!$S$28*K41^2+Propriété_air!$T$28*K41+Propriété_air!$U$28)/10^6</f>
        <v>1.895961821663117E-5</v>
      </c>
      <c r="L49" s="596"/>
      <c r="M49" s="597"/>
      <c r="N49" s="1896" t="s">
        <v>990</v>
      </c>
      <c r="O49" s="1896"/>
      <c r="P49" s="1896"/>
      <c r="Q49" s="1896"/>
      <c r="R49" s="1896"/>
      <c r="S49" s="1896"/>
      <c r="T49" s="1896"/>
      <c r="U49" s="1896"/>
      <c r="V49" s="1896"/>
      <c r="W49" s="1896"/>
      <c r="X49" s="1896"/>
      <c r="Y49" s="1896"/>
      <c r="Z49" s="1896"/>
      <c r="AA49" s="1896"/>
      <c r="AB49" s="1896"/>
      <c r="AC49" s="1896"/>
      <c r="AD49" s="1896"/>
      <c r="AE49" s="1896"/>
      <c r="AF49" s="1896"/>
      <c r="AG49" s="1896"/>
    </row>
    <row r="50" spans="2:33" ht="16.2">
      <c r="B50" t="s">
        <v>819</v>
      </c>
      <c r="E50" t="s">
        <v>820</v>
      </c>
      <c r="G50" s="603">
        <f>($E$18/1000)*$E$12/G47</f>
        <v>31622.492192156529</v>
      </c>
      <c r="H50" s="603">
        <f t="shared" ref="H50:K50" si="9">($E$18/1000)*$E$12/H47</f>
        <v>31317.647628848892</v>
      </c>
      <c r="I50" s="603">
        <f t="shared" si="9"/>
        <v>31318.145304295842</v>
      </c>
      <c r="J50" s="603">
        <f t="shared" si="9"/>
        <v>31318.144125129445</v>
      </c>
      <c r="K50" s="603">
        <f t="shared" si="9"/>
        <v>31318.14412792409</v>
      </c>
      <c r="L50" s="603"/>
      <c r="M50" s="603"/>
      <c r="N50" s="1902" t="s">
        <v>923</v>
      </c>
      <c r="O50" s="689" t="s">
        <v>993</v>
      </c>
      <c r="P50" s="689" t="s">
        <v>925</v>
      </c>
      <c r="Q50" s="1906" t="s">
        <v>935</v>
      </c>
      <c r="R50" s="689" t="s">
        <v>991</v>
      </c>
      <c r="S50" s="689" t="s">
        <v>922</v>
      </c>
      <c r="W50" s="1901" t="s">
        <v>996</v>
      </c>
      <c r="X50" s="1901"/>
      <c r="Y50" s="1901"/>
      <c r="Z50" s="1901"/>
      <c r="AA50" s="1901"/>
      <c r="AB50" s="1901"/>
      <c r="AC50" s="1901"/>
      <c r="AD50" s="1901"/>
      <c r="AE50" s="1901"/>
      <c r="AF50" s="1901"/>
    </row>
    <row r="51" spans="2:33" ht="16.2">
      <c r="B51" t="s">
        <v>821</v>
      </c>
      <c r="E51" t="s">
        <v>822</v>
      </c>
      <c r="G51" s="603">
        <f>9.81*G45*ABS(G37-$E$11)*($E$18/1000)^3/(G47*G49)</f>
        <v>982530.5848644881</v>
      </c>
      <c r="H51" s="603">
        <f t="shared" ref="H51:K51" si="10">9.81*H45*ABS(H37-$E$11)*($E$18/1000)^3/(H47*H49)</f>
        <v>3798280.6267952388</v>
      </c>
      <c r="I51" s="603">
        <f t="shared" si="10"/>
        <v>3793766.6606065352</v>
      </c>
      <c r="J51" s="603">
        <f t="shared" si="10"/>
        <v>3793777.3560830969</v>
      </c>
      <c r="K51" s="603">
        <f t="shared" si="10"/>
        <v>3793777.3307346059</v>
      </c>
      <c r="L51" s="603"/>
      <c r="M51" s="603"/>
      <c r="N51" s="1902"/>
      <c r="O51" s="690" t="s">
        <v>1005</v>
      </c>
      <c r="P51" s="690" t="s">
        <v>929</v>
      </c>
      <c r="Q51" s="1906"/>
      <c r="R51" s="691" t="s">
        <v>945</v>
      </c>
      <c r="S51" s="690" t="s">
        <v>1001</v>
      </c>
      <c r="W51" s="1894" t="s">
        <v>779</v>
      </c>
      <c r="X51" s="1894"/>
      <c r="Y51" s="1894"/>
      <c r="Z51" s="1894"/>
      <c r="AA51" s="1894"/>
      <c r="AB51" s="1894"/>
      <c r="AC51" s="1894"/>
      <c r="AD51" s="1894"/>
      <c r="AE51" s="1894"/>
      <c r="AF51" s="1894"/>
      <c r="AG51" s="1897" t="s">
        <v>943</v>
      </c>
    </row>
    <row r="52" spans="2:33" ht="15" thickBot="1">
      <c r="N52" s="696" t="e" cm="1" vm="2">
        <f t="array" ref="N52">_xlfn._xlws.FILTER(Isolation!$B$47:$E$56,Isolation!$E$47:'Isolation'!$E$56=P6&amp;"_"&amp;P7)</f>
        <v>#VALUE!</v>
      </c>
      <c r="O52" s="15"/>
      <c r="P52" s="15"/>
      <c r="Q52" s="15"/>
      <c r="R52" s="700" t="e" vm="1">
        <f>VLOOKUP(N52,Isolation!$B$46:$R$576,9)</f>
        <v>#VALUE!</v>
      </c>
      <c r="S52" s="15" t="e" vm="1">
        <f t="shared" ref="S52:S61" si="11">IF(N52="","",AG53)</f>
        <v>#VALUE!</v>
      </c>
      <c r="V52" s="634">
        <f>$E$32</f>
        <v>2171.6188603130026</v>
      </c>
      <c r="W52" s="678" cm="1">
        <f t="array" ref="W52:AF52">TRANSPOSE(P52:P61)</f>
        <v>0</v>
      </c>
      <c r="X52" s="678">
        <v>0</v>
      </c>
      <c r="Y52" s="678">
        <v>0</v>
      </c>
      <c r="Z52" s="678">
        <v>0</v>
      </c>
      <c r="AA52" s="678">
        <v>0</v>
      </c>
      <c r="AB52" s="678">
        <v>0</v>
      </c>
      <c r="AC52" s="678">
        <v>0</v>
      </c>
      <c r="AD52" s="678">
        <v>0</v>
      </c>
      <c r="AE52" s="678">
        <v>0</v>
      </c>
      <c r="AF52" s="678">
        <v>0</v>
      </c>
      <c r="AG52" s="1907"/>
    </row>
    <row r="53" spans="2:33">
      <c r="B53" s="3" t="s">
        <v>901</v>
      </c>
      <c r="N53" s="696"/>
      <c r="O53" s="15"/>
      <c r="P53" s="15"/>
      <c r="Q53" s="15"/>
      <c r="R53" s="700" t="e">
        <f>VLOOKUP(N53,Isolation!$B$46:$R$576,9)</f>
        <v>#N/A</v>
      </c>
      <c r="S53" s="15" t="str">
        <f t="shared" si="11"/>
        <v/>
      </c>
      <c r="U53" s="1898" t="s">
        <v>992</v>
      </c>
      <c r="V53" s="681" t="e" vm="1">
        <f t="shared" ref="V53:V62" si="12">R52</f>
        <v>#VALUE!</v>
      </c>
      <c r="W53" s="332" t="e" vm="1">
        <f t="dataTable" ref="W53:AF62" dt2D="1" dtr="1" r1="E10" r2="E9" ca="1"/>
        <v>#VALUE!</v>
      </c>
      <c r="X53" t="e" vm="1">
        <v>#VALUE!</v>
      </c>
      <c r="Y53" t="e" vm="1">
        <v>#VALUE!</v>
      </c>
      <c r="Z53" t="e" vm="1">
        <v>#VALUE!</v>
      </c>
      <c r="AA53" t="e" vm="1">
        <v>#VALUE!</v>
      </c>
      <c r="AB53" t="e" vm="1">
        <v>#VALUE!</v>
      </c>
      <c r="AC53" t="e" vm="1">
        <v>#VALUE!</v>
      </c>
      <c r="AD53" t="e" vm="1">
        <v>#VALUE!</v>
      </c>
      <c r="AE53" t="e" vm="1">
        <v>#VALUE!</v>
      </c>
      <c r="AF53" t="e" vm="1">
        <v>#VALUE!</v>
      </c>
      <c r="AG53" s="698" t="e" cm="1" vm="1">
        <f t="array" ref="AG53">INDEX(W53:AF53,ROWS($1:1))</f>
        <v>#VALUE!</v>
      </c>
    </row>
    <row r="54" spans="2:33">
      <c r="B54" t="s">
        <v>823</v>
      </c>
      <c r="E54" t="s">
        <v>824</v>
      </c>
      <c r="F54" t="s">
        <v>847</v>
      </c>
      <c r="G54" s="136">
        <f>'Facteurs conversion'!$C$30*$E$16*((G37+273.15)^4-($E$11+273.15)^4)/((G37+273.15)-($E$11+273.15))</f>
        <v>4.1641665002390642</v>
      </c>
      <c r="H54" s="136">
        <f>'Facteurs conversion'!$C$30*$E$16*((H37+273.15)^4-($E$11+273.15)^4)/((H37+273.15)-($E$11+273.15))</f>
        <v>4.2325511355101888</v>
      </c>
      <c r="I54" s="136">
        <f>'Facteurs conversion'!$C$30*$E$16*((I37+273.15)^4-($E$11+273.15)^4)/((I37+273.15)-($E$11+273.15))</f>
        <v>4.23243781338443</v>
      </c>
      <c r="J54" s="136">
        <f>'Facteurs conversion'!$C$30*$E$16*((J37+273.15)^4-($E$11+273.15)^4)/((J37+273.15)-($E$11+273.15))</f>
        <v>4.2324380818774152</v>
      </c>
      <c r="K54" s="136">
        <f>'Facteurs conversion'!$C$30*$E$16*((K37+273.15)^4-($E$11+273.15)^4)/((K37+273.15)-($E$11+273.15))</f>
        <v>4.2324380812410913</v>
      </c>
      <c r="L54" s="136"/>
      <c r="M54" s="595"/>
      <c r="N54" s="696"/>
      <c r="O54" s="15"/>
      <c r="P54" s="15"/>
      <c r="Q54" s="15"/>
      <c r="R54" s="700" t="e">
        <f>VLOOKUP(N54,Isolation!$B$46:$R$576,9)</f>
        <v>#N/A</v>
      </c>
      <c r="S54" s="15" t="str">
        <f t="shared" si="11"/>
        <v/>
      </c>
      <c r="U54" s="1898"/>
      <c r="V54" s="681" t="e">
        <f t="shared" si="12"/>
        <v>#N/A</v>
      </c>
      <c r="W54" t="e">
        <v>#N/A</v>
      </c>
      <c r="X54" s="332" t="e">
        <v>#N/A</v>
      </c>
      <c r="Y54" t="e">
        <v>#N/A</v>
      </c>
      <c r="Z54" t="e">
        <v>#N/A</v>
      </c>
      <c r="AA54" t="e">
        <v>#N/A</v>
      </c>
      <c r="AB54" t="e">
        <v>#N/A</v>
      </c>
      <c r="AC54" t="e">
        <v>#N/A</v>
      </c>
      <c r="AD54" t="e">
        <v>#N/A</v>
      </c>
      <c r="AE54" t="e">
        <v>#N/A</v>
      </c>
      <c r="AF54" t="e">
        <v>#N/A</v>
      </c>
      <c r="AG54" s="629" t="e" cm="1">
        <f t="array" ref="AG54">INDEX(W54:AF54,ROWS($1:2))</f>
        <v>#N/A</v>
      </c>
    </row>
    <row r="55" spans="2:33">
      <c r="B55" t="s">
        <v>825</v>
      </c>
      <c r="N55" s="696"/>
      <c r="O55" s="15"/>
      <c r="P55" s="15"/>
      <c r="Q55" s="15"/>
      <c r="R55" s="700" t="e">
        <f>VLOOKUP(N55,Isolation!$B$46:$R$576,9)</f>
        <v>#N/A</v>
      </c>
      <c r="S55" s="15" t="str">
        <f t="shared" si="11"/>
        <v/>
      </c>
      <c r="U55" s="1898"/>
      <c r="V55" s="681" t="e">
        <f t="shared" si="12"/>
        <v>#N/A</v>
      </c>
      <c r="W55" t="e">
        <v>#N/A</v>
      </c>
      <c r="X55" t="e">
        <v>#N/A</v>
      </c>
      <c r="Y55" s="332" t="e">
        <v>#N/A</v>
      </c>
      <c r="Z55" t="e">
        <v>#N/A</v>
      </c>
      <c r="AA55" t="e">
        <v>#N/A</v>
      </c>
      <c r="AB55" t="e">
        <v>#N/A</v>
      </c>
      <c r="AC55" t="e">
        <v>#N/A</v>
      </c>
      <c r="AD55" t="e">
        <v>#N/A</v>
      </c>
      <c r="AE55" t="e">
        <v>#N/A</v>
      </c>
      <c r="AF55" t="e">
        <v>#N/A</v>
      </c>
      <c r="AG55" s="629" t="e" cm="1">
        <f t="array" ref="AG55">INDEX(W55:AF55,ROWS($1:3))</f>
        <v>#N/A</v>
      </c>
    </row>
    <row r="56" spans="2:33">
      <c r="B56" t="s">
        <v>902</v>
      </c>
      <c r="E56" t="s">
        <v>826</v>
      </c>
      <c r="G56" s="593">
        <f>0.3+(0.62*G50^0.5*G44^(1/3))*(1+(G50/282000)^(5/8))^(4/5)/(1 + (0.4/G44)^(2/3))^(1/4)</f>
        <v>104.10660153863599</v>
      </c>
      <c r="H56" s="593">
        <f>0.3+(0.62*H50^0.5*H44^(1/3))*(1+(H50/282000)^(5/8))^(4/5)/(1 + (0.4/H44)^(2/3))^(1/4)</f>
        <v>103.47995987367165</v>
      </c>
      <c r="I56" s="593">
        <f t="shared" ref="I56:K56" si="13">0.3+(0.62*I50^0.5*I44^(1/3))*(1+(I50/282000)^(5/8))^(4/5)/(1 + (0.4/I44)^(2/3))^(1/4)</f>
        <v>103.48098434049925</v>
      </c>
      <c r="J56" s="593">
        <f t="shared" si="13"/>
        <v>103.48098191318627</v>
      </c>
      <c r="K56" s="593">
        <f t="shared" si="13"/>
        <v>103.48098191893902</v>
      </c>
      <c r="L56" s="593"/>
      <c r="M56" s="593"/>
      <c r="N56" s="696"/>
      <c r="O56" s="15"/>
      <c r="P56" s="15"/>
      <c r="Q56" s="15"/>
      <c r="R56" s="700" t="e">
        <f>VLOOKUP(N56,Isolation!$B$46:$R$576,9)</f>
        <v>#N/A</v>
      </c>
      <c r="S56" s="15" t="str">
        <f t="shared" si="11"/>
        <v/>
      </c>
      <c r="U56" s="1898"/>
      <c r="V56" s="681" t="e">
        <f t="shared" si="12"/>
        <v>#N/A</v>
      </c>
      <c r="W56" t="e">
        <v>#N/A</v>
      </c>
      <c r="X56" t="e">
        <v>#N/A</v>
      </c>
      <c r="Y56" t="e">
        <v>#N/A</v>
      </c>
      <c r="Z56" s="332" t="e">
        <v>#N/A</v>
      </c>
      <c r="AA56" t="e">
        <v>#N/A</v>
      </c>
      <c r="AB56" t="e">
        <v>#N/A</v>
      </c>
      <c r="AC56" t="e">
        <v>#N/A</v>
      </c>
      <c r="AD56" t="e">
        <v>#N/A</v>
      </c>
      <c r="AE56" t="e">
        <v>#N/A</v>
      </c>
      <c r="AF56" t="e">
        <v>#N/A</v>
      </c>
      <c r="AG56" s="629" t="e" cm="1">
        <f t="array" ref="AG56">INDEX(W56:AF56,ROWS($1:4))</f>
        <v>#N/A</v>
      </c>
    </row>
    <row r="57" spans="2:33">
      <c r="E57" t="s">
        <v>827</v>
      </c>
      <c r="F57" t="s">
        <v>847</v>
      </c>
      <c r="G57" s="136">
        <f>G56*G42/($E$18/1000)</f>
        <v>13.179759282726147</v>
      </c>
      <c r="H57" s="136">
        <f t="shared" ref="H57:K57" si="14">H56*H42/($E$18/1000)</f>
        <v>13.165440812555396</v>
      </c>
      <c r="I57" s="136">
        <f t="shared" si="14"/>
        <v>13.165464244940088</v>
      </c>
      <c r="J57" s="136">
        <f t="shared" si="14"/>
        <v>13.165464189420831</v>
      </c>
      <c r="K57" s="136">
        <f t="shared" si="14"/>
        <v>13.165464189552409</v>
      </c>
      <c r="L57" s="136"/>
      <c r="M57" s="595"/>
      <c r="N57" s="696"/>
      <c r="O57" s="15"/>
      <c r="P57" s="15"/>
      <c r="Q57" s="15"/>
      <c r="R57" s="700" t="e">
        <f>VLOOKUP(N57,Isolation!$B$46:$R$576,9)</f>
        <v>#N/A</v>
      </c>
      <c r="S57" s="15" t="str">
        <f t="shared" si="11"/>
        <v/>
      </c>
      <c r="U57" s="1898"/>
      <c r="V57" s="681" t="e">
        <f t="shared" si="12"/>
        <v>#N/A</v>
      </c>
      <c r="W57" t="e">
        <v>#N/A</v>
      </c>
      <c r="X57" t="e">
        <v>#N/A</v>
      </c>
      <c r="Y57" t="e">
        <v>#N/A</v>
      </c>
      <c r="Z57" t="e">
        <v>#N/A</v>
      </c>
      <c r="AA57" s="332" t="e">
        <v>#N/A</v>
      </c>
      <c r="AB57" t="e">
        <v>#N/A</v>
      </c>
      <c r="AC57" t="e">
        <v>#N/A</v>
      </c>
      <c r="AD57" t="e">
        <v>#N/A</v>
      </c>
      <c r="AE57" t="e">
        <v>#N/A</v>
      </c>
      <c r="AF57" t="e">
        <v>#N/A</v>
      </c>
      <c r="AG57" s="629" t="e" cm="1">
        <f t="array" ref="AG57">INDEX(W57:AF57,ROWS($1:5))</f>
        <v>#N/A</v>
      </c>
    </row>
    <row r="58" spans="2:33">
      <c r="B58" t="s">
        <v>828</v>
      </c>
      <c r="E58" t="s">
        <v>829</v>
      </c>
      <c r="G58" s="136">
        <f>(0.6 + 0.387*G51^(1/6)/( 1 +(0.559/G44)^(9/16))^(8/27))^2</f>
        <v>14.476764421837411</v>
      </c>
      <c r="H58" s="136">
        <f t="shared" ref="H58:K58" si="15">(0.6 + 0.387*H51^(1/6)/( 1 +(0.559/H44)^(9/16))^(8/27))^2</f>
        <v>21.296018913610354</v>
      </c>
      <c r="I58" s="136">
        <f t="shared" si="15"/>
        <v>21.288679248979996</v>
      </c>
      <c r="J58" s="136">
        <f t="shared" si="15"/>
        <v>21.288696646827795</v>
      </c>
      <c r="K58" s="136">
        <f t="shared" si="15"/>
        <v>21.288696605594602</v>
      </c>
      <c r="L58" s="136"/>
      <c r="M58" s="136"/>
      <c r="N58" s="696"/>
      <c r="O58" s="15"/>
      <c r="P58" s="15"/>
      <c r="Q58" s="15"/>
      <c r="R58" s="700" t="e">
        <f>VLOOKUP(N58,Isolation!$B$46:$R$576,9)</f>
        <v>#N/A</v>
      </c>
      <c r="S58" s="15" t="str">
        <f t="shared" si="11"/>
        <v/>
      </c>
      <c r="U58" s="1898"/>
      <c r="V58" s="681" t="e">
        <f t="shared" si="12"/>
        <v>#N/A</v>
      </c>
      <c r="W58" t="e">
        <v>#N/A</v>
      </c>
      <c r="X58" t="e">
        <v>#N/A</v>
      </c>
      <c r="Y58" t="e">
        <v>#N/A</v>
      </c>
      <c r="Z58" t="e">
        <v>#N/A</v>
      </c>
      <c r="AA58" t="e">
        <v>#N/A</v>
      </c>
      <c r="AB58" s="332" t="e">
        <v>#N/A</v>
      </c>
      <c r="AC58" t="e">
        <v>#N/A</v>
      </c>
      <c r="AD58" t="e">
        <v>#N/A</v>
      </c>
      <c r="AE58" t="e">
        <v>#N/A</v>
      </c>
      <c r="AF58" t="e">
        <v>#N/A</v>
      </c>
      <c r="AG58" s="629" t="e" cm="1">
        <f t="array" ref="AG58">INDEX(W58:AF58,ROWS($1:6))</f>
        <v>#N/A</v>
      </c>
    </row>
    <row r="59" spans="2:33">
      <c r="E59" t="s">
        <v>830</v>
      </c>
      <c r="F59" t="s">
        <v>847</v>
      </c>
      <c r="G59" s="136">
        <f>G58*G42/($E$18/1000)</f>
        <v>1.83273939839196</v>
      </c>
      <c r="H59" s="136">
        <f t="shared" ref="H59:K59" si="16">H58*H42/($E$18/1000)</f>
        <v>2.7094277664242901</v>
      </c>
      <c r="I59" s="136">
        <f t="shared" si="16"/>
        <v>2.7084719696153203</v>
      </c>
      <c r="J59" s="136">
        <f t="shared" si="16"/>
        <v>2.7084742351825324</v>
      </c>
      <c r="K59" s="136">
        <f t="shared" si="16"/>
        <v>2.7084742298130999</v>
      </c>
      <c r="L59" s="136"/>
      <c r="M59" s="595"/>
      <c r="N59" s="696"/>
      <c r="O59" s="15"/>
      <c r="P59" s="15"/>
      <c r="Q59" s="15"/>
      <c r="R59" s="700" t="e">
        <f>VLOOKUP(N59,Isolation!$B$46:$R$576,9)</f>
        <v>#N/A</v>
      </c>
      <c r="S59" s="15" t="str">
        <f t="shared" si="11"/>
        <v/>
      </c>
      <c r="U59" s="1898"/>
      <c r="V59" s="681" t="e">
        <f t="shared" si="12"/>
        <v>#N/A</v>
      </c>
      <c r="W59" t="e">
        <v>#N/A</v>
      </c>
      <c r="X59" t="e">
        <v>#N/A</v>
      </c>
      <c r="Y59" t="e">
        <v>#N/A</v>
      </c>
      <c r="Z59" t="e">
        <v>#N/A</v>
      </c>
      <c r="AA59" t="e">
        <v>#N/A</v>
      </c>
      <c r="AB59" t="e">
        <v>#N/A</v>
      </c>
      <c r="AC59" s="332" t="e">
        <v>#N/A</v>
      </c>
      <c r="AD59" t="e">
        <v>#N/A</v>
      </c>
      <c r="AE59" t="e">
        <v>#N/A</v>
      </c>
      <c r="AF59" t="e">
        <v>#N/A</v>
      </c>
      <c r="AG59" s="629" t="e" cm="1">
        <f t="array" ref="AG59">INDEX(W59:AF59,ROWS($1:7))</f>
        <v>#N/A</v>
      </c>
    </row>
    <row r="60" spans="2:33">
      <c r="B60" t="s">
        <v>903</v>
      </c>
      <c r="E60" t="s">
        <v>831</v>
      </c>
      <c r="G60" s="593">
        <f>(G56^4+G58^4)^(1/4)</f>
        <v>104.11633193075507</v>
      </c>
      <c r="H60" s="593">
        <f t="shared" ref="H60:K60" si="17">(H56^4+H58^4)^(1/4)</f>
        <v>103.52633370957156</v>
      </c>
      <c r="I60" s="593">
        <f t="shared" si="17"/>
        <v>103.5272929472366</v>
      </c>
      <c r="J60" s="593">
        <f t="shared" si="17"/>
        <v>103.52729067445807</v>
      </c>
      <c r="K60" s="593">
        <f t="shared" si="17"/>
        <v>103.52729067984464</v>
      </c>
      <c r="L60" s="593"/>
      <c r="M60" s="593"/>
      <c r="N60" s="696"/>
      <c r="O60" s="15"/>
      <c r="P60" s="15"/>
      <c r="Q60" s="15"/>
      <c r="R60" s="700" t="e">
        <f>VLOOKUP(N60,Isolation!$B$46:$R$576,9)</f>
        <v>#N/A</v>
      </c>
      <c r="S60" s="15" t="str">
        <f t="shared" si="11"/>
        <v/>
      </c>
      <c r="U60" s="1898"/>
      <c r="V60" s="681" t="e">
        <f t="shared" si="12"/>
        <v>#N/A</v>
      </c>
      <c r="W60" t="e">
        <v>#N/A</v>
      </c>
      <c r="X60" t="e">
        <v>#N/A</v>
      </c>
      <c r="Y60" t="e">
        <v>#N/A</v>
      </c>
      <c r="Z60" t="e">
        <v>#N/A</v>
      </c>
      <c r="AA60" t="e">
        <v>#N/A</v>
      </c>
      <c r="AB60" t="e">
        <v>#N/A</v>
      </c>
      <c r="AC60" t="e">
        <v>#N/A</v>
      </c>
      <c r="AD60" s="332" t="e">
        <v>#N/A</v>
      </c>
      <c r="AE60" t="e">
        <v>#N/A</v>
      </c>
      <c r="AF60" t="e">
        <v>#N/A</v>
      </c>
      <c r="AG60" s="629" t="e" cm="1">
        <f t="array" ref="AG60">INDEX(W60:AF60,ROWS($1:8))</f>
        <v>#N/A</v>
      </c>
    </row>
    <row r="61" spans="2:33">
      <c r="E61" t="s">
        <v>832</v>
      </c>
      <c r="F61" t="s">
        <v>847</v>
      </c>
      <c r="G61" s="136">
        <f>G60*G42/($E$18/1000)</f>
        <v>13.180991137612969</v>
      </c>
      <c r="H61" s="136">
        <f t="shared" ref="H61:K61" si="18">H60*H42/($E$18/1000)</f>
        <v>13.171340814763909</v>
      </c>
      <c r="I61" s="136">
        <f t="shared" si="18"/>
        <v>13.171355900398519</v>
      </c>
      <c r="J61" s="136">
        <f t="shared" si="18"/>
        <v>13.171355864653405</v>
      </c>
      <c r="K61" s="136">
        <f t="shared" si="18"/>
        <v>13.171355864738128</v>
      </c>
      <c r="L61" s="136"/>
      <c r="M61" s="136"/>
      <c r="N61" s="696"/>
      <c r="O61" s="15"/>
      <c r="P61" s="15"/>
      <c r="Q61" s="15"/>
      <c r="R61" s="700" t="e">
        <f>VLOOKUP(N61,Isolation!$B$46:$R$576,9)</f>
        <v>#N/A</v>
      </c>
      <c r="S61" s="15" t="str">
        <f t="shared" si="11"/>
        <v/>
      </c>
      <c r="U61" s="1898"/>
      <c r="V61" s="681" t="e">
        <f t="shared" si="12"/>
        <v>#N/A</v>
      </c>
      <c r="W61" t="e">
        <v>#N/A</v>
      </c>
      <c r="X61" t="e">
        <v>#N/A</v>
      </c>
      <c r="Y61" t="e">
        <v>#N/A</v>
      </c>
      <c r="Z61" t="e">
        <v>#N/A</v>
      </c>
      <c r="AA61" t="e">
        <v>#N/A</v>
      </c>
      <c r="AB61" t="e">
        <v>#N/A</v>
      </c>
      <c r="AC61" t="e">
        <v>#N/A</v>
      </c>
      <c r="AD61" t="e">
        <v>#N/A</v>
      </c>
      <c r="AE61" s="332" t="e">
        <v>#N/A</v>
      </c>
      <c r="AF61" t="e">
        <v>#N/A</v>
      </c>
      <c r="AG61" s="629" t="e" cm="1">
        <f t="array" ref="AG61">INDEX(W61:AF61,ROWS($1:9))</f>
        <v>#N/A</v>
      </c>
    </row>
    <row r="62" spans="2:33" ht="15" thickBot="1">
      <c r="B62" t="s">
        <v>904</v>
      </c>
      <c r="E62" t="s">
        <v>833</v>
      </c>
      <c r="F62" t="s">
        <v>847</v>
      </c>
      <c r="G62" s="136">
        <f>G61+G54</f>
        <v>17.345157637852033</v>
      </c>
      <c r="H62" s="136">
        <f t="shared" ref="H62:K62" si="19">H61+H54</f>
        <v>17.403891950274097</v>
      </c>
      <c r="I62" s="136">
        <f t="shared" si="19"/>
        <v>17.403793713782949</v>
      </c>
      <c r="J62" s="136">
        <f t="shared" si="19"/>
        <v>17.403793946530818</v>
      </c>
      <c r="K62" s="136">
        <f t="shared" si="19"/>
        <v>17.403793945979221</v>
      </c>
      <c r="L62" s="136"/>
      <c r="M62" s="136"/>
      <c r="N62" s="136"/>
      <c r="U62" s="1898"/>
      <c r="V62" s="681" t="e">
        <f t="shared" si="12"/>
        <v>#N/A</v>
      </c>
      <c r="W62" t="e">
        <v>#N/A</v>
      </c>
      <c r="X62" t="e">
        <v>#N/A</v>
      </c>
      <c r="Y62" t="e">
        <v>#N/A</v>
      </c>
      <c r="Z62" t="e">
        <v>#N/A</v>
      </c>
      <c r="AA62" t="e">
        <v>#N/A</v>
      </c>
      <c r="AB62" t="e">
        <v>#N/A</v>
      </c>
      <c r="AC62" t="e">
        <v>#N/A</v>
      </c>
      <c r="AD62" t="e">
        <v>#N/A</v>
      </c>
      <c r="AE62" t="e">
        <v>#N/A</v>
      </c>
      <c r="AF62" s="332" t="e">
        <v>#N/A</v>
      </c>
      <c r="AG62" s="699" t="e" cm="1">
        <f t="array" ref="AG62">INDEX(W62:AF62,ROWS($1:10))</f>
        <v>#N/A</v>
      </c>
    </row>
    <row r="63" spans="2:33">
      <c r="B63" s="3" t="s">
        <v>905</v>
      </c>
      <c r="G63" s="136"/>
      <c r="H63" s="136"/>
      <c r="I63" s="136"/>
      <c r="J63" s="136"/>
      <c r="K63" s="136"/>
      <c r="N63" s="602"/>
      <c r="O63" s="602"/>
      <c r="P63" s="602"/>
      <c r="Q63" s="602"/>
      <c r="R63" s="602"/>
    </row>
    <row r="64" spans="2:33">
      <c r="B64" t="s">
        <v>896</v>
      </c>
      <c r="E64" t="s">
        <v>834</v>
      </c>
      <c r="F64" t="s">
        <v>805</v>
      </c>
      <c r="G64" s="136">
        <f>Propriété_matériau!$G$9*($E$10+273.15)^3+Propriété_matériau!$H$9*($E$10+273.15)^2+Propriété_matériau!$I$9*($E$10+273.15)+Propriété_matériau!$J$9</f>
        <v>60.381356365592872</v>
      </c>
      <c r="H64" s="136">
        <f>Propriété_matériau!$G$9*($E$10+273.15)^3+Propriété_matériau!$H$9*($E$10+273.15)^2+Propriété_matériau!$I$9*($E$10+273.15)+Propriété_matériau!$J$9</f>
        <v>60.381356365592872</v>
      </c>
      <c r="I64" s="136">
        <f>Propriété_matériau!$G$9*($E$10+273.15)^3+Propriété_matériau!$H$9*($E$10+273.15)^2+Propriété_matériau!$I$9*($E$10+273.15)+Propriété_matériau!$J$9</f>
        <v>60.381356365592872</v>
      </c>
      <c r="J64" s="136">
        <f>Propriété_matériau!$G$9*($E$10+273.15)^3+Propriété_matériau!$H$9*($E$10+273.15)^2+Propriété_matériau!$I$9*($E$10+273.15)+Propriété_matériau!$J$9</f>
        <v>60.381356365592872</v>
      </c>
      <c r="K64" s="136">
        <f>Propriété_matériau!$G$9*($E$10+273.15)^3+Propriété_matériau!$H$9*($E$10+273.15)^2+Propriété_matériau!$I$9*($E$10+273.15)+Propriété_matériau!$J$9</f>
        <v>60.381356365592872</v>
      </c>
      <c r="L64" s="136"/>
      <c r="M64" s="136"/>
      <c r="N64" s="1896" t="s">
        <v>1243</v>
      </c>
      <c r="O64" s="1896"/>
      <c r="P64" s="1896"/>
      <c r="Q64" s="1896"/>
      <c r="R64" s="1896"/>
      <c r="S64" s="1896"/>
      <c r="T64" s="1896"/>
      <c r="U64" s="1896"/>
      <c r="V64" s="1896"/>
      <c r="W64" s="1896"/>
      <c r="X64" s="1896"/>
      <c r="Y64" s="1896"/>
      <c r="Z64" s="1896"/>
      <c r="AA64" s="1896"/>
      <c r="AB64" s="1896"/>
      <c r="AC64" s="1896"/>
      <c r="AD64" s="1896"/>
      <c r="AE64" s="1896"/>
      <c r="AF64" s="1896"/>
      <c r="AG64" s="1896"/>
    </row>
    <row r="65" spans="2:33" ht="16.2">
      <c r="B65" t="s">
        <v>906</v>
      </c>
      <c r="E65" t="s">
        <v>835</v>
      </c>
      <c r="F65" t="s">
        <v>848</v>
      </c>
      <c r="G65" s="601">
        <f>($E$18/1000)*LN($E$9/$E$8)/(2*G64)</f>
        <v>2.7276881455942807E-5</v>
      </c>
      <c r="H65" s="601">
        <f t="shared" ref="H65:K65" si="20">($E$18/1000)*LN($E$9/$E$8)/(2*H64)</f>
        <v>2.7276881455942807E-5</v>
      </c>
      <c r="I65" s="601">
        <f t="shared" si="20"/>
        <v>2.7276881455942807E-5</v>
      </c>
      <c r="J65" s="601">
        <f t="shared" si="20"/>
        <v>2.7276881455942807E-5</v>
      </c>
      <c r="K65" s="601">
        <f t="shared" si="20"/>
        <v>2.7276881455942807E-5</v>
      </c>
      <c r="L65" s="601"/>
      <c r="M65" s="601"/>
      <c r="N65" s="1902" t="s">
        <v>923</v>
      </c>
      <c r="O65" s="689" t="s">
        <v>993</v>
      </c>
      <c r="P65" s="689" t="s">
        <v>925</v>
      </c>
      <c r="Q65" s="1903" t="s">
        <v>935</v>
      </c>
      <c r="R65" s="689" t="s">
        <v>991</v>
      </c>
      <c r="S65" s="689" t="s">
        <v>922</v>
      </c>
      <c r="W65" s="1901" t="s">
        <v>996</v>
      </c>
      <c r="X65" s="1901"/>
      <c r="Y65" s="1901"/>
      <c r="Z65" s="1901"/>
      <c r="AA65" s="1901"/>
      <c r="AB65" s="1901"/>
      <c r="AC65" s="1901"/>
      <c r="AD65" s="1901"/>
      <c r="AE65" s="1901"/>
      <c r="AF65" s="1901"/>
    </row>
    <row r="66" spans="2:33" ht="16.2">
      <c r="B66" s="3" t="s">
        <v>907</v>
      </c>
      <c r="N66" s="1902"/>
      <c r="O66" s="690" t="s">
        <v>1005</v>
      </c>
      <c r="P66" s="690" t="s">
        <v>929</v>
      </c>
      <c r="Q66" s="1904"/>
      <c r="R66" s="691" t="s">
        <v>945</v>
      </c>
      <c r="S66" s="690" t="s">
        <v>1001</v>
      </c>
      <c r="W66" s="1894" t="s">
        <v>779</v>
      </c>
      <c r="X66" s="1894"/>
      <c r="Y66" s="1894"/>
      <c r="Z66" s="1894"/>
      <c r="AA66" s="1894"/>
      <c r="AB66" s="1894"/>
      <c r="AC66" s="1894"/>
      <c r="AD66" s="1894"/>
      <c r="AE66" s="1894"/>
      <c r="AF66" s="1894"/>
      <c r="AG66" s="1897" t="s">
        <v>943</v>
      </c>
    </row>
    <row r="67" spans="2:33" ht="15" thickBot="1">
      <c r="B67" t="s">
        <v>908</v>
      </c>
      <c r="F67" t="s">
        <v>803</v>
      </c>
      <c r="G67">
        <f>(G37+G38)/2+273.15</f>
        <v>319.60952380952381</v>
      </c>
      <c r="H67">
        <f t="shared" ref="H67:K67" si="21">(H37+H38)/2+273.15</f>
        <v>321.59171413282183</v>
      </c>
      <c r="I67">
        <f t="shared" si="21"/>
        <v>321.58927197306815</v>
      </c>
      <c r="J67">
        <f t="shared" si="21"/>
        <v>321.58927775710106</v>
      </c>
      <c r="K67">
        <f t="shared" si="21"/>
        <v>321.58927774339276</v>
      </c>
      <c r="L67" s="136"/>
      <c r="M67" s="136"/>
      <c r="N67" s="696" t="e" cm="1" vm="2">
        <f t="array" ref="N67">_xlfn._xlws.FILTER(Isolation!B62:E71,Isolation!E62:E71=P6&amp;"_"&amp;P7)</f>
        <v>#VALUE!</v>
      </c>
      <c r="O67" s="15"/>
      <c r="P67" s="15"/>
      <c r="Q67" s="15"/>
      <c r="R67" s="700" t="e" vm="1">
        <f>VLOOKUP(N67,Isolation!B62:R71,9)</f>
        <v>#VALUE!</v>
      </c>
      <c r="S67" s="15" t="e" vm="1">
        <f>IF(N67="","",AG68)</f>
        <v>#VALUE!</v>
      </c>
      <c r="V67" s="634">
        <f>$E$32</f>
        <v>2171.6188603130026</v>
      </c>
      <c r="W67" s="678" cm="1">
        <f t="array" ref="W67:AF67">TRANSPOSE(P67:P76)</f>
        <v>0</v>
      </c>
      <c r="X67" s="678">
        <v>0</v>
      </c>
      <c r="Y67" s="678">
        <v>0</v>
      </c>
      <c r="Z67" s="678">
        <v>0</v>
      </c>
      <c r="AA67" s="678">
        <v>0</v>
      </c>
      <c r="AB67" s="678">
        <v>0</v>
      </c>
      <c r="AC67" s="678">
        <v>0</v>
      </c>
      <c r="AD67" s="678">
        <v>0</v>
      </c>
      <c r="AE67" s="678">
        <v>0</v>
      </c>
      <c r="AF67" s="678">
        <v>0</v>
      </c>
      <c r="AG67" s="1897"/>
    </row>
    <row r="68" spans="2:33">
      <c r="B68" t="s">
        <v>896</v>
      </c>
      <c r="E68" t="s">
        <v>836</v>
      </c>
      <c r="F68" t="s">
        <v>805</v>
      </c>
      <c r="G68" s="601">
        <f>Propriété_matériau!$G$18*G67^4+Propriété_matériau!$H$18*G67^3+Propriété_matériau!$I$18*G67^2+Propriété_matériau!$J$18*G67+Propriété_matériau!$K$18</f>
        <v>5.5626505671278359E-2</v>
      </c>
      <c r="H68" s="601">
        <f>Propriété_matériau!$G$18*H67^4+Propriété_matériau!$H$18*H67^3+Propriété_matériau!$I$18*H67^2+Propriété_matériau!$J$18*H67+Propriété_matériau!$K$18</f>
        <v>5.5743163565072543E-2</v>
      </c>
      <c r="I68" s="601">
        <f>Propriété_matériau!$G$18*I67^4+Propriété_matériau!$H$18*I67^3+Propriété_matériau!$I$18*I67^2+Propriété_matériau!$J$18*I67+Propriété_matériau!$K$18</f>
        <v>5.5743018806678736E-2</v>
      </c>
      <c r="J68" s="601">
        <f>Propriété_matériau!$G$18*J67^4+Propriété_matériau!$H$18*J67^3+Propriété_matériau!$I$18*J67^2+Propriété_matériau!$J$18*J67+Propriété_matériau!$K$18</f>
        <v>5.5743019149522816E-2</v>
      </c>
      <c r="K68" s="601">
        <f>Propriété_matériau!$G$18*K67^4+Propriété_matériau!$H$18*K67^3+Propriété_matériau!$I$18*K67^2+Propriété_matériau!$J$18*K67+Propriété_matériau!$K$18</f>
        <v>5.574301914871025E-2</v>
      </c>
      <c r="L68" s="601"/>
      <c r="M68" s="601"/>
      <c r="N68" s="696"/>
      <c r="O68" s="15"/>
      <c r="P68" s="15"/>
      <c r="Q68" s="15"/>
      <c r="R68" s="700" t="e">
        <f>VLOOKUP(N68,Isolation!B63:R72,9)</f>
        <v>#N/A</v>
      </c>
      <c r="S68" s="15" t="str">
        <f t="shared" ref="S68:S76" si="22">IF(N68="","",AG69)</f>
        <v/>
      </c>
      <c r="U68" s="1898" t="s">
        <v>992</v>
      </c>
      <c r="V68" s="681" t="e" vm="1">
        <f>R67</f>
        <v>#VALUE!</v>
      </c>
      <c r="W68" s="332" t="e" vm="1">
        <f t="dataTable" ref="W68:AF77" dt2D="1" dtr="1" r1="E10" r2="E9" ca="1"/>
        <v>#VALUE!</v>
      </c>
      <c r="X68" t="e" vm="1">
        <v>#VALUE!</v>
      </c>
      <c r="Y68" t="e" vm="1">
        <v>#VALUE!</v>
      </c>
      <c r="Z68" t="e" vm="1">
        <v>#VALUE!</v>
      </c>
      <c r="AA68" t="e" vm="1">
        <v>#VALUE!</v>
      </c>
      <c r="AB68" t="e" vm="1">
        <v>#VALUE!</v>
      </c>
      <c r="AC68" t="e" vm="1">
        <v>#VALUE!</v>
      </c>
      <c r="AD68" t="e" vm="1">
        <v>#VALUE!</v>
      </c>
      <c r="AE68" t="e" vm="1">
        <v>#VALUE!</v>
      </c>
      <c r="AF68" t="e" vm="1">
        <v>#VALUE!</v>
      </c>
      <c r="AG68" s="698" t="e" cm="1" vm="1">
        <f t="array" ref="AG68">INDEX(W68:AF68,ROWS($1:1))</f>
        <v>#VALUE!</v>
      </c>
    </row>
    <row r="69" spans="2:33">
      <c r="B69" t="s">
        <v>907</v>
      </c>
      <c r="E69" t="s">
        <v>837</v>
      </c>
      <c r="F69" t="s">
        <v>848</v>
      </c>
      <c r="G69" s="136">
        <f>($E$18/1000)*LN($E$18/$E$9)/(2*G68)</f>
        <v>1.3050224723166335</v>
      </c>
      <c r="H69" s="136">
        <f t="shared" ref="H69:K69" si="23">($E$18/1000)*LN($E$18/$E$9)/(2*H68)</f>
        <v>1.3022913540370473</v>
      </c>
      <c r="I69" s="136">
        <f t="shared" si="23"/>
        <v>1.3022947359422385</v>
      </c>
      <c r="J69" s="136">
        <f t="shared" si="23"/>
        <v>1.3022947279325532</v>
      </c>
      <c r="K69" s="136">
        <f t="shared" si="23"/>
        <v>1.3022947279515367</v>
      </c>
      <c r="L69" s="136"/>
      <c r="M69" s="136"/>
      <c r="N69" s="696"/>
      <c r="O69" s="15"/>
      <c r="P69" s="15"/>
      <c r="Q69" s="15"/>
      <c r="R69" s="700" t="e">
        <f>VLOOKUP(N69,Isolation!B64:R73,9)</f>
        <v>#N/A</v>
      </c>
      <c r="S69" s="15" t="str">
        <f t="shared" si="22"/>
        <v/>
      </c>
      <c r="U69" s="1898"/>
      <c r="V69" s="681" t="e">
        <f t="shared" ref="V69:V77" si="24">R68</f>
        <v>#N/A</v>
      </c>
      <c r="W69" t="e">
        <v>#N/A</v>
      </c>
      <c r="X69" s="332" t="e">
        <v>#N/A</v>
      </c>
      <c r="Y69" t="e">
        <v>#N/A</v>
      </c>
      <c r="Z69" t="e">
        <v>#N/A</v>
      </c>
      <c r="AA69" t="e">
        <v>#N/A</v>
      </c>
      <c r="AB69" t="e">
        <v>#N/A</v>
      </c>
      <c r="AC69" t="e">
        <v>#N/A</v>
      </c>
      <c r="AD69" t="e">
        <v>#N/A</v>
      </c>
      <c r="AE69" t="e">
        <v>#N/A</v>
      </c>
      <c r="AF69" t="e">
        <v>#N/A</v>
      </c>
      <c r="AG69" s="629" t="e" cm="1">
        <f t="array" ref="AG69">INDEX(W69:AF69,ROWS($1:2))</f>
        <v>#N/A</v>
      </c>
    </row>
    <row r="70" spans="2:33">
      <c r="B70" s="3" t="s">
        <v>909</v>
      </c>
      <c r="E70" t="s">
        <v>838</v>
      </c>
      <c r="F70" t="s">
        <v>848</v>
      </c>
      <c r="G70" s="584">
        <f>G69+G65+1/G62</f>
        <v>1.362702727676516</v>
      </c>
      <c r="H70" s="584">
        <f t="shared" ref="H70:K70" si="25">H69+H65+1/H62</f>
        <v>1.359777043258523</v>
      </c>
      <c r="I70" s="584">
        <f t="shared" si="25"/>
        <v>1.3597807494902898</v>
      </c>
      <c r="J70" s="584">
        <f t="shared" si="25"/>
        <v>1.3597807407121858</v>
      </c>
      <c r="K70" s="584">
        <f t="shared" si="25"/>
        <v>1.3597807407329905</v>
      </c>
      <c r="L70" s="584"/>
      <c r="M70" s="584"/>
      <c r="N70" s="696"/>
      <c r="O70" s="15"/>
      <c r="P70" s="15"/>
      <c r="Q70" s="15"/>
      <c r="R70" s="700" t="e">
        <f>VLOOKUP(N70,Isolation!B65:R74,9)</f>
        <v>#N/A</v>
      </c>
      <c r="S70" s="15" t="str">
        <f t="shared" si="22"/>
        <v/>
      </c>
      <c r="U70" s="1898"/>
      <c r="V70" s="681" t="e">
        <f t="shared" si="24"/>
        <v>#N/A</v>
      </c>
      <c r="W70" t="e">
        <v>#N/A</v>
      </c>
      <c r="X70" t="e">
        <v>#N/A</v>
      </c>
      <c r="Y70" s="332" t="e">
        <v>#N/A</v>
      </c>
      <c r="Z70" t="e">
        <v>#N/A</v>
      </c>
      <c r="AA70" t="e">
        <v>#N/A</v>
      </c>
      <c r="AB70" t="e">
        <v>#N/A</v>
      </c>
      <c r="AC70" t="e">
        <v>#N/A</v>
      </c>
      <c r="AD70" t="e">
        <v>#N/A</v>
      </c>
      <c r="AE70" t="e">
        <v>#N/A</v>
      </c>
      <c r="AF70" t="e">
        <v>#N/A</v>
      </c>
      <c r="AG70" s="629" t="e" cm="1">
        <f t="array" ref="AG70">INDEX(W70:AF70,ROWS($1:3))</f>
        <v>#N/A</v>
      </c>
    </row>
    <row r="71" spans="2:33">
      <c r="B71" t="s">
        <v>910</v>
      </c>
      <c r="E71" t="s">
        <v>839</v>
      </c>
      <c r="F71" t="s">
        <v>849</v>
      </c>
      <c r="G71" s="608">
        <f>($E$10-$E$11)/G70</f>
        <v>68.795355834844443</v>
      </c>
      <c r="H71" s="608">
        <f t="shared" ref="H71:K71" si="26">($E$10-$E$11)/H70</f>
        <v>68.943375322005338</v>
      </c>
      <c r="I71" s="608">
        <f t="shared" si="26"/>
        <v>68.943187409264382</v>
      </c>
      <c r="J71" s="608">
        <f t="shared" si="26"/>
        <v>68.943187854329139</v>
      </c>
      <c r="K71" s="608">
        <f t="shared" si="26"/>
        <v>68.943187853274296</v>
      </c>
      <c r="L71" s="136"/>
      <c r="M71" s="136"/>
      <c r="N71" s="696"/>
      <c r="O71" s="15"/>
      <c r="P71" s="15"/>
      <c r="Q71" s="15"/>
      <c r="R71" s="700" t="e">
        <f>VLOOKUP(N71,Isolation!B66:R75,9)</f>
        <v>#N/A</v>
      </c>
      <c r="S71" s="15" t="str">
        <f t="shared" si="22"/>
        <v/>
      </c>
      <c r="U71" s="1898"/>
      <c r="V71" s="681" t="e">
        <f t="shared" si="24"/>
        <v>#N/A</v>
      </c>
      <c r="W71" t="e">
        <v>#N/A</v>
      </c>
      <c r="X71" t="e">
        <v>#N/A</v>
      </c>
      <c r="Y71" t="e">
        <v>#N/A</v>
      </c>
      <c r="Z71" s="332" t="e">
        <v>#N/A</v>
      </c>
      <c r="AA71" t="e">
        <v>#N/A</v>
      </c>
      <c r="AB71" t="e">
        <v>#N/A</v>
      </c>
      <c r="AC71" t="e">
        <v>#N/A</v>
      </c>
      <c r="AD71" t="e">
        <v>#N/A</v>
      </c>
      <c r="AE71" t="e">
        <v>#N/A</v>
      </c>
      <c r="AF71" t="e">
        <v>#N/A</v>
      </c>
      <c r="AG71" s="629" t="e" cm="1">
        <f t="array" ref="AG71">INDEX(W71:AF71,ROWS($1:4))</f>
        <v>#N/A</v>
      </c>
    </row>
    <row r="72" spans="2:33">
      <c r="B72" t="s">
        <v>862</v>
      </c>
      <c r="E72" t="s">
        <v>840</v>
      </c>
      <c r="F72" t="s">
        <v>843</v>
      </c>
      <c r="G72" s="593">
        <f>$E$10 - G71*G65</f>
        <v>93.331456810567502</v>
      </c>
      <c r="H72" s="593">
        <f t="shared" ref="H72:K72" si="27">$E$10 - H71*H65</f>
        <v>93.331452773057492</v>
      </c>
      <c r="I72" s="593">
        <f t="shared" si="27"/>
        <v>93.331452778183177</v>
      </c>
      <c r="J72" s="593">
        <f t="shared" si="27"/>
        <v>93.331452778171027</v>
      </c>
      <c r="K72" s="593">
        <f t="shared" si="27"/>
        <v>93.331452778171055</v>
      </c>
      <c r="L72" s="593"/>
      <c r="M72" s="593"/>
      <c r="N72" s="696"/>
      <c r="O72" s="15"/>
      <c r="P72" s="15"/>
      <c r="Q72" s="15"/>
      <c r="R72" s="700" t="e">
        <f>VLOOKUP(N72,Isolation!B67:R76,9)</f>
        <v>#N/A</v>
      </c>
      <c r="S72" s="15" t="str">
        <f t="shared" si="22"/>
        <v/>
      </c>
      <c r="U72" s="1898"/>
      <c r="V72" s="681" t="e">
        <f t="shared" si="24"/>
        <v>#N/A</v>
      </c>
      <c r="W72" t="e">
        <v>#N/A</v>
      </c>
      <c r="X72" t="e">
        <v>#N/A</v>
      </c>
      <c r="Y72" t="e">
        <v>#N/A</v>
      </c>
      <c r="Z72" t="e">
        <v>#N/A</v>
      </c>
      <c r="AA72" s="332" t="e">
        <v>#N/A</v>
      </c>
      <c r="AB72" t="e">
        <v>#N/A</v>
      </c>
      <c r="AC72" t="e">
        <v>#N/A</v>
      </c>
      <c r="AD72" t="e">
        <v>#N/A</v>
      </c>
      <c r="AE72" t="e">
        <v>#N/A</v>
      </c>
      <c r="AF72" t="e">
        <v>#N/A</v>
      </c>
      <c r="AG72" s="629" t="e" cm="1">
        <f t="array" ref="AG72">INDEX(W72:AF72,ROWS($1:5))</f>
        <v>#N/A</v>
      </c>
    </row>
    <row r="73" spans="2:33">
      <c r="B73" t="s">
        <v>911</v>
      </c>
      <c r="E73" t="s">
        <v>841</v>
      </c>
      <c r="F73" t="s">
        <v>843</v>
      </c>
      <c r="G73" s="136">
        <f>G72-G71*G69</f>
        <v>3.55197145507627</v>
      </c>
      <c r="H73" s="136">
        <f t="shared" ref="H73:K73" si="28">H72-H71*H69</f>
        <v>3.5470911730788117</v>
      </c>
      <c r="I73" s="136">
        <f t="shared" si="28"/>
        <v>3.5471027360189566</v>
      </c>
      <c r="J73" s="136">
        <f t="shared" si="28"/>
        <v>3.5471027086145597</v>
      </c>
      <c r="K73" s="136">
        <f t="shared" si="28"/>
        <v>3.5471027086795175</v>
      </c>
      <c r="L73" s="136"/>
      <c r="M73" s="136"/>
      <c r="N73" s="696"/>
      <c r="O73" s="15"/>
      <c r="P73" s="15"/>
      <c r="Q73" s="15"/>
      <c r="R73" s="700" t="e">
        <f>VLOOKUP(N73,Isolation!B68:R77,9)</f>
        <v>#N/A</v>
      </c>
      <c r="S73" s="15" t="str">
        <f t="shared" si="22"/>
        <v/>
      </c>
      <c r="U73" s="1898"/>
      <c r="V73" s="681" t="e">
        <f t="shared" si="24"/>
        <v>#N/A</v>
      </c>
      <c r="W73" t="e">
        <v>#N/A</v>
      </c>
      <c r="X73" t="e">
        <v>#N/A</v>
      </c>
      <c r="Y73" t="e">
        <v>#N/A</v>
      </c>
      <c r="Z73" t="e">
        <v>#N/A</v>
      </c>
      <c r="AA73" t="e">
        <v>#N/A</v>
      </c>
      <c r="AB73" s="332" t="e">
        <v>#N/A</v>
      </c>
      <c r="AC73" t="e">
        <v>#N/A</v>
      </c>
      <c r="AD73" t="e">
        <v>#N/A</v>
      </c>
      <c r="AE73" t="e">
        <v>#N/A</v>
      </c>
      <c r="AF73" t="e">
        <v>#N/A</v>
      </c>
      <c r="AG73" s="629" t="e" cm="1">
        <f t="array" ref="AG73">INDEX(W73:AF73,ROWS($1:6))</f>
        <v>#N/A</v>
      </c>
    </row>
    <row r="74" spans="2:33">
      <c r="B74" t="s">
        <v>912</v>
      </c>
      <c r="F74" t="s">
        <v>797</v>
      </c>
      <c r="G74" s="136">
        <f>G71*PI()*($E$18/1000)</f>
        <v>41.172190545696097</v>
      </c>
      <c r="H74" s="136">
        <f t="shared" ref="H74:K74" si="29">H71*PI()*($E$18/1000)</f>
        <v>41.260776271518857</v>
      </c>
      <c r="I74" s="136">
        <f t="shared" si="29"/>
        <v>41.260663810741768</v>
      </c>
      <c r="J74" s="136">
        <f t="shared" si="29"/>
        <v>41.260664077101197</v>
      </c>
      <c r="K74" s="136">
        <f t="shared" si="29"/>
        <v>41.260664076469901</v>
      </c>
      <c r="N74" s="696"/>
      <c r="O74" s="15"/>
      <c r="P74" s="15"/>
      <c r="Q74" s="15"/>
      <c r="R74" s="700" t="e">
        <f>VLOOKUP(N74,Isolation!B69:R78,9)</f>
        <v>#N/A</v>
      </c>
      <c r="S74" s="15" t="str">
        <f t="shared" si="22"/>
        <v/>
      </c>
      <c r="U74" s="1898"/>
      <c r="V74" s="681" t="e">
        <f t="shared" si="24"/>
        <v>#N/A</v>
      </c>
      <c r="W74" t="e">
        <v>#N/A</v>
      </c>
      <c r="X74" t="e">
        <v>#N/A</v>
      </c>
      <c r="Y74" t="e">
        <v>#N/A</v>
      </c>
      <c r="Z74" t="e">
        <v>#N/A</v>
      </c>
      <c r="AA74" t="e">
        <v>#N/A</v>
      </c>
      <c r="AB74" t="e">
        <v>#N/A</v>
      </c>
      <c r="AC74" s="332" t="e">
        <v>#N/A</v>
      </c>
      <c r="AD74" t="e">
        <v>#N/A</v>
      </c>
      <c r="AE74" t="e">
        <v>#N/A</v>
      </c>
      <c r="AF74" t="e">
        <v>#N/A</v>
      </c>
      <c r="AG74" s="629" t="e" cm="1">
        <f t="array" ref="AG74">INDEX(W74:AF74,ROWS($1:7))</f>
        <v>#N/A</v>
      </c>
    </row>
    <row r="75" spans="2:33">
      <c r="N75" s="696"/>
      <c r="O75" s="15"/>
      <c r="P75" s="15"/>
      <c r="Q75" s="15"/>
      <c r="R75" s="700" t="e">
        <f>VLOOKUP(N75,Isolation!B70:R79,9)</f>
        <v>#N/A</v>
      </c>
      <c r="S75" s="15" t="str">
        <f t="shared" si="22"/>
        <v/>
      </c>
      <c r="U75" s="1898"/>
      <c r="V75" s="681" t="e">
        <f t="shared" si="24"/>
        <v>#N/A</v>
      </c>
      <c r="W75" t="e">
        <v>#N/A</v>
      </c>
      <c r="X75" t="e">
        <v>#N/A</v>
      </c>
      <c r="Y75" t="e">
        <v>#N/A</v>
      </c>
      <c r="Z75" t="e">
        <v>#N/A</v>
      </c>
      <c r="AA75" t="e">
        <v>#N/A</v>
      </c>
      <c r="AB75" t="e">
        <v>#N/A</v>
      </c>
      <c r="AC75" t="e">
        <v>#N/A</v>
      </c>
      <c r="AD75" s="332" t="e">
        <v>#N/A</v>
      </c>
      <c r="AE75" t="e">
        <v>#N/A</v>
      </c>
      <c r="AF75" t="e">
        <v>#N/A</v>
      </c>
      <c r="AG75" s="629" t="e" cm="1">
        <f t="array" ref="AG75">INDEX(W75:AF75,ROWS($1:8))</f>
        <v>#N/A</v>
      </c>
    </row>
    <row r="76" spans="2:33">
      <c r="B76" s="594" t="s">
        <v>913</v>
      </c>
      <c r="N76" s="696"/>
      <c r="O76" s="15"/>
      <c r="P76" s="15"/>
      <c r="Q76" s="15"/>
      <c r="R76" s="700" t="e">
        <f>VLOOKUP(N76,Isolation!B71:R80,9)</f>
        <v>#N/A</v>
      </c>
      <c r="S76" s="15" t="str">
        <f t="shared" si="22"/>
        <v/>
      </c>
      <c r="U76" s="1898"/>
      <c r="V76" s="681" t="e">
        <f t="shared" si="24"/>
        <v>#N/A</v>
      </c>
      <c r="W76" t="e">
        <v>#N/A</v>
      </c>
      <c r="X76" t="e">
        <v>#N/A</v>
      </c>
      <c r="Y76" t="e">
        <v>#N/A</v>
      </c>
      <c r="Z76" t="e">
        <v>#N/A</v>
      </c>
      <c r="AA76" t="e">
        <v>#N/A</v>
      </c>
      <c r="AB76" t="e">
        <v>#N/A</v>
      </c>
      <c r="AC76" t="e">
        <v>#N/A</v>
      </c>
      <c r="AD76" t="e">
        <v>#N/A</v>
      </c>
      <c r="AE76" s="332" t="e">
        <v>#N/A</v>
      </c>
      <c r="AF76" t="e">
        <v>#N/A</v>
      </c>
      <c r="AG76" s="629" t="e" cm="1">
        <f t="array" ref="AG76">INDEX(W76:AF76,ROWS($1:9))</f>
        <v>#N/A</v>
      </c>
    </row>
    <row r="77" spans="2:33" ht="15" thickBot="1">
      <c r="B77" s="3"/>
      <c r="E77" t="s">
        <v>799</v>
      </c>
      <c r="G77">
        <v>1</v>
      </c>
      <c r="H77">
        <v>2</v>
      </c>
      <c r="I77">
        <v>3</v>
      </c>
      <c r="J77">
        <v>4</v>
      </c>
      <c r="K77">
        <v>5</v>
      </c>
      <c r="U77" s="1898"/>
      <c r="V77" s="681" t="e">
        <f t="shared" si="24"/>
        <v>#N/A</v>
      </c>
      <c r="W77" t="e">
        <v>#N/A</v>
      </c>
      <c r="X77" t="e">
        <v>#N/A</v>
      </c>
      <c r="Y77" t="e">
        <v>#N/A</v>
      </c>
      <c r="Z77" t="e">
        <v>#N/A</v>
      </c>
      <c r="AA77" t="e">
        <v>#N/A</v>
      </c>
      <c r="AB77" t="e">
        <v>#N/A</v>
      </c>
      <c r="AC77" t="e">
        <v>#N/A</v>
      </c>
      <c r="AD77" t="e">
        <v>#N/A</v>
      </c>
      <c r="AE77" t="e">
        <v>#N/A</v>
      </c>
      <c r="AF77" s="332" t="e">
        <v>#N/A</v>
      </c>
      <c r="AG77" s="699" t="e" cm="1">
        <f t="array" ref="AG77">INDEX(W77:AF77,ROWS($1:10))</f>
        <v>#N/A</v>
      </c>
    </row>
    <row r="78" spans="2:33">
      <c r="B78" t="s">
        <v>859</v>
      </c>
      <c r="E78" t="s">
        <v>800</v>
      </c>
      <c r="F78" t="s">
        <v>843</v>
      </c>
      <c r="G78" s="593">
        <f>E11+1</f>
        <v>0.58571428571428596</v>
      </c>
      <c r="H78" s="593">
        <f>G109</f>
        <v>93.307292636945391</v>
      </c>
      <c r="I78" s="593">
        <f t="shared" ref="I78:K78" si="30">H109</f>
        <v>93.304812661959517</v>
      </c>
      <c r="J78" s="593">
        <f t="shared" si="30"/>
        <v>93.304812745490963</v>
      </c>
      <c r="K78" s="593">
        <f t="shared" si="30"/>
        <v>93.30481274548815</v>
      </c>
      <c r="N78" s="136"/>
      <c r="O78" s="136"/>
      <c r="P78" s="136"/>
      <c r="Q78" s="136"/>
      <c r="R78" s="136"/>
    </row>
    <row r="79" spans="2:33">
      <c r="B79" t="s">
        <v>914</v>
      </c>
      <c r="G79" s="599">
        <f>Hypothèses!$D$167</f>
        <v>0.8</v>
      </c>
      <c r="H79">
        <f>G79</f>
        <v>0.8</v>
      </c>
      <c r="I79">
        <f>H79</f>
        <v>0.8</v>
      </c>
      <c r="J79">
        <f>I79</f>
        <v>0.8</v>
      </c>
      <c r="K79">
        <f>J79</f>
        <v>0.8</v>
      </c>
      <c r="N79" s="1896" t="s">
        <v>1253</v>
      </c>
      <c r="O79" s="1896"/>
      <c r="P79" s="1896"/>
      <c r="Q79" s="1896"/>
      <c r="R79" s="1896"/>
      <c r="S79" s="1896"/>
      <c r="T79" s="1896"/>
      <c r="U79" s="1896"/>
      <c r="V79" s="1896"/>
      <c r="W79" s="1896"/>
      <c r="X79" s="1896"/>
      <c r="Y79" s="1896"/>
      <c r="Z79" s="1896"/>
      <c r="AA79" s="1896"/>
      <c r="AB79" s="1896"/>
      <c r="AC79" s="1896"/>
      <c r="AD79" s="1896"/>
      <c r="AE79" s="1896"/>
      <c r="AF79" s="1896"/>
      <c r="AG79" s="1896"/>
    </row>
    <row r="80" spans="2:33" ht="16.2">
      <c r="B80" s="3" t="s">
        <v>915</v>
      </c>
      <c r="N80" s="1902" t="s">
        <v>923</v>
      </c>
      <c r="O80" s="689" t="s">
        <v>993</v>
      </c>
      <c r="P80" s="689" t="s">
        <v>925</v>
      </c>
      <c r="Q80" s="1903" t="s">
        <v>935</v>
      </c>
      <c r="R80" s="689" t="s">
        <v>991</v>
      </c>
      <c r="S80" s="689" t="s">
        <v>922</v>
      </c>
      <c r="W80" s="1901" t="s">
        <v>996</v>
      </c>
      <c r="X80" s="1901"/>
      <c r="Y80" s="1901"/>
      <c r="Z80" s="1901"/>
      <c r="AA80" s="1901"/>
      <c r="AB80" s="1901"/>
      <c r="AC80" s="1901"/>
      <c r="AD80" s="1901"/>
      <c r="AE80" s="1901"/>
      <c r="AF80" s="1901"/>
    </row>
    <row r="81" spans="2:33" ht="16.2">
      <c r="B81" t="s">
        <v>916</v>
      </c>
      <c r="E81" t="s">
        <v>802</v>
      </c>
      <c r="F81" t="s">
        <v>843</v>
      </c>
      <c r="G81">
        <f>(G78+$E$11)/2</f>
        <v>8.5714285714285965E-2</v>
      </c>
      <c r="H81" s="136">
        <f t="shared" ref="H81:K81" si="31">(H78+$E$11)/2</f>
        <v>46.44650346132984</v>
      </c>
      <c r="I81" s="136">
        <f t="shared" si="31"/>
        <v>46.445263473836903</v>
      </c>
      <c r="J81" s="136">
        <f t="shared" si="31"/>
        <v>46.445263515602626</v>
      </c>
      <c r="K81" s="136">
        <f t="shared" si="31"/>
        <v>46.445263515601219</v>
      </c>
      <c r="N81" s="1902"/>
      <c r="O81" s="690" t="s">
        <v>1005</v>
      </c>
      <c r="P81" s="690" t="s">
        <v>929</v>
      </c>
      <c r="Q81" s="1904"/>
      <c r="R81" s="691" t="s">
        <v>945</v>
      </c>
      <c r="S81" s="690" t="s">
        <v>1001</v>
      </c>
      <c r="W81" s="1894" t="s">
        <v>779</v>
      </c>
      <c r="X81" s="1894"/>
      <c r="Y81" s="1894"/>
      <c r="Z81" s="1894"/>
      <c r="AA81" s="1894"/>
      <c r="AB81" s="1894"/>
      <c r="AC81" s="1894"/>
      <c r="AD81" s="1894"/>
      <c r="AE81" s="1894"/>
      <c r="AF81" s="1894"/>
      <c r="AG81" s="1897" t="s">
        <v>943</v>
      </c>
    </row>
    <row r="82" spans="2:33" ht="15" thickBot="1">
      <c r="F82" t="s">
        <v>803</v>
      </c>
      <c r="G82">
        <f>G81+273.15</f>
        <v>273.23571428571427</v>
      </c>
      <c r="H82" s="136">
        <f t="shared" ref="H82:K82" si="32">H81+273.15</f>
        <v>319.5965034613298</v>
      </c>
      <c r="I82" s="136">
        <f t="shared" si="32"/>
        <v>319.59526347383689</v>
      </c>
      <c r="J82" s="136">
        <f t="shared" si="32"/>
        <v>319.5952635156026</v>
      </c>
      <c r="K82" s="136">
        <f t="shared" si="32"/>
        <v>319.59526351560118</v>
      </c>
      <c r="N82" s="696" t="e" cm="1" vm="2">
        <f t="array" ref="N82">_xlfn._xlws.FILTER(Isolation!B77:E86,Isolation!E77:E86=P6&amp;"_"&amp;P7)</f>
        <v>#VALUE!</v>
      </c>
      <c r="O82" s="15"/>
      <c r="P82" s="15"/>
      <c r="Q82" s="15"/>
      <c r="R82" s="700" t="e" vm="1">
        <f>VLOOKUP(N82,Isolation!B77:R86,9)</f>
        <v>#VALUE!</v>
      </c>
      <c r="S82" s="15" t="e" vm="1">
        <f>IF(N82="","",AG83)</f>
        <v>#VALUE!</v>
      </c>
      <c r="V82" s="634">
        <f>$E$32</f>
        <v>2171.6188603130026</v>
      </c>
      <c r="W82" s="678" cm="1">
        <f t="array" ref="W82:AF82">TRANSPOSE(P82:P91)</f>
        <v>0</v>
      </c>
      <c r="X82" s="678">
        <v>0</v>
      </c>
      <c r="Y82" s="678">
        <v>0</v>
      </c>
      <c r="Z82" s="678">
        <v>0</v>
      </c>
      <c r="AA82" s="678">
        <v>0</v>
      </c>
      <c r="AB82" s="678">
        <v>0</v>
      </c>
      <c r="AC82" s="678">
        <v>0</v>
      </c>
      <c r="AD82" s="678">
        <v>0</v>
      </c>
      <c r="AE82" s="678">
        <v>0</v>
      </c>
      <c r="AF82" s="678">
        <v>0</v>
      </c>
      <c r="AG82" s="1897"/>
    </row>
    <row r="83" spans="2:33">
      <c r="B83" t="s">
        <v>896</v>
      </c>
      <c r="E83" t="s">
        <v>804</v>
      </c>
      <c r="F83" t="s">
        <v>805</v>
      </c>
      <c r="G83" s="595">
        <f>(Propriété_air!$Q$22*G82^4+Propriété_air!$R$22*G82^3+Propriété_air!$S$22*G82^2+Propriété_air!$T$22*G82+Propriété_air!$U$22)/10^3</f>
        <v>2.4117050275889996E-2</v>
      </c>
      <c r="H83" s="595">
        <f>(Propriété_air!$Q$22*H82^4+Propriété_air!$R$22*H82^3+Propriété_air!$S$22*H82^2+Propriété_air!$T$22*H82+Propriété_air!$U$22)/10^3</f>
        <v>2.7794443092695086E-2</v>
      </c>
      <c r="I83" s="595">
        <f>(Propriété_air!$Q$22*I82^4+Propriété_air!$R$22*I82^3+Propriété_air!$S$22*I82^2+Propriété_air!$T$22*I82+Propriété_air!$U$22)/10^3</f>
        <v>2.779434655438303E-2</v>
      </c>
      <c r="J83" s="595">
        <f>(Propriété_air!$Q$22*J82^4+Propriété_air!$R$22*J82^3+Propriété_air!$S$22*J82^2+Propriété_air!$T$22*J82+Propriété_air!$U$22)/10^3</f>
        <v>2.7794346557634669E-2</v>
      </c>
      <c r="K83" s="595">
        <f>(Propriété_air!$Q$22*K82^4+Propriété_air!$R$22*K82^3+Propriété_air!$S$22*K82^2+Propriété_air!$T$22*K82+Propriété_air!$U$22)/10^3</f>
        <v>2.7794346557634554E-2</v>
      </c>
      <c r="N83" s="696"/>
      <c r="O83" s="15"/>
      <c r="P83" s="15"/>
      <c r="Q83" s="15"/>
      <c r="R83" s="700" t="e">
        <f>VLOOKUP(N83,Isolation!B78:R87,9)</f>
        <v>#N/A</v>
      </c>
      <c r="S83" s="15" t="str">
        <f t="shared" ref="S83:S91" si="33">IF(N83="","",AG84)</f>
        <v/>
      </c>
      <c r="U83" s="1898" t="s">
        <v>992</v>
      </c>
      <c r="V83" s="681" t="e" vm="1">
        <f>R82</f>
        <v>#VALUE!</v>
      </c>
      <c r="W83" s="332" t="e" vm="1">
        <f t="dataTable" ref="W83:AF92" dt2D="1" dtr="1" r1="E10" r2="E9" ca="1"/>
        <v>#VALUE!</v>
      </c>
      <c r="X83" t="e" vm="1">
        <v>#VALUE!</v>
      </c>
      <c r="Y83" t="e" vm="1">
        <v>#VALUE!</v>
      </c>
      <c r="Z83" t="e" vm="1">
        <v>#VALUE!</v>
      </c>
      <c r="AA83" t="e" vm="1">
        <v>#VALUE!</v>
      </c>
      <c r="AB83" t="e" vm="1">
        <v>#VALUE!</v>
      </c>
      <c r="AC83" t="e" vm="1">
        <v>#VALUE!</v>
      </c>
      <c r="AD83" t="e" vm="1">
        <v>#VALUE!</v>
      </c>
      <c r="AE83" t="e" vm="1">
        <v>#VALUE!</v>
      </c>
      <c r="AF83" t="e" vm="1">
        <v>#VALUE!</v>
      </c>
      <c r="AG83" s="698" t="e" cm="1" vm="1">
        <f t="array" ref="AG83">INDEX(W83:AF83,ROWS($1:1))</f>
        <v>#VALUE!</v>
      </c>
    </row>
    <row r="84" spans="2:33">
      <c r="B84" t="s">
        <v>897</v>
      </c>
      <c r="E84" t="s">
        <v>806</v>
      </c>
      <c r="F84" t="s">
        <v>844</v>
      </c>
      <c r="G84" s="596">
        <f>(Propriété_air!$Q$10*G82^4+Propriété_air!$R$10*G82^3+Propriété_air!$S$10*G82^2+Propriété_air!$T$10*G82+Propriété_air!$U$10)/10^7</f>
        <v>1.7159453569518444E-5</v>
      </c>
      <c r="H84" s="596">
        <f>(Propriété_air!$Q$10*H82^4+Propriété_air!$R$10*H82^3+Propriété_air!$S$10*H82^2+Propriété_air!$T$10*H82+Propriété_air!$U$10)/10^7</f>
        <v>1.9416012883798451E-5</v>
      </c>
      <c r="I84" s="596">
        <f>(Propriété_air!$Q$10*I82^4+Propriété_air!$R$10*I82^3+Propriété_air!$S$10*I82^2+Propriété_air!$T$10*I82+Propriété_air!$U$10)/10^7</f>
        <v>1.9415954517714445E-5</v>
      </c>
      <c r="J84" s="596">
        <f>(Propriété_air!$Q$10*J82^4+Propriété_air!$R$10*J82^3+Propriété_air!$S$10*J82^2+Propriété_air!$T$10*J82+Propriété_air!$U$10)/10^7</f>
        <v>1.941595451968035E-5</v>
      </c>
      <c r="K84" s="596">
        <f>(Propriété_air!$Q$10*K82^4+Propriété_air!$R$10*K82^3+Propriété_air!$S$10*K82^2+Propriété_air!$T$10*K82+Propriété_air!$U$10)/10^7</f>
        <v>1.9415954519680286E-5</v>
      </c>
      <c r="N84" s="696"/>
      <c r="O84" s="15"/>
      <c r="P84" s="15"/>
      <c r="Q84" s="15"/>
      <c r="R84" s="700" t="e">
        <f>VLOOKUP(N84,Isolation!B79:R88,9)</f>
        <v>#N/A</v>
      </c>
      <c r="S84" s="15" t="str">
        <f t="shared" si="33"/>
        <v/>
      </c>
      <c r="U84" s="1898"/>
      <c r="V84" s="681" t="e">
        <f t="shared" ref="V84:V92" si="34">R83</f>
        <v>#N/A</v>
      </c>
      <c r="W84" t="e">
        <v>#N/A</v>
      </c>
      <c r="X84" s="332" t="e">
        <v>#N/A</v>
      </c>
      <c r="Y84" t="e">
        <v>#N/A</v>
      </c>
      <c r="Z84" t="e">
        <v>#N/A</v>
      </c>
      <c r="AA84" t="e">
        <v>#N/A</v>
      </c>
      <c r="AB84" t="e">
        <v>#N/A</v>
      </c>
      <c r="AC84" t="e">
        <v>#N/A</v>
      </c>
      <c r="AD84" t="e">
        <v>#N/A</v>
      </c>
      <c r="AE84" t="e">
        <v>#N/A</v>
      </c>
      <c r="AF84" t="e">
        <v>#N/A</v>
      </c>
      <c r="AG84" s="629" t="e" cm="1">
        <f t="array" ref="AG84">INDEX(W84:AF84,ROWS($1:2))</f>
        <v>#N/A</v>
      </c>
    </row>
    <row r="85" spans="2:33">
      <c r="B85" t="s">
        <v>807</v>
      </c>
      <c r="E85" t="s">
        <v>808</v>
      </c>
      <c r="G85" s="584">
        <f>Propriété_air!$Q$34*G82^4+Propriété_air!$R$34*G82^3+Propriété_air!$S$34*G82^2+Propriété_air!$T$34*G82+Propriété_air!$U$34</f>
        <v>0.71424862584199311</v>
      </c>
      <c r="H85" s="584">
        <f>Propriété_air!$Q$34*H82^4+Propriété_air!$R$34*H82^3+Propriété_air!$S$34*H82^2+Propriété_air!$T$34*H82+Propriété_air!$U$34</f>
        <v>0.7028262224554217</v>
      </c>
      <c r="I85" s="584">
        <f>Propriété_air!$Q$34*I82^4+Propriété_air!$R$34*I82^3+Propriété_air!$S$34*I82^2+Propriété_air!$T$34*I82+Propriété_air!$U$34</f>
        <v>0.70282648950543547</v>
      </c>
      <c r="J85" s="584">
        <f>Propriété_air!$Q$34*J82^4+Propriété_air!$R$34*J82^3+Propriété_air!$S$34*J82^2+Propriété_air!$T$34*J82+Propriété_air!$U$34</f>
        <v>0.70282648949644055</v>
      </c>
      <c r="K85" s="584">
        <f>Propriété_air!$Q$34*K82^4+Propriété_air!$R$34*K82^3+Propriété_air!$S$34*K82^2+Propriété_air!$T$34*K82+Propriété_air!$U$34</f>
        <v>0.70282648949644089</v>
      </c>
      <c r="N85" s="696"/>
      <c r="O85" s="15"/>
      <c r="P85" s="15"/>
      <c r="Q85" s="15"/>
      <c r="R85" s="700" t="e">
        <f>VLOOKUP(N85,Isolation!B80:R89,9)</f>
        <v>#N/A</v>
      </c>
      <c r="S85" s="15" t="str">
        <f t="shared" si="33"/>
        <v/>
      </c>
      <c r="U85" s="1898"/>
      <c r="V85" s="681" t="e">
        <f t="shared" si="34"/>
        <v>#N/A</v>
      </c>
      <c r="W85" t="e">
        <v>#N/A</v>
      </c>
      <c r="X85" t="e">
        <v>#N/A</v>
      </c>
      <c r="Y85" s="332" t="e">
        <v>#N/A</v>
      </c>
      <c r="Z85" t="e">
        <v>#N/A</v>
      </c>
      <c r="AA85" t="e">
        <v>#N/A</v>
      </c>
      <c r="AB85" t="e">
        <v>#N/A</v>
      </c>
      <c r="AC85" t="e">
        <v>#N/A</v>
      </c>
      <c r="AD85" t="e">
        <v>#N/A</v>
      </c>
      <c r="AE85" t="e">
        <v>#N/A</v>
      </c>
      <c r="AF85" t="e">
        <v>#N/A</v>
      </c>
      <c r="AG85" s="629" t="e" cm="1">
        <f t="array" ref="AG85">INDEX(W85:AF85,ROWS($1:3))</f>
        <v>#N/A</v>
      </c>
    </row>
    <row r="86" spans="2:33">
      <c r="B86" t="s">
        <v>898</v>
      </c>
      <c r="E86" t="s">
        <v>809</v>
      </c>
      <c r="F86" t="s">
        <v>810</v>
      </c>
      <c r="G86">
        <f>1/G82</f>
        <v>3.6598436723917081E-3</v>
      </c>
      <c r="H86">
        <f t="shared" ref="H86:K86" si="35">1/H82</f>
        <v>3.1289453707086532E-3</v>
      </c>
      <c r="I86">
        <f t="shared" si="35"/>
        <v>3.1289575106042311E-3</v>
      </c>
      <c r="J86">
        <f t="shared" si="35"/>
        <v>3.128957510195329E-3</v>
      </c>
      <c r="K86">
        <f t="shared" si="35"/>
        <v>3.1289575101953429E-3</v>
      </c>
      <c r="N86" s="696"/>
      <c r="O86" s="15"/>
      <c r="P86" s="15"/>
      <c r="Q86" s="15"/>
      <c r="R86" s="700" t="e">
        <f>VLOOKUP(N86,Isolation!B81:R90,9)</f>
        <v>#N/A</v>
      </c>
      <c r="S86" s="15" t="str">
        <f t="shared" si="33"/>
        <v/>
      </c>
      <c r="U86" s="1898"/>
      <c r="V86" s="681" t="e">
        <f t="shared" si="34"/>
        <v>#N/A</v>
      </c>
      <c r="W86" t="e">
        <v>#N/A</v>
      </c>
      <c r="X86" t="e">
        <v>#N/A</v>
      </c>
      <c r="Y86" t="e">
        <v>#N/A</v>
      </c>
      <c r="Z86" s="332" t="e">
        <v>#N/A</v>
      </c>
      <c r="AA86" t="e">
        <v>#N/A</v>
      </c>
      <c r="AB86" t="e">
        <v>#N/A</v>
      </c>
      <c r="AC86" t="e">
        <v>#N/A</v>
      </c>
      <c r="AD86" t="e">
        <v>#N/A</v>
      </c>
      <c r="AE86" t="e">
        <v>#N/A</v>
      </c>
      <c r="AF86" t="e">
        <v>#N/A</v>
      </c>
      <c r="AG86" s="629" t="e" cm="1">
        <f t="array" ref="AG86">INDEX(W86:AF86,ROWS($1:4))</f>
        <v>#N/A</v>
      </c>
    </row>
    <row r="87" spans="2:33">
      <c r="B87" t="s">
        <v>899</v>
      </c>
      <c r="E87" t="s">
        <v>811</v>
      </c>
      <c r="F87" t="s">
        <v>842</v>
      </c>
      <c r="G87" s="595">
        <f>Propriété_air!$Q$45/G82</f>
        <v>1.2919409387712206</v>
      </c>
      <c r="H87" s="595">
        <f>Propriété_air!$Q$45/H82</f>
        <v>1.1045314995532269</v>
      </c>
      <c r="I87" s="595">
        <f>Propriété_air!$Q$45/I82</f>
        <v>1.1045357849898447</v>
      </c>
      <c r="J87" s="595">
        <f>Propriété_air!$Q$45/J82</f>
        <v>1.1045357848455006</v>
      </c>
      <c r="K87" s="595">
        <f>Propriété_air!$Q$45/K82</f>
        <v>1.1045357848455055</v>
      </c>
      <c r="N87" s="696"/>
      <c r="O87" s="15"/>
      <c r="P87" s="15"/>
      <c r="Q87" s="15"/>
      <c r="R87" s="700" t="e">
        <f>VLOOKUP(N87,Isolation!B82:R91,9)</f>
        <v>#N/A</v>
      </c>
      <c r="S87" s="15" t="str">
        <f t="shared" si="33"/>
        <v/>
      </c>
      <c r="U87" s="1898"/>
      <c r="V87" s="681" t="e">
        <f t="shared" si="34"/>
        <v>#N/A</v>
      </c>
      <c r="W87" t="e">
        <v>#N/A</v>
      </c>
      <c r="X87" t="e">
        <v>#N/A</v>
      </c>
      <c r="Y87" t="e">
        <v>#N/A</v>
      </c>
      <c r="Z87" t="e">
        <v>#N/A</v>
      </c>
      <c r="AA87" s="332" t="e">
        <v>#N/A</v>
      </c>
      <c r="AB87" t="e">
        <v>#N/A</v>
      </c>
      <c r="AC87" t="e">
        <v>#N/A</v>
      </c>
      <c r="AD87" t="e">
        <v>#N/A</v>
      </c>
      <c r="AE87" t="e">
        <v>#N/A</v>
      </c>
      <c r="AF87" t="e">
        <v>#N/A</v>
      </c>
      <c r="AG87" s="629" t="e" cm="1">
        <f t="array" ref="AG87">INDEX(W87:AF87,ROWS($1:5))</f>
        <v>#N/A</v>
      </c>
    </row>
    <row r="88" spans="2:33">
      <c r="B88" t="s">
        <v>812</v>
      </c>
      <c r="E88" t="s">
        <v>813</v>
      </c>
      <c r="F88" t="s">
        <v>846</v>
      </c>
      <c r="G88" s="596">
        <f>(Propriété_air!$Q$16*G82^4+Propriété_air!$R$16*G82^3+Propriété_air!$S$16*G82^2+Propriété_air!$T$16*G82+Propriété_air!$U$16)/10^6</f>
        <v>1.3465276468804519E-5</v>
      </c>
      <c r="H88" s="596">
        <f>(Propriété_air!$Q$16*H82^4+Propriété_air!$R$16*H82^3+Propriété_air!$S$16*H82^2+Propriété_air!$T$16*H82+Propriété_air!$U$16)/10^6</f>
        <v>1.7795052498367298E-5</v>
      </c>
      <c r="I88" s="596">
        <f>(Propriété_air!$Q$16*I82^4+Propriété_air!$R$16*I82^3+Propriété_air!$S$16*I82^2+Propriété_air!$T$16*I82+Propriété_air!$U$16)/10^6</f>
        <v>1.7794930408882726E-5</v>
      </c>
      <c r="J88" s="596">
        <f>(Propriété_air!$Q$16*J82^4+Propriété_air!$R$16*J82^3+Propriété_air!$S$16*J82^2+Propriété_air!$T$16*J82+Propriété_air!$U$16)/10^6</f>
        <v>1.7794930412994983E-5</v>
      </c>
      <c r="K88" s="596">
        <f>(Propriété_air!$Q$16*K82^4+Propriété_air!$R$16*K82^3+Propriété_air!$S$16*K82^2+Propriété_air!$T$16*K82+Propriété_air!$U$16)/10^6</f>
        <v>1.779493041299484E-5</v>
      </c>
      <c r="N88" s="696"/>
      <c r="O88" s="15"/>
      <c r="P88" s="15"/>
      <c r="Q88" s="15"/>
      <c r="R88" s="700" t="e">
        <f>VLOOKUP(N88,Isolation!B83:R92,9)</f>
        <v>#N/A</v>
      </c>
      <c r="S88" s="15" t="str">
        <f t="shared" si="33"/>
        <v/>
      </c>
      <c r="U88" s="1898"/>
      <c r="V88" s="681" t="e">
        <f t="shared" si="34"/>
        <v>#N/A</v>
      </c>
      <c r="W88" t="e">
        <v>#N/A</v>
      </c>
      <c r="X88" t="e">
        <v>#N/A</v>
      </c>
      <c r="Y88" t="e">
        <v>#N/A</v>
      </c>
      <c r="Z88" t="e">
        <v>#N/A</v>
      </c>
      <c r="AA88" t="e">
        <v>#N/A</v>
      </c>
      <c r="AB88" s="332" t="e">
        <v>#N/A</v>
      </c>
      <c r="AC88" t="e">
        <v>#N/A</v>
      </c>
      <c r="AD88" t="e">
        <v>#N/A</v>
      </c>
      <c r="AE88" t="e">
        <v>#N/A</v>
      </c>
      <c r="AF88" t="e">
        <v>#N/A</v>
      </c>
      <c r="AG88" s="629" t="e" cm="1">
        <f t="array" ref="AG88">INDEX(W88:AF88,ROWS($1:6))</f>
        <v>#N/A</v>
      </c>
    </row>
    <row r="89" spans="2:33">
      <c r="B89" t="s">
        <v>900</v>
      </c>
      <c r="E89" t="s">
        <v>815</v>
      </c>
      <c r="F89" t="s">
        <v>816</v>
      </c>
      <c r="G89" s="136">
        <f>Propriété_air!$Q$4*G82^4+Propriété_air!$R$4*G82^3+Propriété_air!$S$4*G82^2+Propriété_air!$T$4*G82+Propriété_air!$U$4</f>
        <v>1.0045447581006435</v>
      </c>
      <c r="H89" s="136">
        <f>Propriété_air!$Q$4*H82^4+Propriété_air!$R$4*H82^3+Propriété_air!$S$4*H82^2+Propriété_air!$T$4*H82+Propriété_air!$U$4</f>
        <v>1.0058621572248554</v>
      </c>
      <c r="I89" s="136">
        <f>Propriété_air!$Q$4*I82^4+Propriété_air!$R$4*I82^3+Propriété_air!$S$4*I82^2+Propriété_air!$T$4*I82+Propriété_air!$U$4</f>
        <v>1.005862087676243</v>
      </c>
      <c r="J89" s="136">
        <f>Propriété_air!$Q$4*J82^4+Propriété_air!$R$4*J82^3+Propriété_air!$S$4*J82^2+Propriété_air!$T$4*J82+Propriété_air!$U$4</f>
        <v>1.0058620876785855</v>
      </c>
      <c r="K89" s="136">
        <f>Propriété_air!$Q$4*K82^4+Propriété_air!$R$4*K82^3+Propriété_air!$S$4*K82^2+Propriété_air!$T$4*K82+Propriété_air!$U$4</f>
        <v>1.0058620876785853</v>
      </c>
      <c r="M89" s="596"/>
      <c r="N89" s="696"/>
      <c r="O89" s="15"/>
      <c r="P89" s="15"/>
      <c r="Q89" s="15"/>
      <c r="R89" s="700" t="e">
        <f>VLOOKUP(N89,Isolation!B84:R93,9)</f>
        <v>#N/A</v>
      </c>
      <c r="S89" s="15" t="str">
        <f t="shared" si="33"/>
        <v/>
      </c>
      <c r="U89" s="1898"/>
      <c r="V89" s="681" t="e">
        <f t="shared" si="34"/>
        <v>#N/A</v>
      </c>
      <c r="W89" t="e">
        <v>#N/A</v>
      </c>
      <c r="X89" t="e">
        <v>#N/A</v>
      </c>
      <c r="Y89" t="e">
        <v>#N/A</v>
      </c>
      <c r="Z89" t="e">
        <v>#N/A</v>
      </c>
      <c r="AA89" t="e">
        <v>#N/A</v>
      </c>
      <c r="AB89" t="e">
        <v>#N/A</v>
      </c>
      <c r="AC89" s="332" t="e">
        <v>#N/A</v>
      </c>
      <c r="AD89" t="e">
        <v>#N/A</v>
      </c>
      <c r="AE89" t="e">
        <v>#N/A</v>
      </c>
      <c r="AF89" t="e">
        <v>#N/A</v>
      </c>
      <c r="AG89" s="629" t="e" cm="1">
        <f t="array" ref="AG89">INDEX(W89:AF89,ROWS($1:7))</f>
        <v>#N/A</v>
      </c>
    </row>
    <row r="90" spans="2:33">
      <c r="B90" t="s">
        <v>817</v>
      </c>
      <c r="E90" t="s">
        <v>818</v>
      </c>
      <c r="F90" t="s">
        <v>846</v>
      </c>
      <c r="G90" s="596">
        <f>(Propriété_air!$Q$28*G82^4+Propriété_air!$R$28*G82^3+Propriété_air!$S$28*G82^2+Propriété_air!$T$28*G82+Propriété_air!$U$28)/10^6</f>
        <v>1.8760963114524117E-5</v>
      </c>
      <c r="H90" s="596">
        <f>(Propriété_air!$Q$28*H82^4+Propriété_air!$R$28*H82^3+Propriété_air!$S$28*H82^2+Propriété_air!$T$28*H82+Propriété_air!$U$28)/10^6</f>
        <v>2.5364609500313768E-5</v>
      </c>
      <c r="I90" s="596">
        <f>(Propriété_air!$Q$28*I82^4+Propriété_air!$R$28*I82^3+Propriété_air!$S$28*I82^2+Propriété_air!$T$28*I82+Propriété_air!$U$28)/10^6</f>
        <v>2.5364422841235052E-5</v>
      </c>
      <c r="J90" s="596">
        <f>(Propriété_air!$Q$28*J82^4+Propriété_air!$R$28*J82^3+Propriété_air!$S$28*J82^2+Propriété_air!$T$28*J82+Propriété_air!$U$28)/10^6</f>
        <v>2.5364422847522154E-5</v>
      </c>
      <c r="K90" s="596">
        <f>(Propriété_air!$Q$28*K82^4+Propriété_air!$R$28*K82^3+Propriété_air!$S$28*K82^2+Propriété_air!$T$28*K82+Propriété_air!$U$28)/10^6</f>
        <v>2.536442284752194E-5</v>
      </c>
      <c r="N90" s="696"/>
      <c r="O90" s="15"/>
      <c r="P90" s="15"/>
      <c r="Q90" s="15"/>
      <c r="R90" s="700" t="e">
        <f>VLOOKUP(N90,Isolation!B85:R94,9)</f>
        <v>#N/A</v>
      </c>
      <c r="S90" s="15" t="str">
        <f t="shared" si="33"/>
        <v/>
      </c>
      <c r="U90" s="1898"/>
      <c r="V90" s="681" t="e">
        <f t="shared" si="34"/>
        <v>#N/A</v>
      </c>
      <c r="W90" t="e">
        <v>#N/A</v>
      </c>
      <c r="X90" t="e">
        <v>#N/A</v>
      </c>
      <c r="Y90" t="e">
        <v>#N/A</v>
      </c>
      <c r="Z90" t="e">
        <v>#N/A</v>
      </c>
      <c r="AA90" t="e">
        <v>#N/A</v>
      </c>
      <c r="AB90" t="e">
        <v>#N/A</v>
      </c>
      <c r="AC90" t="e">
        <v>#N/A</v>
      </c>
      <c r="AD90" s="332" t="e">
        <v>#N/A</v>
      </c>
      <c r="AE90" t="e">
        <v>#N/A</v>
      </c>
      <c r="AF90" t="e">
        <v>#N/A</v>
      </c>
      <c r="AG90" s="629" t="e" cm="1">
        <f t="array" ref="AG90">INDEX(W90:AF90,ROWS($1:8))</f>
        <v>#N/A</v>
      </c>
    </row>
    <row r="91" spans="2:33">
      <c r="B91" t="s">
        <v>819</v>
      </c>
      <c r="E91" t="s">
        <v>820</v>
      </c>
      <c r="G91" s="603">
        <f>($E$9/1000)*$E$12/G88</f>
        <v>14757.163023006384</v>
      </c>
      <c r="H91" s="603">
        <f t="shared" ref="H91:K91" si="36">($E$9/1000)*$E$12/H88</f>
        <v>11166.546432961164</v>
      </c>
      <c r="I91" s="603">
        <f t="shared" si="36"/>
        <v>11166.623045674287</v>
      </c>
      <c r="J91" s="603">
        <f t="shared" si="36"/>
        <v>11166.623043093776</v>
      </c>
      <c r="K91" s="603">
        <f t="shared" si="36"/>
        <v>11166.623043093865</v>
      </c>
      <c r="N91" s="696"/>
      <c r="O91" s="15"/>
      <c r="P91" s="15"/>
      <c r="Q91" s="15"/>
      <c r="R91" s="700" t="e">
        <f>VLOOKUP(N91,Isolation!B86:R95,9)</f>
        <v>#N/A</v>
      </c>
      <c r="S91" s="15" t="str">
        <f t="shared" si="33"/>
        <v/>
      </c>
      <c r="U91" s="1898"/>
      <c r="V91" s="681" t="e">
        <f t="shared" si="34"/>
        <v>#N/A</v>
      </c>
      <c r="W91" t="e">
        <v>#N/A</v>
      </c>
      <c r="X91" t="e">
        <v>#N/A</v>
      </c>
      <c r="Y91" t="e">
        <v>#N/A</v>
      </c>
      <c r="Z91" t="e">
        <v>#N/A</v>
      </c>
      <c r="AA91" t="e">
        <v>#N/A</v>
      </c>
      <c r="AB91" t="e">
        <v>#N/A</v>
      </c>
      <c r="AC91" t="e">
        <v>#N/A</v>
      </c>
      <c r="AD91" t="e">
        <v>#N/A</v>
      </c>
      <c r="AE91" s="332" t="e">
        <v>#N/A</v>
      </c>
      <c r="AF91" t="e">
        <v>#N/A</v>
      </c>
      <c r="AG91" s="629" t="e" cm="1">
        <f t="array" ref="AG91">INDEX(W91:AF91,ROWS($1:9))</f>
        <v>#N/A</v>
      </c>
    </row>
    <row r="92" spans="2:33" ht="15" thickBot="1">
      <c r="B92" t="s">
        <v>821</v>
      </c>
      <c r="E92" t="s">
        <v>822</v>
      </c>
      <c r="G92" s="603">
        <f>9.81*G86*ABS(G78-$E$11)*($E$9/1000)^3/(G88*G90)</f>
        <v>99854.219439561304</v>
      </c>
      <c r="H92" s="603">
        <f t="shared" ref="H92:K92" si="37">9.81*H86*ABS(H78-$E$11)*($E$9/1000)^3/(H88*H90)</f>
        <v>4478003.3151641721</v>
      </c>
      <c r="I92" s="603">
        <f t="shared" si="37"/>
        <v>4477965.8719386803</v>
      </c>
      <c r="J92" s="603">
        <f t="shared" si="37"/>
        <v>4477965.8731999006</v>
      </c>
      <c r="K92" s="603">
        <f t="shared" si="37"/>
        <v>4477965.8731998606</v>
      </c>
      <c r="U92" s="1898"/>
      <c r="V92" s="681" t="e">
        <f t="shared" si="34"/>
        <v>#N/A</v>
      </c>
      <c r="W92" t="e">
        <v>#N/A</v>
      </c>
      <c r="X92" t="e">
        <v>#N/A</v>
      </c>
      <c r="Y92" t="e">
        <v>#N/A</v>
      </c>
      <c r="Z92" t="e">
        <v>#N/A</v>
      </c>
      <c r="AA92" t="e">
        <v>#N/A</v>
      </c>
      <c r="AB92" t="e">
        <v>#N/A</v>
      </c>
      <c r="AC92" t="e">
        <v>#N/A</v>
      </c>
      <c r="AD92" t="e">
        <v>#N/A</v>
      </c>
      <c r="AE92" t="e">
        <v>#N/A</v>
      </c>
      <c r="AF92" s="332" t="e">
        <v>#N/A</v>
      </c>
      <c r="AG92" s="699" t="e" cm="1">
        <f t="array" ref="AG92">INDEX(W92:AF92,ROWS($1:10))</f>
        <v>#N/A</v>
      </c>
    </row>
    <row r="94" spans="2:33">
      <c r="B94" s="3" t="s">
        <v>917</v>
      </c>
    </row>
    <row r="95" spans="2:33">
      <c r="B95" t="s">
        <v>823</v>
      </c>
      <c r="E95" t="s">
        <v>824</v>
      </c>
      <c r="F95" t="s">
        <v>847</v>
      </c>
      <c r="G95" s="136">
        <f>'Facteurs conversion'!$C$30*$G$79*((G78+273.15)^4-($E$11+273.15)^4)/((G78+273.15)-($E$11+273.15))</f>
        <v>3.7014813335458348</v>
      </c>
      <c r="H95" s="136">
        <f>'Facteurs conversion'!$C$30*$G$79*((H78+273.15)^4-($E$11+273.15)^4)/((H78+273.15)-($E$11+273.15))</f>
        <v>6.0507004544369183</v>
      </c>
      <c r="I95" s="136">
        <f>'Facteurs conversion'!$C$30*$G$79*((I78+273.15)^4-($E$11+273.15)^4)/((I78+273.15)-($E$11+273.15))</f>
        <v>6.0506242761039797</v>
      </c>
      <c r="J95" s="136">
        <f>'Facteurs conversion'!$C$30*$G$79*((J78+273.15)^4-($E$11+273.15)^4)/((J78+273.15)-($E$11+273.15))</f>
        <v>6.0506242786698348</v>
      </c>
      <c r="K95" s="136">
        <f>'Facteurs conversion'!$C$30*$G$79*((K78+273.15)^4-($E$11+273.15)^4)/((K78+273.15)-($E$11+273.15))</f>
        <v>6.0506242786697504</v>
      </c>
    </row>
    <row r="96" spans="2:33">
      <c r="B96" t="s">
        <v>825</v>
      </c>
    </row>
    <row r="97" spans="2:11">
      <c r="B97" t="s">
        <v>902</v>
      </c>
      <c r="E97" t="s">
        <v>826</v>
      </c>
      <c r="G97" s="593">
        <f>0.3+(0.62*G91^0.5*G85^(1/3))*(1+(G91/282000)^(5/8))^(4/5)/(1 + (0.4/G85)^(2/3))^(1/4)</f>
        <v>66.814246114010885</v>
      </c>
      <c r="H97" s="593">
        <f>0.3+(0.62*H91^0.5*H85^(1/3))*(1+(H91/282000)^(5/8))^(4/5)/(1 + (0.4/H85)^(2/3))^(1/4)</f>
        <v>56.779627509559639</v>
      </c>
      <c r="I97" s="593">
        <f t="shared" ref="I97:K97" si="38">0.3+(0.62*I91^0.5*I85^(1/3))*(1+(I91/282000)^(5/8))^(4/5)/(1 + (0.4/I85)^(2/3))^(1/4)</f>
        <v>56.779852599636705</v>
      </c>
      <c r="J97" s="593">
        <f t="shared" si="38"/>
        <v>56.779852592055107</v>
      </c>
      <c r="K97" s="593">
        <f t="shared" si="38"/>
        <v>56.779852592055363</v>
      </c>
    </row>
    <row r="98" spans="2:11">
      <c r="E98" t="s">
        <v>827</v>
      </c>
      <c r="F98" t="s">
        <v>847</v>
      </c>
      <c r="G98" s="136">
        <f>G97*G83/($E$9/1000)</f>
        <v>18.125562797269833</v>
      </c>
      <c r="H98" s="136">
        <f t="shared" ref="H98:K98" si="39">H97*H83/($E$9/1000)</f>
        <v>17.752059905949153</v>
      </c>
      <c r="I98" s="136">
        <f t="shared" si="39"/>
        <v>17.752068621609546</v>
      </c>
      <c r="J98" s="136">
        <f t="shared" si="39"/>
        <v>17.752068621315981</v>
      </c>
      <c r="K98" s="136">
        <f t="shared" si="39"/>
        <v>17.752068621315988</v>
      </c>
    </row>
    <row r="99" spans="2:11">
      <c r="B99" t="s">
        <v>828</v>
      </c>
      <c r="E99" t="s">
        <v>829</v>
      </c>
      <c r="G99" s="136">
        <f>(0.6 + 0.387*G92^(1/6)/( 1 +(0.559/G85)^(9/16))^(8/27))^2</f>
        <v>7.7802985443472386</v>
      </c>
      <c r="H99" s="136">
        <f t="shared" ref="H99:K99" si="40">(0.6 + 0.387*H92^(1/6)/( 1 +(0.559/H85)^(9/16))^(8/27))^2</f>
        <v>22.292148822722243</v>
      </c>
      <c r="I99" s="136">
        <f t="shared" si="40"/>
        <v>22.292095738804672</v>
      </c>
      <c r="J99" s="136">
        <f t="shared" si="40"/>
        <v>22.292095740592725</v>
      </c>
      <c r="K99" s="136">
        <f t="shared" si="40"/>
        <v>22.292095740592675</v>
      </c>
    </row>
    <row r="100" spans="2:11">
      <c r="E100" t="s">
        <v>830</v>
      </c>
      <c r="F100" t="s">
        <v>847</v>
      </c>
      <c r="G100" s="136">
        <f>G99*G83/($E$9/1000)</f>
        <v>2.1106619927497876</v>
      </c>
      <c r="H100" s="136">
        <f t="shared" ref="H100:K100" si="41">H99*H83/($E$9/1000)</f>
        <v>6.9696047454110586</v>
      </c>
      <c r="I100" s="136">
        <f t="shared" si="41"/>
        <v>6.9695639413703283</v>
      </c>
      <c r="J100" s="136">
        <f t="shared" si="41"/>
        <v>6.9695639427447222</v>
      </c>
      <c r="K100" s="136">
        <f t="shared" si="41"/>
        <v>6.9695639427446787</v>
      </c>
    </row>
    <row r="101" spans="2:11">
      <c r="B101" t="s">
        <v>903</v>
      </c>
      <c r="E101" t="s">
        <v>831</v>
      </c>
      <c r="G101" s="593">
        <f>(G97^4+G99^4)^(1/4)</f>
        <v>66.817317171146172</v>
      </c>
      <c r="H101" s="593">
        <f t="shared" ref="H101:K101" si="42">(H97^4+H99^4)^(1/4)</f>
        <v>57.113927635768214</v>
      </c>
      <c r="I101" s="593">
        <f t="shared" si="42"/>
        <v>57.114145640106301</v>
      </c>
      <c r="J101" s="593">
        <f t="shared" si="42"/>
        <v>57.114145632763339</v>
      </c>
      <c r="K101" s="593">
        <f t="shared" si="42"/>
        <v>57.114145632763588</v>
      </c>
    </row>
    <row r="102" spans="2:11">
      <c r="E102" t="s">
        <v>832</v>
      </c>
      <c r="F102" t="s">
        <v>847</v>
      </c>
      <c r="G102" s="136">
        <f>G101*G83/($E$9/1000)</f>
        <v>18.126395922571653</v>
      </c>
      <c r="H102" s="136">
        <f t="shared" ref="H102:K102" si="43">H101*H83/($E$9/1000)</f>
        <v>17.856578306779131</v>
      </c>
      <c r="I102" s="136">
        <f t="shared" si="43"/>
        <v>17.856584444078955</v>
      </c>
      <c r="J102" s="136">
        <f t="shared" si="43"/>
        <v>17.856584443872226</v>
      </c>
      <c r="K102" s="136">
        <f t="shared" si="43"/>
        <v>17.856584443872229</v>
      </c>
    </row>
    <row r="103" spans="2:11">
      <c r="B103" t="s">
        <v>904</v>
      </c>
      <c r="E103" t="s">
        <v>833</v>
      </c>
      <c r="F103" t="s">
        <v>847</v>
      </c>
      <c r="G103" s="136">
        <f>G102+G95</f>
        <v>21.827877256117489</v>
      </c>
      <c r="H103" s="136">
        <f t="shared" ref="H103:K103" si="44">H102+H95</f>
        <v>23.907278761216048</v>
      </c>
      <c r="I103" s="136">
        <f t="shared" si="44"/>
        <v>23.907208720182936</v>
      </c>
      <c r="J103" s="136">
        <f t="shared" si="44"/>
        <v>23.907208722542059</v>
      </c>
      <c r="K103" s="136">
        <f t="shared" si="44"/>
        <v>23.907208722541981</v>
      </c>
    </row>
    <row r="104" spans="2:11">
      <c r="B104" s="3" t="s">
        <v>905</v>
      </c>
      <c r="G104" s="136"/>
      <c r="H104" s="136"/>
      <c r="I104" s="136"/>
      <c r="J104" s="136"/>
      <c r="K104" s="136"/>
    </row>
    <row r="105" spans="2:11">
      <c r="B105" t="s">
        <v>918</v>
      </c>
      <c r="E105" t="s">
        <v>834</v>
      </c>
      <c r="F105" t="s">
        <v>805</v>
      </c>
      <c r="G105" s="136">
        <f>Propriété_matériau!$G$9*($E$10+273.15)^3+Propriété_matériau!$H$9*($E$10+273.15)^2+Propriété_matériau!$I$9*($E$10+273.15)+Propriété_matériau!$J$9</f>
        <v>60.381356365592872</v>
      </c>
      <c r="H105" s="136">
        <f>Propriété_matériau!$G$9*($E$10+273.15)^3+Propriété_matériau!$H$9*($E$10+273.15)^2+Propriété_matériau!$I$9*($E$10+273.15)+Propriété_matériau!$J$9</f>
        <v>60.381356365592872</v>
      </c>
      <c r="I105" s="136">
        <f>Propriété_matériau!$G$9*($E$10+273.15)^3+Propriété_matériau!$H$9*($E$10+273.15)^2+Propriété_matériau!$I$9*($E$10+273.15)+Propriété_matériau!$J$9</f>
        <v>60.381356365592872</v>
      </c>
      <c r="J105" s="136">
        <f>Propriété_matériau!$G$9*($E$10+273.15)^3+Propriété_matériau!$H$9*($E$10+273.15)^2+Propriété_matériau!$I$9*($E$10+273.15)+Propriété_matériau!$J$9</f>
        <v>60.381356365592872</v>
      </c>
      <c r="K105" s="136">
        <f>Propriété_matériau!$G$9*($E$10+273.15)^3+Propriété_matériau!$H$9*($E$10+273.15)^2+Propriété_matériau!$I$9*($E$10+273.15)+Propriété_matériau!$J$9</f>
        <v>60.381356365592872</v>
      </c>
    </row>
    <row r="106" spans="2:11">
      <c r="B106" t="s">
        <v>906</v>
      </c>
      <c r="E106" t="s">
        <v>835</v>
      </c>
      <c r="F106" t="s">
        <v>848</v>
      </c>
      <c r="G106" s="601">
        <f>($E$9/1000)*LN($E$9/$E$8)/(2*G105)</f>
        <v>1.2729211346106643E-5</v>
      </c>
      <c r="H106" s="601">
        <f t="shared" ref="H106:K106" si="45">($E$9/1000)*LN($E$9/$E$8)/(2*H105)</f>
        <v>1.2729211346106643E-5</v>
      </c>
      <c r="I106" s="601">
        <f t="shared" si="45"/>
        <v>1.2729211346106643E-5</v>
      </c>
      <c r="J106" s="601">
        <f t="shared" si="45"/>
        <v>1.2729211346106643E-5</v>
      </c>
      <c r="K106" s="601">
        <f t="shared" si="45"/>
        <v>1.2729211346106643E-5</v>
      </c>
    </row>
    <row r="107" spans="2:11">
      <c r="B107" s="3" t="s">
        <v>919</v>
      </c>
      <c r="E107" t="s">
        <v>838</v>
      </c>
      <c r="F107" t="s">
        <v>848</v>
      </c>
      <c r="G107" s="584">
        <f>G106+1/G103</f>
        <v>4.5825704438689371E-2</v>
      </c>
      <c r="H107" s="584">
        <f t="shared" ref="H107:K107" si="46">H106+1/H103</f>
        <v>4.184099456885159E-2</v>
      </c>
      <c r="I107" s="584">
        <f t="shared" si="46"/>
        <v>4.1841117113267094E-2</v>
      </c>
      <c r="J107" s="584">
        <f t="shared" si="46"/>
        <v>4.1841117109139542E-2</v>
      </c>
      <c r="K107" s="584">
        <f t="shared" si="46"/>
        <v>4.1841117109139681E-2</v>
      </c>
    </row>
    <row r="108" spans="2:11">
      <c r="B108" t="s">
        <v>910</v>
      </c>
      <c r="E108" t="s">
        <v>839</v>
      </c>
      <c r="F108" t="s">
        <v>849</v>
      </c>
      <c r="G108" s="608">
        <f>($E$10-$E$11)/G107</f>
        <v>2045.7431085002706</v>
      </c>
      <c r="H108" s="608">
        <f t="shared" ref="H108:K108" si="47">($E$10-$E$11)/H107</f>
        <v>2240.5686101307256</v>
      </c>
      <c r="I108" s="608">
        <f t="shared" si="47"/>
        <v>2240.5620479452564</v>
      </c>
      <c r="J108" s="608">
        <f t="shared" si="47"/>
        <v>2240.5620481662841</v>
      </c>
      <c r="K108" s="608">
        <f t="shared" si="47"/>
        <v>2240.5620481662768</v>
      </c>
    </row>
    <row r="109" spans="2:11">
      <c r="B109" t="s">
        <v>920</v>
      </c>
      <c r="E109" t="s">
        <v>840</v>
      </c>
      <c r="F109" t="s">
        <v>843</v>
      </c>
      <c r="G109" s="593">
        <f>$E$10 - G108*G106</f>
        <v>93.307292636945391</v>
      </c>
      <c r="H109" s="593">
        <f t="shared" ref="H109:K109" si="48">$E$10 - H108*H106</f>
        <v>93.304812661959517</v>
      </c>
      <c r="I109" s="593">
        <f t="shared" si="48"/>
        <v>93.304812745490963</v>
      </c>
      <c r="J109" s="593">
        <f t="shared" si="48"/>
        <v>93.30481274548815</v>
      </c>
      <c r="K109" s="593">
        <f t="shared" si="48"/>
        <v>93.30481274548815</v>
      </c>
    </row>
    <row r="110" spans="2:11">
      <c r="B110" t="s">
        <v>912</v>
      </c>
      <c r="F110" t="s">
        <v>797</v>
      </c>
      <c r="G110" s="136">
        <f>G108*PI()*($E$9/1000)</f>
        <v>571.35065619879981</v>
      </c>
      <c r="H110" s="136">
        <f t="shared" ref="H110:K110" si="49">H108*PI()*($E$9/1000)</f>
        <v>625.76300041655668</v>
      </c>
      <c r="I110" s="136">
        <f t="shared" si="49"/>
        <v>625.76116767961219</v>
      </c>
      <c r="J110" s="136">
        <f t="shared" si="49"/>
        <v>625.76116774134243</v>
      </c>
      <c r="K110" s="136">
        <f t="shared" si="49"/>
        <v>625.7611677413405</v>
      </c>
    </row>
  </sheetData>
  <mergeCells count="37">
    <mergeCell ref="U83:U92"/>
    <mergeCell ref="U68:U77"/>
    <mergeCell ref="N79:AG79"/>
    <mergeCell ref="N80:N81"/>
    <mergeCell ref="Q80:Q81"/>
    <mergeCell ref="W80:AF80"/>
    <mergeCell ref="W81:AF81"/>
    <mergeCell ref="AG81:AG82"/>
    <mergeCell ref="N64:AG64"/>
    <mergeCell ref="N65:N66"/>
    <mergeCell ref="Q65:Q66"/>
    <mergeCell ref="W65:AF65"/>
    <mergeCell ref="W66:AF66"/>
    <mergeCell ref="AG66:AG67"/>
    <mergeCell ref="W36:AF36"/>
    <mergeCell ref="AG36:AG37"/>
    <mergeCell ref="B3:Z3"/>
    <mergeCell ref="B7:K7"/>
    <mergeCell ref="B21:K21"/>
    <mergeCell ref="W11:AP11"/>
    <mergeCell ref="U13:U32"/>
    <mergeCell ref="U53:U62"/>
    <mergeCell ref="W51:AF51"/>
    <mergeCell ref="N9:S9"/>
    <mergeCell ref="Q10:Q11"/>
    <mergeCell ref="N10:N11"/>
    <mergeCell ref="W50:AF50"/>
    <mergeCell ref="N50:N51"/>
    <mergeCell ref="Q50:Q51"/>
    <mergeCell ref="U38:U47"/>
    <mergeCell ref="W10:AQ10"/>
    <mergeCell ref="AG51:AG52"/>
    <mergeCell ref="N49:AG49"/>
    <mergeCell ref="N34:AG34"/>
    <mergeCell ref="N35:N36"/>
    <mergeCell ref="Q35:Q36"/>
    <mergeCell ref="W35:AF35"/>
  </mergeCells>
  <pageMargins left="0.23622047244094491" right="0.23622047244094491" top="0.74803149606299213" bottom="0.74803149606299213" header="0.31496062992125984" footer="0.31496062992125984"/>
  <pageSetup paperSize="9" scale="85" orientation="portrait" horizontalDpi="4294967293" verticalDpi="4294967293" r:id="rId1"/>
  <rowBreaks count="1" manualBreakCount="1">
    <brk id="74" max="10" man="1"/>
  </rowBreaks>
  <colBreaks count="1" manualBreakCount="1">
    <brk id="11"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A0FA-CDF3-4E24-9C0C-F81A2D5DB30B}">
  <sheetPr codeName="Feuil9">
    <tabColor theme="7" tint="0.39997558519241921"/>
  </sheetPr>
  <dimension ref="A1:AQ110"/>
  <sheetViews>
    <sheetView workbookViewId="0">
      <selection activeCell="Q15" sqref="Q15"/>
    </sheetView>
  </sheetViews>
  <sheetFormatPr baseColWidth="10" defaultColWidth="9.21875" defaultRowHeight="14.4"/>
  <cols>
    <col min="1" max="1" width="4.21875" style="592" customWidth="1"/>
    <col min="2" max="2" width="12.21875" customWidth="1"/>
    <col min="3" max="3" width="10.5546875" customWidth="1"/>
    <col min="5" max="5" width="13.77734375" bestFit="1" customWidth="1"/>
    <col min="13" max="13" width="9.5546875" bestFit="1" customWidth="1"/>
    <col min="14" max="14" width="11.77734375" bestFit="1" customWidth="1"/>
    <col min="15" max="15" width="11.5546875" customWidth="1"/>
    <col min="16" max="16" width="10.77734375" customWidth="1"/>
    <col min="17" max="17" width="22.77734375" customWidth="1"/>
    <col min="18" max="18" width="11.5546875" customWidth="1"/>
    <col min="21" max="21" width="6.77734375" customWidth="1"/>
    <col min="22" max="22" width="12.44140625" customWidth="1"/>
    <col min="33" max="33" width="10.5546875" bestFit="1" customWidth="1"/>
  </cols>
  <sheetData>
    <row r="1" spans="1:43" ht="36.6">
      <c r="A1" s="789"/>
      <c r="B1" s="741" t="s">
        <v>1151</v>
      </c>
      <c r="C1" s="584"/>
      <c r="D1" s="584"/>
      <c r="E1" s="584"/>
      <c r="F1" s="584"/>
      <c r="G1" s="584"/>
      <c r="H1" s="584"/>
      <c r="I1" s="176"/>
    </row>
    <row r="2" spans="1:43" ht="15" customHeight="1">
      <c r="A2" s="679"/>
      <c r="B2" s="679"/>
      <c r="C2" s="584"/>
      <c r="D2" s="584"/>
      <c r="E2" s="584"/>
      <c r="F2" s="584"/>
      <c r="G2" s="584"/>
      <c r="H2" s="584"/>
      <c r="I2" s="176"/>
    </row>
    <row r="3" spans="1:43" ht="12.75" customHeight="1">
      <c r="A3" s="585"/>
      <c r="B3" s="1895" t="s">
        <v>1081</v>
      </c>
      <c r="C3" s="1895"/>
      <c r="D3" s="1895"/>
      <c r="E3" s="1895"/>
      <c r="F3" s="1895"/>
      <c r="G3" s="1895"/>
      <c r="H3" s="1895"/>
      <c r="I3" s="1895"/>
      <c r="J3" s="1895"/>
      <c r="K3" s="1895"/>
      <c r="L3" s="1895"/>
      <c r="M3" s="1895"/>
      <c r="N3" s="1895"/>
      <c r="O3" s="1895"/>
      <c r="P3" s="1895"/>
      <c r="Q3" s="1895"/>
      <c r="R3" s="1895"/>
      <c r="S3" s="1895"/>
      <c r="T3" s="1895"/>
      <c r="U3" s="1895"/>
      <c r="V3" s="1895"/>
      <c r="W3" s="1895"/>
      <c r="X3" s="1895"/>
      <c r="Y3" s="1895"/>
      <c r="Z3" s="1895"/>
    </row>
    <row r="4" spans="1:43" ht="12.75" customHeight="1">
      <c r="A4" s="585"/>
      <c r="B4" s="609"/>
      <c r="C4" s="609"/>
      <c r="D4" s="609"/>
      <c r="E4" s="609"/>
      <c r="F4" s="609"/>
      <c r="G4" s="609"/>
      <c r="H4" s="609"/>
      <c r="I4" s="609"/>
      <c r="J4" s="609"/>
      <c r="K4" s="609"/>
      <c r="L4" s="604"/>
    </row>
    <row r="5" spans="1:43" ht="27" customHeight="1" thickBot="1">
      <c r="A5" s="585"/>
      <c r="B5" s="631" t="s">
        <v>921</v>
      </c>
      <c r="C5" s="630"/>
      <c r="D5" s="630"/>
      <c r="E5" s="630"/>
      <c r="F5" s="630"/>
      <c r="G5" s="630"/>
      <c r="H5" s="630"/>
      <c r="I5" s="630"/>
      <c r="J5" s="630"/>
      <c r="K5" s="630"/>
      <c r="L5" s="604"/>
      <c r="N5" s="680" t="s">
        <v>931</v>
      </c>
      <c r="O5" s="675"/>
      <c r="P5" s="675"/>
      <c r="Q5" s="675"/>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row>
    <row r="6" spans="1:43" ht="12.75" customHeight="1">
      <c r="A6" s="585"/>
      <c r="B6" s="609"/>
      <c r="C6" s="609"/>
      <c r="D6" s="609"/>
      <c r="E6" s="609"/>
      <c r="F6" s="609"/>
      <c r="G6" s="609"/>
      <c r="H6" s="609"/>
      <c r="I6" s="609"/>
      <c r="J6" s="609"/>
      <c r="K6" s="609"/>
      <c r="L6" s="604"/>
      <c r="N6" s="614" t="s">
        <v>980</v>
      </c>
      <c r="O6" s="615" t="s">
        <v>933</v>
      </c>
      <c r="P6" s="674" t="s">
        <v>1481</v>
      </c>
      <c r="Q6" s="615"/>
      <c r="R6" s="615" t="s">
        <v>927</v>
      </c>
      <c r="S6" s="616"/>
      <c r="T6" s="633">
        <f>Hypothèses!D178</f>
        <v>2.2351999999999999</v>
      </c>
      <c r="U6" s="618" t="s">
        <v>794</v>
      </c>
    </row>
    <row r="7" spans="1:43" ht="15" thickBot="1">
      <c r="B7" s="1892" t="s">
        <v>936</v>
      </c>
      <c r="C7" s="1892"/>
      <c r="D7" s="1892"/>
      <c r="E7" s="1892"/>
      <c r="F7" s="1892"/>
      <c r="G7" s="1892"/>
      <c r="H7" s="1892"/>
      <c r="I7" s="1892"/>
      <c r="J7" s="1892"/>
      <c r="K7" s="1892"/>
      <c r="N7" s="619"/>
      <c r="O7" s="620" t="s">
        <v>393</v>
      </c>
      <c r="P7" s="620" t="s">
        <v>1475</v>
      </c>
      <c r="Q7" s="620" t="s">
        <v>1476</v>
      </c>
      <c r="R7" s="621" t="s">
        <v>934</v>
      </c>
      <c r="S7" s="621"/>
      <c r="T7" s="622">
        <f>Hypothèses!D174</f>
        <v>6.8</v>
      </c>
      <c r="U7" s="623" t="s">
        <v>13</v>
      </c>
    </row>
    <row r="8" spans="1:43">
      <c r="B8" t="s">
        <v>850</v>
      </c>
      <c r="C8" t="s">
        <v>851</v>
      </c>
      <c r="E8" s="593">
        <f>E9-CONVERT(Hypothèses!D180,"in","mm")</f>
        <v>87.376000000000005</v>
      </c>
      <c r="F8" t="s">
        <v>793</v>
      </c>
      <c r="N8" s="601"/>
      <c r="O8" s="601"/>
      <c r="P8" s="601"/>
      <c r="Q8" s="601"/>
      <c r="T8" s="136"/>
    </row>
    <row r="9" spans="1:43">
      <c r="C9" t="s">
        <v>997</v>
      </c>
      <c r="E9" s="627">
        <v>88.9</v>
      </c>
      <c r="F9" t="s">
        <v>793</v>
      </c>
      <c r="N9" s="1910" t="s">
        <v>989</v>
      </c>
      <c r="O9" s="1911"/>
      <c r="P9" s="1911"/>
      <c r="Q9" s="1911"/>
      <c r="R9" s="1911"/>
      <c r="S9" s="1912"/>
    </row>
    <row r="10" spans="1:43">
      <c r="B10" t="s">
        <v>853</v>
      </c>
      <c r="E10" s="627">
        <v>93.333333333333329</v>
      </c>
      <c r="F10" t="s">
        <v>843</v>
      </c>
      <c r="N10" s="1908" t="s">
        <v>923</v>
      </c>
      <c r="O10" s="689" t="s">
        <v>944</v>
      </c>
      <c r="P10" s="689" t="s">
        <v>925</v>
      </c>
      <c r="Q10" s="1899" t="s">
        <v>935</v>
      </c>
      <c r="R10" s="702" t="s">
        <v>991</v>
      </c>
      <c r="S10" s="702" t="s">
        <v>922</v>
      </c>
      <c r="W10" s="1901" t="s">
        <v>982</v>
      </c>
      <c r="X10" s="1901"/>
      <c r="Y10" s="1901"/>
      <c r="Z10" s="1901"/>
      <c r="AA10" s="1901"/>
      <c r="AB10" s="1901"/>
      <c r="AC10" s="1901"/>
      <c r="AD10" s="1901"/>
      <c r="AE10" s="1901"/>
      <c r="AF10" s="1901"/>
      <c r="AG10" s="1901"/>
      <c r="AH10" s="1901"/>
      <c r="AI10" s="1901"/>
      <c r="AJ10" s="1901"/>
      <c r="AK10" s="1901"/>
      <c r="AL10" s="1901"/>
      <c r="AM10" s="1901"/>
      <c r="AN10" s="1901"/>
      <c r="AO10" s="1901"/>
      <c r="AP10" s="1901"/>
      <c r="AQ10" s="1901"/>
    </row>
    <row r="11" spans="1:43" ht="15" thickBot="1">
      <c r="B11" t="s">
        <v>854</v>
      </c>
      <c r="E11" s="598">
        <f>T7</f>
        <v>6.8</v>
      </c>
      <c r="F11" t="s">
        <v>843</v>
      </c>
      <c r="N11" s="1909"/>
      <c r="O11" s="690" t="s">
        <v>928</v>
      </c>
      <c r="P11" s="690" t="s">
        <v>929</v>
      </c>
      <c r="Q11" s="1900"/>
      <c r="R11" s="704" t="s">
        <v>945</v>
      </c>
      <c r="S11" s="703" t="s">
        <v>1000</v>
      </c>
      <c r="W11" s="1894" t="s">
        <v>779</v>
      </c>
      <c r="X11" s="1894"/>
      <c r="Y11" s="1894"/>
      <c r="Z11" s="1894"/>
      <c r="AA11" s="1894"/>
      <c r="AB11" s="1894"/>
      <c r="AC11" s="1894"/>
      <c r="AD11" s="1894"/>
      <c r="AE11" s="1894"/>
      <c r="AF11" s="1894"/>
      <c r="AG11" s="1894"/>
      <c r="AH11" s="1894"/>
      <c r="AI11" s="1894"/>
      <c r="AJ11" s="1894"/>
      <c r="AK11" s="1894"/>
      <c r="AL11" s="1894"/>
      <c r="AM11" s="1894"/>
      <c r="AN11" s="1894"/>
      <c r="AO11" s="1894"/>
      <c r="AP11" s="1894"/>
    </row>
    <row r="12" spans="1:43">
      <c r="B12" t="s">
        <v>855</v>
      </c>
      <c r="E12" s="598">
        <f>T6</f>
        <v>2.2351999999999999</v>
      </c>
      <c r="F12" t="s">
        <v>794</v>
      </c>
      <c r="N12" s="15" t="e" cm="1" vm="2">
        <f t="array" ref="N12">_xlfn._xlws.FILTER(Isolation!$B$7:$E$26,Isolation!$E$7:$E$26=(P6&amp;"_"&amp;P7))</f>
        <v>#VALUE!</v>
      </c>
      <c r="O12" s="15"/>
      <c r="P12" s="15"/>
      <c r="Q12" s="15"/>
      <c r="R12" s="683" t="e">
        <f>VLOOKUP(O12,Hypothèses!$C$214:$E$234,3)</f>
        <v>#N/A</v>
      </c>
      <c r="S12" s="683" t="e" vm="1">
        <f>IF(N12="","",AQ13)</f>
        <v>#VALUE!</v>
      </c>
      <c r="V12" s="634">
        <f>$E$30</f>
        <v>542.96817309158337</v>
      </c>
      <c r="W12" s="678" cm="1">
        <f t="array" ref="W12:AP12">TRANSPOSE(P12:P31)</f>
        <v>0</v>
      </c>
      <c r="X12" s="678">
        <v>0</v>
      </c>
      <c r="Y12" s="678">
        <v>0</v>
      </c>
      <c r="Z12" s="678">
        <v>0</v>
      </c>
      <c r="AA12" s="678">
        <v>0</v>
      </c>
      <c r="AB12" s="678">
        <v>0</v>
      </c>
      <c r="AC12" s="678">
        <v>0</v>
      </c>
      <c r="AD12" s="678">
        <v>0</v>
      </c>
      <c r="AE12" s="678">
        <v>0</v>
      </c>
      <c r="AF12" s="678">
        <v>0</v>
      </c>
      <c r="AG12" s="678">
        <v>0</v>
      </c>
      <c r="AH12" s="678">
        <v>0</v>
      </c>
      <c r="AI12" s="678">
        <v>0</v>
      </c>
      <c r="AJ12" s="678">
        <v>0</v>
      </c>
      <c r="AK12" s="678">
        <v>0</v>
      </c>
      <c r="AL12" s="678">
        <v>0</v>
      </c>
      <c r="AM12" s="678">
        <v>0</v>
      </c>
      <c r="AN12" s="678">
        <v>0</v>
      </c>
      <c r="AO12" s="678">
        <v>0</v>
      </c>
      <c r="AP12" s="678">
        <v>0</v>
      </c>
      <c r="AQ12" s="628" t="s">
        <v>1217</v>
      </c>
    </row>
    <row r="13" spans="1:43" ht="15" customHeight="1">
      <c r="N13" s="15"/>
      <c r="O13" s="15"/>
      <c r="P13" s="15"/>
      <c r="Q13" s="15"/>
      <c r="R13" s="683" t="e">
        <f>VLOOKUP(O13,Hypothèses!$C$214:$E$234,3)</f>
        <v>#N/A</v>
      </c>
      <c r="S13" s="683" t="str">
        <f t="shared" ref="S13:S31" si="0">IF(N13="","",AQ14)</f>
        <v/>
      </c>
      <c r="U13" s="1893" t="s">
        <v>992</v>
      </c>
      <c r="V13" s="681" t="e">
        <f>R12</f>
        <v>#N/A</v>
      </c>
      <c r="W13" s="332" t="e">
        <f t="dataTable" ref="W13:AP32" dt2D="1" dtr="1" r1="E10" r2="E9" ca="1"/>
        <v>#N/A</v>
      </c>
      <c r="X13" t="e">
        <v>#N/A</v>
      </c>
      <c r="Y13" t="e">
        <v>#N/A</v>
      </c>
      <c r="Z13" t="e">
        <v>#N/A</v>
      </c>
      <c r="AA13" t="e">
        <v>#N/A</v>
      </c>
      <c r="AB13" t="e">
        <v>#N/A</v>
      </c>
      <c r="AC13" t="e">
        <v>#N/A</v>
      </c>
      <c r="AD13" t="e">
        <v>#N/A</v>
      </c>
      <c r="AE13" t="e">
        <v>#N/A</v>
      </c>
      <c r="AF13" t="e">
        <v>#N/A</v>
      </c>
      <c r="AG13" t="e">
        <v>#N/A</v>
      </c>
      <c r="AH13" t="e">
        <v>#N/A</v>
      </c>
      <c r="AI13" t="e">
        <v>#N/A</v>
      </c>
      <c r="AJ13" t="e">
        <v>#N/A</v>
      </c>
      <c r="AK13" t="e">
        <v>#N/A</v>
      </c>
      <c r="AL13" t="e">
        <v>#N/A</v>
      </c>
      <c r="AM13" t="e">
        <v>#N/A</v>
      </c>
      <c r="AN13" t="e">
        <v>#N/A</v>
      </c>
      <c r="AO13" t="e">
        <v>#N/A</v>
      </c>
      <c r="AP13" t="e">
        <v>#N/A</v>
      </c>
      <c r="AQ13" s="629" t="e" cm="1">
        <f t="array" ref="AQ13">INDEX(W13:AP13,ROWS($1:1))</f>
        <v>#N/A</v>
      </c>
    </row>
    <row r="14" spans="1:43">
      <c r="B14" t="s">
        <v>258</v>
      </c>
      <c r="N14" s="15"/>
      <c r="O14" s="15"/>
      <c r="P14" s="15"/>
      <c r="Q14" s="15"/>
      <c r="R14" s="683" t="e">
        <f>VLOOKUP(O14,Hypothèses!$C$214:$E$234,3)</f>
        <v>#N/A</v>
      </c>
      <c r="S14" s="683" t="str">
        <f t="shared" si="0"/>
        <v/>
      </c>
      <c r="U14" s="1893"/>
      <c r="V14" s="681" t="e">
        <f t="shared" ref="V14:V32" si="1">R13</f>
        <v>#N/A</v>
      </c>
      <c r="W14" t="e">
        <v>#N/A</v>
      </c>
      <c r="X14" s="332" t="e">
        <v>#N/A</v>
      </c>
      <c r="Y14" t="e">
        <v>#N/A</v>
      </c>
      <c r="Z14" t="e">
        <v>#N/A</v>
      </c>
      <c r="AA14" t="e">
        <v>#N/A</v>
      </c>
      <c r="AB14" t="e">
        <v>#N/A</v>
      </c>
      <c r="AC14" t="e">
        <v>#N/A</v>
      </c>
      <c r="AD14" t="e">
        <v>#N/A</v>
      </c>
      <c r="AE14" t="e">
        <v>#N/A</v>
      </c>
      <c r="AF14" t="e">
        <v>#N/A</v>
      </c>
      <c r="AG14" t="e">
        <v>#N/A</v>
      </c>
      <c r="AH14" t="e">
        <v>#N/A</v>
      </c>
      <c r="AI14" t="e">
        <v>#N/A</v>
      </c>
      <c r="AJ14" t="e">
        <v>#N/A</v>
      </c>
      <c r="AK14" t="e">
        <v>#N/A</v>
      </c>
      <c r="AL14" t="e">
        <v>#N/A</v>
      </c>
      <c r="AM14" t="e">
        <v>#N/A</v>
      </c>
      <c r="AN14" t="e">
        <v>#N/A</v>
      </c>
      <c r="AO14" t="e">
        <v>#N/A</v>
      </c>
      <c r="AP14" t="e">
        <v>#N/A</v>
      </c>
      <c r="AQ14" s="629" t="e" cm="1">
        <f t="array" ref="AQ14">INDEX(W14:AP14,ROWS($1:2))</f>
        <v>#N/A</v>
      </c>
    </row>
    <row r="15" spans="1:43">
      <c r="B15" t="s">
        <v>795</v>
      </c>
      <c r="E15" s="600" t="s">
        <v>796</v>
      </c>
      <c r="M15" s="584"/>
      <c r="N15" s="684"/>
      <c r="O15" s="684"/>
      <c r="P15" s="684"/>
      <c r="Q15" s="684"/>
      <c r="R15" s="683" t="e">
        <f>VLOOKUP(O15,Hypothèses!$C$214:$E$234,3)</f>
        <v>#N/A</v>
      </c>
      <c r="S15" s="683" t="str">
        <f t="shared" si="0"/>
        <v/>
      </c>
      <c r="U15" s="1893"/>
      <c r="V15" s="681" t="e">
        <f t="shared" si="1"/>
        <v>#N/A</v>
      </c>
      <c r="W15" t="e">
        <v>#N/A</v>
      </c>
      <c r="X15" t="e">
        <v>#N/A</v>
      </c>
      <c r="Y15" s="332" t="e">
        <v>#N/A</v>
      </c>
      <c r="Z15" t="e">
        <v>#N/A</v>
      </c>
      <c r="AA15" t="e">
        <v>#N/A</v>
      </c>
      <c r="AB15" t="e">
        <v>#N/A</v>
      </c>
      <c r="AC15" t="e">
        <v>#N/A</v>
      </c>
      <c r="AD15" t="e">
        <v>#N/A</v>
      </c>
      <c r="AE15" t="e">
        <v>#N/A</v>
      </c>
      <c r="AF15" t="e">
        <v>#N/A</v>
      </c>
      <c r="AG15" t="e">
        <v>#N/A</v>
      </c>
      <c r="AH15" t="e">
        <v>#N/A</v>
      </c>
      <c r="AI15" t="e">
        <v>#N/A</v>
      </c>
      <c r="AJ15" t="e">
        <v>#N/A</v>
      </c>
      <c r="AK15" t="e">
        <v>#N/A</v>
      </c>
      <c r="AL15" t="e">
        <v>#N/A</v>
      </c>
      <c r="AM15" t="e">
        <v>#N/A</v>
      </c>
      <c r="AN15" t="e">
        <v>#N/A</v>
      </c>
      <c r="AO15" t="e">
        <v>#N/A</v>
      </c>
      <c r="AP15" t="e">
        <v>#N/A</v>
      </c>
      <c r="AQ15" s="629" t="e" cm="1">
        <f t="array" ref="AQ15">INDEX(W15:AP15,ROWS($1:3))</f>
        <v>#N/A</v>
      </c>
    </row>
    <row r="16" spans="1:43">
      <c r="B16" t="s">
        <v>856</v>
      </c>
      <c r="E16">
        <v>0.9</v>
      </c>
      <c r="M16" s="136"/>
      <c r="N16" s="685"/>
      <c r="O16" s="685"/>
      <c r="P16" s="685"/>
      <c r="Q16" s="685"/>
      <c r="R16" s="683" t="e">
        <f>VLOOKUP(O16,Hypothèses!$C$214:$E$234,3)</f>
        <v>#N/A</v>
      </c>
      <c r="S16" s="683" t="str">
        <f t="shared" si="0"/>
        <v/>
      </c>
      <c r="U16" s="1893"/>
      <c r="V16" s="681" t="e">
        <f t="shared" si="1"/>
        <v>#N/A</v>
      </c>
      <c r="W16" t="e">
        <v>#N/A</v>
      </c>
      <c r="X16" t="e">
        <v>#N/A</v>
      </c>
      <c r="Y16" t="e">
        <v>#N/A</v>
      </c>
      <c r="Z16" s="332" t="e">
        <v>#N/A</v>
      </c>
      <c r="AA16" t="e">
        <v>#N/A</v>
      </c>
      <c r="AB16" t="e">
        <v>#N/A</v>
      </c>
      <c r="AC16" t="e">
        <v>#N/A</v>
      </c>
      <c r="AD16" t="e">
        <v>#N/A</v>
      </c>
      <c r="AE16" t="e">
        <v>#N/A</v>
      </c>
      <c r="AF16" t="e">
        <v>#N/A</v>
      </c>
      <c r="AG16" t="e">
        <v>#N/A</v>
      </c>
      <c r="AH16" t="e">
        <v>#N/A</v>
      </c>
      <c r="AI16" t="e">
        <v>#N/A</v>
      </c>
      <c r="AJ16" t="e">
        <v>#N/A</v>
      </c>
      <c r="AK16" t="e">
        <v>#N/A</v>
      </c>
      <c r="AL16" t="e">
        <v>#N/A</v>
      </c>
      <c r="AM16" t="e">
        <v>#N/A</v>
      </c>
      <c r="AN16" t="e">
        <v>#N/A</v>
      </c>
      <c r="AO16" t="e">
        <v>#N/A</v>
      </c>
      <c r="AP16" t="e">
        <v>#N/A</v>
      </c>
      <c r="AQ16" s="629" t="e" cm="1">
        <f t="array" ref="AQ16">INDEX(W16:AP16,ROWS($1:4))</f>
        <v>#N/A</v>
      </c>
    </row>
    <row r="17" spans="2:43">
      <c r="B17" t="s">
        <v>857</v>
      </c>
      <c r="E17" s="599">
        <f>CONVERT(Hypothèses!D184,"in","mm")</f>
        <v>50.8</v>
      </c>
      <c r="F17" t="s">
        <v>793</v>
      </c>
      <c r="M17" s="136"/>
      <c r="N17" s="684"/>
      <c r="O17" s="684"/>
      <c r="P17" s="684"/>
      <c r="Q17" s="684"/>
      <c r="R17" s="683" t="e">
        <f>VLOOKUP(O17,Hypothèses!$C$214:$E$234,3)</f>
        <v>#N/A</v>
      </c>
      <c r="S17" s="683" t="str">
        <f t="shared" si="0"/>
        <v/>
      </c>
      <c r="U17" s="1893"/>
      <c r="V17" s="681" t="e">
        <f t="shared" si="1"/>
        <v>#N/A</v>
      </c>
      <c r="W17" t="e">
        <v>#N/A</v>
      </c>
      <c r="X17" t="e">
        <v>#N/A</v>
      </c>
      <c r="Y17" t="e">
        <v>#N/A</v>
      </c>
      <c r="Z17" t="e">
        <v>#N/A</v>
      </c>
      <c r="AA17" s="332" t="e">
        <v>#N/A</v>
      </c>
      <c r="AB17" t="e">
        <v>#N/A</v>
      </c>
      <c r="AC17" t="e">
        <v>#N/A</v>
      </c>
      <c r="AD17" t="e">
        <v>#N/A</v>
      </c>
      <c r="AE17" t="e">
        <v>#N/A</v>
      </c>
      <c r="AF17" t="e">
        <v>#N/A</v>
      </c>
      <c r="AG17" t="e">
        <v>#N/A</v>
      </c>
      <c r="AH17" t="e">
        <v>#N/A</v>
      </c>
      <c r="AI17" t="e">
        <v>#N/A</v>
      </c>
      <c r="AJ17" t="e">
        <v>#N/A</v>
      </c>
      <c r="AK17" t="e">
        <v>#N/A</v>
      </c>
      <c r="AL17" t="e">
        <v>#N/A</v>
      </c>
      <c r="AM17" t="e">
        <v>#N/A</v>
      </c>
      <c r="AN17" t="e">
        <v>#N/A</v>
      </c>
      <c r="AO17" t="e">
        <v>#N/A</v>
      </c>
      <c r="AP17" t="e">
        <v>#N/A</v>
      </c>
      <c r="AQ17" s="629" t="e" cm="1">
        <f t="array" ref="AQ17">INDEX(W17:AP17,ROWS($1:5))</f>
        <v>#N/A</v>
      </c>
    </row>
    <row r="18" spans="2:43">
      <c r="B18" t="s">
        <v>852</v>
      </c>
      <c r="D18" t="s">
        <v>1154</v>
      </c>
      <c r="E18">
        <f>E9+2*E17</f>
        <v>190.5</v>
      </c>
      <c r="F18" t="s">
        <v>793</v>
      </c>
      <c r="M18" s="136"/>
      <c r="N18" s="686"/>
      <c r="O18" s="686"/>
      <c r="P18" s="686"/>
      <c r="Q18" s="686"/>
      <c r="R18" s="683" t="e">
        <f>VLOOKUP(O18,Hypothèses!$C$214:$E$234,3)</f>
        <v>#N/A</v>
      </c>
      <c r="S18" s="683" t="str">
        <f t="shared" si="0"/>
        <v/>
      </c>
      <c r="U18" s="1893"/>
      <c r="V18" s="681" t="e">
        <f t="shared" si="1"/>
        <v>#N/A</v>
      </c>
      <c r="W18" t="e">
        <v>#N/A</v>
      </c>
      <c r="X18" t="e">
        <v>#N/A</v>
      </c>
      <c r="Y18" t="e">
        <v>#N/A</v>
      </c>
      <c r="Z18" t="e">
        <v>#N/A</v>
      </c>
      <c r="AA18" t="e">
        <v>#N/A</v>
      </c>
      <c r="AB18" s="332" t="e">
        <v>#N/A</v>
      </c>
      <c r="AC18" t="e">
        <v>#N/A</v>
      </c>
      <c r="AD18" t="e">
        <v>#N/A</v>
      </c>
      <c r="AE18" t="e">
        <v>#N/A</v>
      </c>
      <c r="AF18" t="e">
        <v>#N/A</v>
      </c>
      <c r="AG18" t="e">
        <v>#N/A</v>
      </c>
      <c r="AH18" t="e">
        <v>#N/A</v>
      </c>
      <c r="AI18" t="e">
        <v>#N/A</v>
      </c>
      <c r="AJ18" t="e">
        <v>#N/A</v>
      </c>
      <c r="AK18" t="e">
        <v>#N/A</v>
      </c>
      <c r="AL18" t="e">
        <v>#N/A</v>
      </c>
      <c r="AM18" t="e">
        <v>#N/A</v>
      </c>
      <c r="AN18" t="e">
        <v>#N/A</v>
      </c>
      <c r="AO18" t="e">
        <v>#N/A</v>
      </c>
      <c r="AP18" t="e">
        <v>#N/A</v>
      </c>
      <c r="AQ18" s="629" t="e" cm="1">
        <f t="array" ref="AQ18">INDEX(W18:AP18,ROWS($1:6))</f>
        <v>#N/A</v>
      </c>
    </row>
    <row r="19" spans="2:43">
      <c r="N19" s="687"/>
      <c r="O19" s="687"/>
      <c r="P19" s="687"/>
      <c r="Q19" s="687"/>
      <c r="R19" s="683" t="e">
        <f>VLOOKUP(O19,Hypothèses!$C$214:$E$234,3)</f>
        <v>#N/A</v>
      </c>
      <c r="S19" s="683" t="str">
        <f t="shared" si="0"/>
        <v/>
      </c>
      <c r="U19" s="1893"/>
      <c r="V19" s="681" t="e">
        <f t="shared" si="1"/>
        <v>#N/A</v>
      </c>
      <c r="W19" t="e">
        <v>#N/A</v>
      </c>
      <c r="X19" t="e">
        <v>#N/A</v>
      </c>
      <c r="Y19" t="e">
        <v>#N/A</v>
      </c>
      <c r="Z19" t="e">
        <v>#N/A</v>
      </c>
      <c r="AA19" t="e">
        <v>#N/A</v>
      </c>
      <c r="AB19" t="e">
        <v>#N/A</v>
      </c>
      <c r="AC19" s="332" t="e">
        <v>#N/A</v>
      </c>
      <c r="AD19" t="e">
        <v>#N/A</v>
      </c>
      <c r="AE19" t="e">
        <v>#N/A</v>
      </c>
      <c r="AF19" t="e">
        <v>#N/A</v>
      </c>
      <c r="AG19" t="e">
        <v>#N/A</v>
      </c>
      <c r="AH19" t="e">
        <v>#N/A</v>
      </c>
      <c r="AI19" t="e">
        <v>#N/A</v>
      </c>
      <c r="AJ19" t="e">
        <v>#N/A</v>
      </c>
      <c r="AK19" t="e">
        <v>#N/A</v>
      </c>
      <c r="AL19" t="e">
        <v>#N/A</v>
      </c>
      <c r="AM19" t="e">
        <v>#N/A</v>
      </c>
      <c r="AN19" t="e">
        <v>#N/A</v>
      </c>
      <c r="AO19" t="e">
        <v>#N/A</v>
      </c>
      <c r="AP19" t="e">
        <v>#N/A</v>
      </c>
      <c r="AQ19" s="629" t="e" cm="1">
        <f t="array" ref="AQ19">INDEX(W19:AP19,ROWS($1:7))</f>
        <v>#N/A</v>
      </c>
    </row>
    <row r="20" spans="2:43">
      <c r="J20" s="593"/>
      <c r="N20" s="684"/>
      <c r="O20" s="684"/>
      <c r="P20" s="684"/>
      <c r="Q20" s="684"/>
      <c r="R20" s="683" t="e">
        <f>VLOOKUP(O20,Hypothèses!$C$214:$E$234,3)</f>
        <v>#N/A</v>
      </c>
      <c r="S20" s="683" t="str">
        <f t="shared" si="0"/>
        <v/>
      </c>
      <c r="U20" s="1893"/>
      <c r="V20" s="681" t="e">
        <f t="shared" si="1"/>
        <v>#N/A</v>
      </c>
      <c r="W20" t="e">
        <v>#N/A</v>
      </c>
      <c r="X20" t="e">
        <v>#N/A</v>
      </c>
      <c r="Y20" t="e">
        <v>#N/A</v>
      </c>
      <c r="Z20" t="e">
        <v>#N/A</v>
      </c>
      <c r="AA20" t="e">
        <v>#N/A</v>
      </c>
      <c r="AB20" t="e">
        <v>#N/A</v>
      </c>
      <c r="AC20" t="e">
        <v>#N/A</v>
      </c>
      <c r="AD20" s="332" t="e">
        <v>#N/A</v>
      </c>
      <c r="AE20" t="e">
        <v>#N/A</v>
      </c>
      <c r="AF20" t="e">
        <v>#N/A</v>
      </c>
      <c r="AG20" t="e">
        <v>#N/A</v>
      </c>
      <c r="AH20" t="e">
        <v>#N/A</v>
      </c>
      <c r="AI20" t="e">
        <v>#N/A</v>
      </c>
      <c r="AJ20" t="e">
        <v>#N/A</v>
      </c>
      <c r="AK20" t="e">
        <v>#N/A</v>
      </c>
      <c r="AL20" t="e">
        <v>#N/A</v>
      </c>
      <c r="AM20" t="e">
        <v>#N/A</v>
      </c>
      <c r="AN20" t="e">
        <v>#N/A</v>
      </c>
      <c r="AO20" t="e">
        <v>#N/A</v>
      </c>
      <c r="AP20" t="e">
        <v>#N/A</v>
      </c>
      <c r="AQ20" s="629" t="e" cm="1">
        <f t="array" ref="AQ20">INDEX(W20:AP20,ROWS($1:8))</f>
        <v>#N/A</v>
      </c>
    </row>
    <row r="21" spans="2:43">
      <c r="B21" s="1892" t="s">
        <v>128</v>
      </c>
      <c r="C21" s="1892"/>
      <c r="D21" s="1892"/>
      <c r="E21" s="1892"/>
      <c r="F21" s="1892"/>
      <c r="G21" s="1892"/>
      <c r="H21" s="1892"/>
      <c r="I21" s="1892"/>
      <c r="J21" s="1892"/>
      <c r="K21" s="1892"/>
      <c r="N21" s="685"/>
      <c r="O21" s="685"/>
      <c r="P21" s="685"/>
      <c r="Q21" s="685"/>
      <c r="R21" s="683" t="e">
        <f>VLOOKUP(O21,Hypothèses!$C$214:$E$234,3)</f>
        <v>#N/A</v>
      </c>
      <c r="S21" s="683" t="str">
        <f t="shared" si="0"/>
        <v/>
      </c>
      <c r="U21" s="1893"/>
      <c r="V21" s="681" t="e">
        <f t="shared" si="1"/>
        <v>#N/A</v>
      </c>
      <c r="W21" t="e">
        <v>#N/A</v>
      </c>
      <c r="X21" t="e">
        <v>#N/A</v>
      </c>
      <c r="Y21" t="e">
        <v>#N/A</v>
      </c>
      <c r="Z21" t="e">
        <v>#N/A</v>
      </c>
      <c r="AA21" t="e">
        <v>#N/A</v>
      </c>
      <c r="AB21" t="e">
        <v>#N/A</v>
      </c>
      <c r="AC21" t="e">
        <v>#N/A</v>
      </c>
      <c r="AD21" t="e">
        <v>#N/A</v>
      </c>
      <c r="AE21" s="332" t="e">
        <v>#N/A</v>
      </c>
      <c r="AF21" t="e">
        <v>#N/A</v>
      </c>
      <c r="AG21" t="e">
        <v>#N/A</v>
      </c>
      <c r="AH21" t="e">
        <v>#N/A</v>
      </c>
      <c r="AI21" t="e">
        <v>#N/A</v>
      </c>
      <c r="AJ21" t="e">
        <v>#N/A</v>
      </c>
      <c r="AK21" t="e">
        <v>#N/A</v>
      </c>
      <c r="AL21" t="e">
        <v>#N/A</v>
      </c>
      <c r="AM21" t="e">
        <v>#N/A</v>
      </c>
      <c r="AN21" t="e">
        <v>#N/A</v>
      </c>
      <c r="AO21" t="e">
        <v>#N/A</v>
      </c>
      <c r="AP21" t="e">
        <v>#N/A</v>
      </c>
      <c r="AQ21" s="629" t="e" cm="1">
        <f t="array" ref="AQ21">INDEX(W21:AP21,ROWS($1:9))</f>
        <v>#N/A</v>
      </c>
    </row>
    <row r="22" spans="2:43">
      <c r="B22" s="594" t="s">
        <v>858</v>
      </c>
      <c r="J22" s="593"/>
      <c r="N22" s="15"/>
      <c r="O22" s="15"/>
      <c r="P22" s="15"/>
      <c r="Q22" s="15"/>
      <c r="R22" s="683" t="e">
        <f>VLOOKUP(O22,Hypothèses!$C$214:$E$234,3)</f>
        <v>#N/A</v>
      </c>
      <c r="S22" s="683" t="str">
        <f t="shared" si="0"/>
        <v/>
      </c>
      <c r="U22" s="1893"/>
      <c r="V22" s="681" t="e">
        <f t="shared" si="1"/>
        <v>#N/A</v>
      </c>
      <c r="W22" t="e">
        <v>#N/A</v>
      </c>
      <c r="X22" t="e">
        <v>#N/A</v>
      </c>
      <c r="Y22" t="e">
        <v>#N/A</v>
      </c>
      <c r="Z22" t="e">
        <v>#N/A</v>
      </c>
      <c r="AA22" t="e">
        <v>#N/A</v>
      </c>
      <c r="AB22" t="e">
        <v>#N/A</v>
      </c>
      <c r="AC22" t="e">
        <v>#N/A</v>
      </c>
      <c r="AD22" t="e">
        <v>#N/A</v>
      </c>
      <c r="AE22" t="e">
        <v>#N/A</v>
      </c>
      <c r="AF22" s="332" t="e">
        <v>#N/A</v>
      </c>
      <c r="AG22" t="e">
        <v>#N/A</v>
      </c>
      <c r="AH22" t="e">
        <v>#N/A</v>
      </c>
      <c r="AI22" t="e">
        <v>#N/A</v>
      </c>
      <c r="AJ22" t="e">
        <v>#N/A</v>
      </c>
      <c r="AK22" t="e">
        <v>#N/A</v>
      </c>
      <c r="AL22" t="e">
        <v>#N/A</v>
      </c>
      <c r="AM22" t="e">
        <v>#N/A</v>
      </c>
      <c r="AN22" t="e">
        <v>#N/A</v>
      </c>
      <c r="AO22" t="e">
        <v>#N/A</v>
      </c>
      <c r="AP22" t="e">
        <v>#N/A</v>
      </c>
      <c r="AQ22" s="629" t="e" cm="1">
        <f t="array" ref="AQ22">INDEX(W22:AP22,ROWS($1:10))</f>
        <v>#N/A</v>
      </c>
    </row>
    <row r="23" spans="2:43">
      <c r="B23" t="s">
        <v>859</v>
      </c>
      <c r="E23" s="593">
        <f>K73</f>
        <v>10.416337719659467</v>
      </c>
      <c r="F23" t="s">
        <v>843</v>
      </c>
      <c r="J23" s="593"/>
      <c r="N23" s="15"/>
      <c r="O23" s="15"/>
      <c r="P23" s="15"/>
      <c r="Q23" s="15"/>
      <c r="R23" s="683" t="e">
        <f>VLOOKUP(O23,Hypothèses!$C$214:$E$234,3)</f>
        <v>#N/A</v>
      </c>
      <c r="S23" s="683" t="str">
        <f t="shared" si="0"/>
        <v/>
      </c>
      <c r="U23" s="1893"/>
      <c r="V23" s="681" t="e">
        <f t="shared" si="1"/>
        <v>#N/A</v>
      </c>
      <c r="W23" t="e">
        <v>#N/A</v>
      </c>
      <c r="X23" t="e">
        <v>#N/A</v>
      </c>
      <c r="Y23" t="e">
        <v>#N/A</v>
      </c>
      <c r="Z23" t="e">
        <v>#N/A</v>
      </c>
      <c r="AA23" t="e">
        <v>#N/A</v>
      </c>
      <c r="AB23" t="e">
        <v>#N/A</v>
      </c>
      <c r="AC23" t="e">
        <v>#N/A</v>
      </c>
      <c r="AD23" t="e">
        <v>#N/A</v>
      </c>
      <c r="AE23" t="e">
        <v>#N/A</v>
      </c>
      <c r="AF23" t="e">
        <v>#N/A</v>
      </c>
      <c r="AG23" s="332" t="e">
        <v>#N/A</v>
      </c>
      <c r="AH23" t="e">
        <v>#N/A</v>
      </c>
      <c r="AI23" t="e">
        <v>#N/A</v>
      </c>
      <c r="AJ23" t="e">
        <v>#N/A</v>
      </c>
      <c r="AK23" t="e">
        <v>#N/A</v>
      </c>
      <c r="AL23" t="e">
        <v>#N/A</v>
      </c>
      <c r="AM23" t="e">
        <v>#N/A</v>
      </c>
      <c r="AN23" t="e">
        <v>#N/A</v>
      </c>
      <c r="AO23" t="e">
        <v>#N/A</v>
      </c>
      <c r="AP23" t="e">
        <v>#N/A</v>
      </c>
      <c r="AQ23" s="629" t="e" cm="1">
        <f t="array" ref="AQ23">INDEX(W23:AP23,ROWS($1:11))</f>
        <v>#N/A</v>
      </c>
    </row>
    <row r="24" spans="2:43">
      <c r="B24" t="s">
        <v>860</v>
      </c>
      <c r="E24" s="593">
        <f>K74</f>
        <v>38.244818683017677</v>
      </c>
      <c r="F24" t="s">
        <v>797</v>
      </c>
      <c r="J24" s="593"/>
      <c r="N24" s="15"/>
      <c r="O24" s="15"/>
      <c r="P24" s="15"/>
      <c r="Q24" s="15"/>
      <c r="R24" s="683" t="e">
        <f>VLOOKUP(O24,Hypothèses!$C$214:$E$234,3)</f>
        <v>#N/A</v>
      </c>
      <c r="S24" s="683" t="str">
        <f t="shared" si="0"/>
        <v/>
      </c>
      <c r="U24" s="1893"/>
      <c r="V24" s="681" t="e">
        <f t="shared" si="1"/>
        <v>#N/A</v>
      </c>
      <c r="W24" t="e">
        <v>#N/A</v>
      </c>
      <c r="X24" t="e">
        <v>#N/A</v>
      </c>
      <c r="Y24" t="e">
        <v>#N/A</v>
      </c>
      <c r="Z24" t="e">
        <v>#N/A</v>
      </c>
      <c r="AA24" t="e">
        <v>#N/A</v>
      </c>
      <c r="AB24" t="e">
        <v>#N/A</v>
      </c>
      <c r="AC24" t="e">
        <v>#N/A</v>
      </c>
      <c r="AD24" t="e">
        <v>#N/A</v>
      </c>
      <c r="AE24" t="e">
        <v>#N/A</v>
      </c>
      <c r="AF24" t="e">
        <v>#N/A</v>
      </c>
      <c r="AG24" t="e">
        <v>#N/A</v>
      </c>
      <c r="AH24" s="332" t="e">
        <v>#N/A</v>
      </c>
      <c r="AI24" t="e">
        <v>#N/A</v>
      </c>
      <c r="AJ24" t="e">
        <v>#N/A</v>
      </c>
      <c r="AK24" t="e">
        <v>#N/A</v>
      </c>
      <c r="AL24" t="e">
        <v>#N/A</v>
      </c>
      <c r="AM24" t="e">
        <v>#N/A</v>
      </c>
      <c r="AN24" t="e">
        <v>#N/A</v>
      </c>
      <c r="AO24" t="e">
        <v>#N/A</v>
      </c>
      <c r="AP24" t="e">
        <v>#N/A</v>
      </c>
      <c r="AQ24" s="629" t="e" cm="1">
        <f t="array" ref="AQ24">INDEX(W24:AP24,ROWS($1:12))</f>
        <v>#N/A</v>
      </c>
    </row>
    <row r="25" spans="2:43">
      <c r="B25" s="594" t="s">
        <v>861</v>
      </c>
      <c r="E25" s="593"/>
      <c r="J25" s="593"/>
      <c r="N25" s="687"/>
      <c r="O25" s="687"/>
      <c r="P25" s="687"/>
      <c r="Q25" s="687"/>
      <c r="R25" s="683" t="e">
        <f>VLOOKUP(O25,Hypothèses!$C$214:$E$234,3)</f>
        <v>#N/A</v>
      </c>
      <c r="S25" s="683" t="str">
        <f t="shared" si="0"/>
        <v/>
      </c>
      <c r="U25" s="1893"/>
      <c r="V25" s="681" t="e">
        <f t="shared" si="1"/>
        <v>#N/A</v>
      </c>
      <c r="W25" t="e">
        <v>#N/A</v>
      </c>
      <c r="X25" t="e">
        <v>#N/A</v>
      </c>
      <c r="Y25" t="e">
        <v>#N/A</v>
      </c>
      <c r="Z25" t="e">
        <v>#N/A</v>
      </c>
      <c r="AA25" t="e">
        <v>#N/A</v>
      </c>
      <c r="AB25" t="e">
        <v>#N/A</v>
      </c>
      <c r="AC25" t="e">
        <v>#N/A</v>
      </c>
      <c r="AD25" t="e">
        <v>#N/A</v>
      </c>
      <c r="AE25" t="e">
        <v>#N/A</v>
      </c>
      <c r="AF25" t="e">
        <v>#N/A</v>
      </c>
      <c r="AG25" t="e">
        <v>#N/A</v>
      </c>
      <c r="AH25" t="e">
        <v>#N/A</v>
      </c>
      <c r="AI25" s="332" t="e">
        <v>#N/A</v>
      </c>
      <c r="AJ25" t="e">
        <v>#N/A</v>
      </c>
      <c r="AK25" t="e">
        <v>#N/A</v>
      </c>
      <c r="AL25" t="e">
        <v>#N/A</v>
      </c>
      <c r="AM25" t="e">
        <v>#N/A</v>
      </c>
      <c r="AN25" t="e">
        <v>#N/A</v>
      </c>
      <c r="AO25" t="e">
        <v>#N/A</v>
      </c>
      <c r="AP25" t="e">
        <v>#N/A</v>
      </c>
      <c r="AQ25" s="629" t="e" cm="1">
        <f t="array" ref="AQ25">INDEX(W25:AP25,ROWS($1:13))</f>
        <v>#N/A</v>
      </c>
    </row>
    <row r="26" spans="2:43">
      <c r="B26" t="s">
        <v>859</v>
      </c>
      <c r="E26" s="593">
        <f>K109</f>
        <v>93.306843137004122</v>
      </c>
      <c r="F26" t="s">
        <v>843</v>
      </c>
      <c r="J26" s="593"/>
      <c r="N26" s="15"/>
      <c r="O26" s="15"/>
      <c r="P26" s="15"/>
      <c r="Q26" s="15"/>
      <c r="R26" s="683" t="e">
        <f>VLOOKUP(O26,Hypothèses!$C$214:$E$234,3)</f>
        <v>#N/A</v>
      </c>
      <c r="S26" s="683" t="str">
        <f t="shared" si="0"/>
        <v/>
      </c>
      <c r="U26" s="1893"/>
      <c r="V26" s="681" t="e">
        <f t="shared" si="1"/>
        <v>#N/A</v>
      </c>
      <c r="W26" t="e">
        <v>#N/A</v>
      </c>
      <c r="X26" t="e">
        <v>#N/A</v>
      </c>
      <c r="Y26" t="e">
        <v>#N/A</v>
      </c>
      <c r="Z26" t="e">
        <v>#N/A</v>
      </c>
      <c r="AA26" t="e">
        <v>#N/A</v>
      </c>
      <c r="AB26" t="e">
        <v>#N/A</v>
      </c>
      <c r="AC26" t="e">
        <v>#N/A</v>
      </c>
      <c r="AD26" t="e">
        <v>#N/A</v>
      </c>
      <c r="AE26" t="e">
        <v>#N/A</v>
      </c>
      <c r="AF26" t="e">
        <v>#N/A</v>
      </c>
      <c r="AG26" t="e">
        <v>#N/A</v>
      </c>
      <c r="AH26" t="e">
        <v>#N/A</v>
      </c>
      <c r="AI26" t="e">
        <v>#N/A</v>
      </c>
      <c r="AJ26" s="332" t="e">
        <v>#N/A</v>
      </c>
      <c r="AK26" t="e">
        <v>#N/A</v>
      </c>
      <c r="AL26" t="e">
        <v>#N/A</v>
      </c>
      <c r="AM26" t="e">
        <v>#N/A</v>
      </c>
      <c r="AN26" t="e">
        <v>#N/A</v>
      </c>
      <c r="AO26" t="e">
        <v>#N/A</v>
      </c>
      <c r="AP26" t="e">
        <v>#N/A</v>
      </c>
      <c r="AQ26" s="629" t="e" cm="1">
        <f t="array" ref="AQ26">INDEX(W26:AP26,ROWS($1:14))</f>
        <v>#N/A</v>
      </c>
    </row>
    <row r="27" spans="2:43">
      <c r="B27" t="s">
        <v>860</v>
      </c>
      <c r="E27" s="593">
        <f>K110</f>
        <v>581.21299177460105</v>
      </c>
      <c r="F27" t="s">
        <v>797</v>
      </c>
      <c r="J27" s="593"/>
      <c r="N27" s="15"/>
      <c r="O27" s="15"/>
      <c r="P27" s="15"/>
      <c r="Q27" s="15"/>
      <c r="R27" s="683" t="e">
        <f>VLOOKUP(O27,Hypothèses!$C$214:$E$234,3)</f>
        <v>#N/A</v>
      </c>
      <c r="S27" s="683" t="str">
        <f t="shared" si="0"/>
        <v/>
      </c>
      <c r="U27" s="1893"/>
      <c r="V27" s="681" t="e">
        <f t="shared" si="1"/>
        <v>#N/A</v>
      </c>
      <c r="W27" t="e">
        <v>#N/A</v>
      </c>
      <c r="X27" t="e">
        <v>#N/A</v>
      </c>
      <c r="Y27" t="e">
        <v>#N/A</v>
      </c>
      <c r="Z27" t="e">
        <v>#N/A</v>
      </c>
      <c r="AA27" t="e">
        <v>#N/A</v>
      </c>
      <c r="AB27" t="e">
        <v>#N/A</v>
      </c>
      <c r="AC27" t="e">
        <v>#N/A</v>
      </c>
      <c r="AD27" t="e">
        <v>#N/A</v>
      </c>
      <c r="AE27" t="e">
        <v>#N/A</v>
      </c>
      <c r="AF27" t="e">
        <v>#N/A</v>
      </c>
      <c r="AG27" t="e">
        <v>#N/A</v>
      </c>
      <c r="AH27" t="e">
        <v>#N/A</v>
      </c>
      <c r="AI27" t="e">
        <v>#N/A</v>
      </c>
      <c r="AJ27" t="e">
        <v>#N/A</v>
      </c>
      <c r="AK27" s="332" t="e">
        <v>#N/A</v>
      </c>
      <c r="AL27" t="e">
        <v>#N/A</v>
      </c>
      <c r="AM27" t="e">
        <v>#N/A</v>
      </c>
      <c r="AN27" t="e">
        <v>#N/A</v>
      </c>
      <c r="AO27" t="e">
        <v>#N/A</v>
      </c>
      <c r="AP27" t="e">
        <v>#N/A</v>
      </c>
      <c r="AQ27" s="629" t="e" cm="1">
        <f t="array" ref="AQ27">INDEX(W27:AP27,ROWS($1:15))</f>
        <v>#N/A</v>
      </c>
    </row>
    <row r="28" spans="2:43">
      <c r="J28" s="593"/>
      <c r="N28" s="15"/>
      <c r="O28" s="15"/>
      <c r="P28" s="15"/>
      <c r="Q28" s="15"/>
      <c r="R28" s="683" t="e">
        <f>VLOOKUP(O28,Hypothèses!$C$214:$E$234,3)</f>
        <v>#N/A</v>
      </c>
      <c r="S28" s="683" t="str">
        <f t="shared" si="0"/>
        <v/>
      </c>
      <c r="U28" s="1893"/>
      <c r="V28" s="681" t="e">
        <f t="shared" si="1"/>
        <v>#N/A</v>
      </c>
      <c r="W28" t="e">
        <v>#N/A</v>
      </c>
      <c r="X28" t="e">
        <v>#N/A</v>
      </c>
      <c r="Y28" t="e">
        <v>#N/A</v>
      </c>
      <c r="Z28" t="e">
        <v>#N/A</v>
      </c>
      <c r="AA28" t="e">
        <v>#N/A</v>
      </c>
      <c r="AB28" t="e">
        <v>#N/A</v>
      </c>
      <c r="AC28" t="e">
        <v>#N/A</v>
      </c>
      <c r="AD28" t="e">
        <v>#N/A</v>
      </c>
      <c r="AE28" t="e">
        <v>#N/A</v>
      </c>
      <c r="AF28" t="e">
        <v>#N/A</v>
      </c>
      <c r="AG28" t="e">
        <v>#N/A</v>
      </c>
      <c r="AH28" t="e">
        <v>#N/A</v>
      </c>
      <c r="AI28" t="e">
        <v>#N/A</v>
      </c>
      <c r="AJ28" t="e">
        <v>#N/A</v>
      </c>
      <c r="AK28" t="e">
        <v>#N/A</v>
      </c>
      <c r="AL28" s="332" t="e">
        <v>#N/A</v>
      </c>
      <c r="AM28" t="e">
        <v>#N/A</v>
      </c>
      <c r="AN28" t="e">
        <v>#N/A</v>
      </c>
      <c r="AO28" t="e">
        <v>#N/A</v>
      </c>
      <c r="AP28" t="e">
        <v>#N/A</v>
      </c>
      <c r="AQ28" s="629" t="e" cm="1">
        <f t="array" ref="AQ28">INDEX(W28:AP28,ROWS($1:16))</f>
        <v>#N/A</v>
      </c>
    </row>
    <row r="29" spans="2:43">
      <c r="B29" t="s">
        <v>965</v>
      </c>
      <c r="J29" s="593"/>
      <c r="N29" s="15"/>
      <c r="O29" s="15"/>
      <c r="P29" s="15"/>
      <c r="Q29" s="15"/>
      <c r="R29" s="683" t="e">
        <f>VLOOKUP(O29,Hypothèses!$C$214:$E$234,3)</f>
        <v>#N/A</v>
      </c>
      <c r="S29" s="683" t="str">
        <f t="shared" si="0"/>
        <v/>
      </c>
      <c r="U29" s="1893"/>
      <c r="V29" s="681" t="e">
        <f t="shared" si="1"/>
        <v>#N/A</v>
      </c>
      <c r="W29" t="e">
        <v>#N/A</v>
      </c>
      <c r="X29" t="e">
        <v>#N/A</v>
      </c>
      <c r="Y29" t="e">
        <v>#N/A</v>
      </c>
      <c r="Z29" t="e">
        <v>#N/A</v>
      </c>
      <c r="AA29" t="e">
        <v>#N/A</v>
      </c>
      <c r="AB29" t="e">
        <v>#N/A</v>
      </c>
      <c r="AC29" t="e">
        <v>#N/A</v>
      </c>
      <c r="AD29" t="e">
        <v>#N/A</v>
      </c>
      <c r="AE29" t="e">
        <v>#N/A</v>
      </c>
      <c r="AF29" t="e">
        <v>#N/A</v>
      </c>
      <c r="AG29" t="e">
        <v>#N/A</v>
      </c>
      <c r="AH29" t="e">
        <v>#N/A</v>
      </c>
      <c r="AI29" t="e">
        <v>#N/A</v>
      </c>
      <c r="AJ29" t="e">
        <v>#N/A</v>
      </c>
      <c r="AK29" t="e">
        <v>#N/A</v>
      </c>
      <c r="AL29" t="e">
        <v>#N/A</v>
      </c>
      <c r="AM29" s="332" t="e">
        <v>#N/A</v>
      </c>
      <c r="AN29" t="e">
        <v>#N/A</v>
      </c>
      <c r="AO29" t="e">
        <v>#N/A</v>
      </c>
      <c r="AP29" t="e">
        <v>#N/A</v>
      </c>
      <c r="AQ29" s="629" t="e" cm="1">
        <f t="array" ref="AQ29">INDEX(W29:AP29,ROWS($1:17))</f>
        <v>#N/A</v>
      </c>
    </row>
    <row r="30" spans="2:43">
      <c r="B30" s="176" t="s">
        <v>938</v>
      </c>
      <c r="E30" s="626">
        <f>E27-E24</f>
        <v>542.96817309158337</v>
      </c>
      <c r="F30" t="s">
        <v>797</v>
      </c>
      <c r="J30" s="593"/>
      <c r="N30" s="684"/>
      <c r="O30" s="684"/>
      <c r="P30" s="684"/>
      <c r="Q30" s="684"/>
      <c r="R30" s="683" t="e">
        <f>VLOOKUP(O30,Hypothèses!$C$214:$E$234,3)</f>
        <v>#N/A</v>
      </c>
      <c r="S30" s="683" t="str">
        <f t="shared" si="0"/>
        <v/>
      </c>
      <c r="U30" s="1893"/>
      <c r="V30" s="681" t="e">
        <f t="shared" si="1"/>
        <v>#N/A</v>
      </c>
      <c r="W30" t="e">
        <v>#N/A</v>
      </c>
      <c r="X30" t="e">
        <v>#N/A</v>
      </c>
      <c r="Y30" t="e">
        <v>#N/A</v>
      </c>
      <c r="Z30" t="e">
        <v>#N/A</v>
      </c>
      <c r="AA30" t="e">
        <v>#N/A</v>
      </c>
      <c r="AB30" t="e">
        <v>#N/A</v>
      </c>
      <c r="AC30" t="e">
        <v>#N/A</v>
      </c>
      <c r="AD30" t="e">
        <v>#N/A</v>
      </c>
      <c r="AE30" t="e">
        <v>#N/A</v>
      </c>
      <c r="AF30" t="e">
        <v>#N/A</v>
      </c>
      <c r="AG30" t="e">
        <v>#N/A</v>
      </c>
      <c r="AH30" t="e">
        <v>#N/A</v>
      </c>
      <c r="AI30" t="e">
        <v>#N/A</v>
      </c>
      <c r="AJ30" t="e">
        <v>#N/A</v>
      </c>
      <c r="AK30" t="e">
        <v>#N/A</v>
      </c>
      <c r="AL30" t="e">
        <v>#N/A</v>
      </c>
      <c r="AM30" t="e">
        <v>#N/A</v>
      </c>
      <c r="AN30" s="332" t="e">
        <v>#N/A</v>
      </c>
      <c r="AO30" t="e">
        <v>#N/A</v>
      </c>
      <c r="AP30" t="e">
        <v>#N/A</v>
      </c>
      <c r="AQ30" s="629" t="e" cm="1">
        <f t="array" ref="AQ30">INDEX(W30:AP30,ROWS($1:18))</f>
        <v>#N/A</v>
      </c>
    </row>
    <row r="31" spans="2:43">
      <c r="B31" s="176"/>
      <c r="E31" s="626">
        <f>E30*3.41/3.28</f>
        <v>564.48825312265228</v>
      </c>
      <c r="F31" t="s">
        <v>940</v>
      </c>
      <c r="J31" s="593"/>
      <c r="N31" s="688"/>
      <c r="O31" s="688"/>
      <c r="P31" s="688"/>
      <c r="Q31" s="688"/>
      <c r="R31" s="683" t="e">
        <f>VLOOKUP(O31,Hypothèses!$C$214:$E$234,3)</f>
        <v>#N/A</v>
      </c>
      <c r="S31" s="683" t="str">
        <f t="shared" si="0"/>
        <v/>
      </c>
      <c r="U31" s="1893"/>
      <c r="V31" s="681" t="e">
        <f t="shared" si="1"/>
        <v>#N/A</v>
      </c>
      <c r="W31" t="e">
        <v>#N/A</v>
      </c>
      <c r="X31" t="e">
        <v>#N/A</v>
      </c>
      <c r="Y31" t="e">
        <v>#N/A</v>
      </c>
      <c r="Z31" t="e">
        <v>#N/A</v>
      </c>
      <c r="AA31" t="e">
        <v>#N/A</v>
      </c>
      <c r="AB31" t="e">
        <v>#N/A</v>
      </c>
      <c r="AC31" t="e">
        <v>#N/A</v>
      </c>
      <c r="AD31" t="e">
        <v>#N/A</v>
      </c>
      <c r="AE31" t="e">
        <v>#N/A</v>
      </c>
      <c r="AF31" t="e">
        <v>#N/A</v>
      </c>
      <c r="AG31" t="e">
        <v>#N/A</v>
      </c>
      <c r="AH31" t="e">
        <v>#N/A</v>
      </c>
      <c r="AI31" t="e">
        <v>#N/A</v>
      </c>
      <c r="AJ31" t="e">
        <v>#N/A</v>
      </c>
      <c r="AK31" t="e">
        <v>#N/A</v>
      </c>
      <c r="AL31" t="e">
        <v>#N/A</v>
      </c>
      <c r="AM31" t="e">
        <v>#N/A</v>
      </c>
      <c r="AN31" t="e">
        <v>#N/A</v>
      </c>
      <c r="AO31" s="332" t="e">
        <v>#N/A</v>
      </c>
      <c r="AP31" t="e">
        <v>#N/A</v>
      </c>
      <c r="AQ31" s="629" t="e" cm="1">
        <f t="array" ref="AQ31">INDEX(W31:AP31,ROWS($1:19))</f>
        <v>#N/A</v>
      </c>
    </row>
    <row r="32" spans="2:43">
      <c r="B32" s="176" t="s">
        <v>939</v>
      </c>
      <c r="E32" s="626">
        <f>K108-K71</f>
        <v>2017.1516248443409</v>
      </c>
      <c r="F32" t="s">
        <v>941</v>
      </c>
      <c r="J32" s="593"/>
      <c r="N32" s="595"/>
      <c r="U32" s="1893"/>
      <c r="V32" s="681" t="e">
        <f t="shared" si="1"/>
        <v>#N/A</v>
      </c>
      <c r="W32" t="e">
        <v>#N/A</v>
      </c>
      <c r="X32" t="e">
        <v>#N/A</v>
      </c>
      <c r="Y32" t="e">
        <v>#N/A</v>
      </c>
      <c r="Z32" t="e">
        <v>#N/A</v>
      </c>
      <c r="AA32" t="e">
        <v>#N/A</v>
      </c>
      <c r="AB32" t="e">
        <v>#N/A</v>
      </c>
      <c r="AC32" t="e">
        <v>#N/A</v>
      </c>
      <c r="AD32" t="e">
        <v>#N/A</v>
      </c>
      <c r="AE32" t="e">
        <v>#N/A</v>
      </c>
      <c r="AF32" t="e">
        <v>#N/A</v>
      </c>
      <c r="AG32" t="e">
        <v>#N/A</v>
      </c>
      <c r="AH32" t="e">
        <v>#N/A</v>
      </c>
      <c r="AI32" t="e">
        <v>#N/A</v>
      </c>
      <c r="AJ32" t="e">
        <v>#N/A</v>
      </c>
      <c r="AK32" t="e">
        <v>#N/A</v>
      </c>
      <c r="AL32" t="e">
        <v>#N/A</v>
      </c>
      <c r="AM32" t="e">
        <v>#N/A</v>
      </c>
      <c r="AN32" t="e">
        <v>#N/A</v>
      </c>
      <c r="AO32" t="e">
        <v>#N/A</v>
      </c>
      <c r="AP32" s="332" t="e">
        <v>#N/A</v>
      </c>
      <c r="AQ32" s="629" t="e" cm="1">
        <f t="array" ref="AQ32">INDEX(W32:AP32,ROWS($1:20))</f>
        <v>#N/A</v>
      </c>
    </row>
    <row r="33" spans="2:33">
      <c r="B33" s="176"/>
      <c r="E33" s="626">
        <f>E32*3.41/3.28^2</f>
        <v>639.35966693181183</v>
      </c>
      <c r="F33" t="s">
        <v>942</v>
      </c>
      <c r="J33" s="593"/>
      <c r="N33" s="595"/>
      <c r="U33" s="708"/>
      <c r="V33" s="583"/>
    </row>
    <row r="34" spans="2:33">
      <c r="B34" s="176"/>
      <c r="E34" s="593"/>
      <c r="J34" s="593"/>
      <c r="N34" s="1896" t="s">
        <v>1004</v>
      </c>
      <c r="O34" s="1896"/>
      <c r="P34" s="1896"/>
      <c r="Q34" s="1896"/>
      <c r="R34" s="1896"/>
      <c r="S34" s="1896"/>
      <c r="T34" s="1896"/>
      <c r="U34" s="1896"/>
      <c r="V34" s="1896"/>
      <c r="W34" s="1896"/>
      <c r="X34" s="1896"/>
      <c r="Y34" s="1896"/>
      <c r="Z34" s="1896"/>
      <c r="AA34" s="1896"/>
      <c r="AB34" s="1896"/>
      <c r="AC34" s="1896"/>
      <c r="AD34" s="1896"/>
      <c r="AE34" s="1896"/>
      <c r="AF34" s="1896"/>
      <c r="AG34" s="1896"/>
    </row>
    <row r="35" spans="2:33" ht="16.2">
      <c r="B35" s="594" t="s">
        <v>1218</v>
      </c>
      <c r="N35" s="1902" t="s">
        <v>923</v>
      </c>
      <c r="O35" s="689" t="s">
        <v>993</v>
      </c>
      <c r="P35" s="689" t="s">
        <v>925</v>
      </c>
      <c r="Q35" s="1899" t="s">
        <v>935</v>
      </c>
      <c r="R35" s="689" t="s">
        <v>991</v>
      </c>
      <c r="S35" s="689" t="s">
        <v>922</v>
      </c>
      <c r="W35" s="1901" t="s">
        <v>996</v>
      </c>
      <c r="X35" s="1901"/>
      <c r="Y35" s="1901"/>
      <c r="Z35" s="1901"/>
      <c r="AA35" s="1901"/>
      <c r="AB35" s="1901"/>
      <c r="AC35" s="1901"/>
      <c r="AD35" s="1901"/>
      <c r="AE35" s="1901"/>
      <c r="AF35" s="1901"/>
    </row>
    <row r="36" spans="2:33" ht="16.2">
      <c r="E36" t="s">
        <v>799</v>
      </c>
      <c r="G36">
        <v>1</v>
      </c>
      <c r="H36">
        <v>2</v>
      </c>
      <c r="I36">
        <v>3</v>
      </c>
      <c r="J36">
        <v>4</v>
      </c>
      <c r="K36">
        <v>5</v>
      </c>
      <c r="N36" s="1902"/>
      <c r="O36" s="690" t="s">
        <v>1005</v>
      </c>
      <c r="P36" s="690" t="s">
        <v>929</v>
      </c>
      <c r="Q36" s="1900"/>
      <c r="R36" s="691" t="s">
        <v>945</v>
      </c>
      <c r="S36" s="690" t="s">
        <v>1001</v>
      </c>
      <c r="W36" s="1894" t="s">
        <v>779</v>
      </c>
      <c r="X36" s="1894"/>
      <c r="Y36" s="1894"/>
      <c r="Z36" s="1894"/>
      <c r="AA36" s="1894"/>
      <c r="AB36" s="1894"/>
      <c r="AC36" s="1894"/>
      <c r="AD36" s="1894"/>
      <c r="AE36" s="1894"/>
      <c r="AF36" s="1894"/>
      <c r="AG36" s="1897" t="s">
        <v>943</v>
      </c>
    </row>
    <row r="37" spans="2:33" ht="15" customHeight="1" thickBot="1">
      <c r="B37" t="s">
        <v>859</v>
      </c>
      <c r="E37" t="s">
        <v>800</v>
      </c>
      <c r="F37" t="s">
        <v>843</v>
      </c>
      <c r="G37" s="593">
        <f>E11+1</f>
        <v>7.8</v>
      </c>
      <c r="H37" s="136">
        <f>G73</f>
        <v>10.420460845517127</v>
      </c>
      <c r="I37" s="136">
        <f t="shared" ref="I37:K37" si="2">H73</f>
        <v>10.416328120127019</v>
      </c>
      <c r="J37" s="136">
        <f t="shared" si="2"/>
        <v>10.416337742016111</v>
      </c>
      <c r="K37" s="136">
        <f t="shared" si="2"/>
        <v>10.41633771960727</v>
      </c>
      <c r="L37" s="136"/>
      <c r="M37" s="711"/>
      <c r="N37" s="696" t="e" cm="1" vm="2">
        <f t="array" ref="N37">_xlfn._xlws.FILTER(Isolation!$B$32:$E$41,Isolation!$E$32:'Isolation'!$E$41='Isolation - CAS 3'!P6&amp;"_"&amp;'Isolation - CAS 3'!P7)</f>
        <v>#VALUE!</v>
      </c>
      <c r="O37" s="15"/>
      <c r="P37" s="15"/>
      <c r="Q37" s="15"/>
      <c r="R37" s="700" t="e" vm="1">
        <f>VLOOKUP(N37,Isolation!$B$32:$R$41,9)</f>
        <v>#VALUE!</v>
      </c>
      <c r="S37" s="15" t="e" vm="1">
        <f t="shared" ref="S37:S46" si="3">IF(N37="","",AG38)</f>
        <v>#VALUE!</v>
      </c>
      <c r="V37" s="634">
        <f>$E$32</f>
        <v>2017.1516248443409</v>
      </c>
      <c r="W37" s="678" cm="1">
        <f t="array" ref="W37:AF37">TRANSPOSE(P37:P46)</f>
        <v>0</v>
      </c>
      <c r="X37" s="678">
        <v>0</v>
      </c>
      <c r="Y37" s="678">
        <v>0</v>
      </c>
      <c r="Z37" s="678">
        <v>0</v>
      </c>
      <c r="AA37" s="678">
        <v>0</v>
      </c>
      <c r="AB37" s="678">
        <v>0</v>
      </c>
      <c r="AC37" s="678">
        <v>0</v>
      </c>
      <c r="AD37" s="678">
        <v>0</v>
      </c>
      <c r="AE37" s="678">
        <v>0</v>
      </c>
      <c r="AF37" s="678">
        <v>0</v>
      </c>
      <c r="AG37" s="1897"/>
    </row>
    <row r="38" spans="2:33">
      <c r="B38" t="s">
        <v>862</v>
      </c>
      <c r="E38" t="s">
        <v>801</v>
      </c>
      <c r="F38" t="s">
        <v>843</v>
      </c>
      <c r="G38" s="593">
        <f>E10-1</f>
        <v>92.333333333333329</v>
      </c>
      <c r="H38" s="136">
        <f>G72</f>
        <v>93.331593716769063</v>
      </c>
      <c r="I38" s="136">
        <f t="shared" ref="I38:K38" si="4">H72</f>
        <v>93.331590228558099</v>
      </c>
      <c r="J38" s="136">
        <f t="shared" si="4"/>
        <v>93.331590232672681</v>
      </c>
      <c r="K38" s="136">
        <f t="shared" si="4"/>
        <v>93.331590232663117</v>
      </c>
      <c r="L38" s="136"/>
      <c r="M38" s="593"/>
      <c r="N38" s="696"/>
      <c r="O38" s="15"/>
      <c r="P38" s="15"/>
      <c r="Q38" s="15"/>
      <c r="R38" s="700" t="e">
        <f>VLOOKUP(N38,Isolation!$B$32:$R$41,9)</f>
        <v>#N/A</v>
      </c>
      <c r="S38" s="15" t="str">
        <f t="shared" si="3"/>
        <v/>
      </c>
      <c r="U38" s="1898" t="s">
        <v>992</v>
      </c>
      <c r="V38" s="681" t="e" vm="1">
        <f>R37</f>
        <v>#VALUE!</v>
      </c>
      <c r="W38" s="332" t="e" vm="1">
        <f t="dataTable" ref="W38:AF47" dt2D="1" dtr="1" r1="E10" r2="E9" ca="1"/>
        <v>#VALUE!</v>
      </c>
      <c r="X38" t="e" vm="1">
        <v>#VALUE!</v>
      </c>
      <c r="Y38" t="e" vm="1">
        <v>#VALUE!</v>
      </c>
      <c r="Z38" t="e" vm="1">
        <v>#VALUE!</v>
      </c>
      <c r="AA38" t="e" vm="1">
        <v>#VALUE!</v>
      </c>
      <c r="AB38" t="e" vm="1">
        <v>#VALUE!</v>
      </c>
      <c r="AC38" t="e" vm="1">
        <v>#VALUE!</v>
      </c>
      <c r="AD38" t="e" vm="1">
        <v>#VALUE!</v>
      </c>
      <c r="AE38" t="e" vm="1">
        <v>#VALUE!</v>
      </c>
      <c r="AF38" t="e" vm="1">
        <v>#VALUE!</v>
      </c>
      <c r="AG38" s="698" t="e" cm="1" vm="1">
        <f t="array" ref="AG38">INDEX(W38:AF38,ROWS($1:1))</f>
        <v>#VALUE!</v>
      </c>
    </row>
    <row r="39" spans="2:33">
      <c r="B39" s="3" t="s">
        <v>863</v>
      </c>
      <c r="N39" s="696"/>
      <c r="O39" s="15"/>
      <c r="P39" s="15"/>
      <c r="Q39" s="15"/>
      <c r="R39" s="700" t="e">
        <f>VLOOKUP(N39,Isolation!$B$32:$R$41,9)</f>
        <v>#N/A</v>
      </c>
      <c r="S39" s="15" t="str">
        <f t="shared" si="3"/>
        <v/>
      </c>
      <c r="U39" s="1898"/>
      <c r="V39" s="681" t="e">
        <f t="shared" ref="V39:V47" si="5">R38</f>
        <v>#N/A</v>
      </c>
      <c r="W39" t="e">
        <v>#N/A</v>
      </c>
      <c r="X39" s="332" t="e">
        <v>#N/A</v>
      </c>
      <c r="Y39" t="e">
        <v>#N/A</v>
      </c>
      <c r="Z39" t="e">
        <v>#N/A</v>
      </c>
      <c r="AA39" t="e">
        <v>#N/A</v>
      </c>
      <c r="AB39" t="e">
        <v>#N/A</v>
      </c>
      <c r="AC39" t="e">
        <v>#N/A</v>
      </c>
      <c r="AD39" t="e">
        <v>#N/A</v>
      </c>
      <c r="AE39" t="e">
        <v>#N/A</v>
      </c>
      <c r="AF39" t="e">
        <v>#N/A</v>
      </c>
      <c r="AG39" s="629" t="e" cm="1">
        <f t="array" ref="AG39">INDEX(W39:AF39,ROWS($1:2))</f>
        <v>#N/A</v>
      </c>
    </row>
    <row r="40" spans="2:33">
      <c r="B40" t="s">
        <v>864</v>
      </c>
      <c r="E40" t="s">
        <v>802</v>
      </c>
      <c r="F40" t="s">
        <v>843</v>
      </c>
      <c r="G40">
        <f>(G37+$E$11)/2</f>
        <v>7.3</v>
      </c>
      <c r="H40" s="136">
        <f t="shared" ref="H40:K40" si="6">(H37+$E$11)/2</f>
        <v>8.6102304227585638</v>
      </c>
      <c r="I40" s="136">
        <f t="shared" si="6"/>
        <v>8.6081640600635101</v>
      </c>
      <c r="J40" s="136">
        <f t="shared" si="6"/>
        <v>8.6081688710080559</v>
      </c>
      <c r="K40" s="136">
        <f t="shared" si="6"/>
        <v>8.6081688598036354</v>
      </c>
      <c r="L40" s="593"/>
      <c r="M40" s="593"/>
      <c r="N40" s="696"/>
      <c r="O40" s="15"/>
      <c r="P40" s="15"/>
      <c r="Q40" s="15"/>
      <c r="R40" s="700" t="e">
        <f>VLOOKUP(N40,Isolation!$B$32:$R$41,9)</f>
        <v>#N/A</v>
      </c>
      <c r="S40" s="15" t="str">
        <f t="shared" si="3"/>
        <v/>
      </c>
      <c r="U40" s="1898"/>
      <c r="V40" s="681" t="e">
        <f t="shared" si="5"/>
        <v>#N/A</v>
      </c>
      <c r="W40" t="e">
        <v>#N/A</v>
      </c>
      <c r="X40" t="e">
        <v>#N/A</v>
      </c>
      <c r="Y40" s="332" t="e">
        <v>#N/A</v>
      </c>
      <c r="Z40" t="e">
        <v>#N/A</v>
      </c>
      <c r="AA40" t="e">
        <v>#N/A</v>
      </c>
      <c r="AB40" t="e">
        <v>#N/A</v>
      </c>
      <c r="AC40" t="e">
        <v>#N/A</v>
      </c>
      <c r="AD40" t="e">
        <v>#N/A</v>
      </c>
      <c r="AE40" t="e">
        <v>#N/A</v>
      </c>
      <c r="AF40" t="e">
        <v>#N/A</v>
      </c>
      <c r="AG40" s="629" t="e" cm="1">
        <f t="array" ref="AG40">INDEX(W40:AF40,ROWS($1:3))</f>
        <v>#N/A</v>
      </c>
    </row>
    <row r="41" spans="2:33">
      <c r="F41" t="s">
        <v>803</v>
      </c>
      <c r="G41">
        <f>G40+273.15</f>
        <v>280.45</v>
      </c>
      <c r="H41" s="136">
        <f t="shared" ref="H41:K41" si="7">H40+273.15</f>
        <v>281.76023042275853</v>
      </c>
      <c r="I41" s="136">
        <f t="shared" si="7"/>
        <v>281.75816406006351</v>
      </c>
      <c r="J41" s="136">
        <f t="shared" si="7"/>
        <v>281.75816887100802</v>
      </c>
      <c r="K41" s="136">
        <f t="shared" si="7"/>
        <v>281.75816885980362</v>
      </c>
      <c r="L41" s="136"/>
      <c r="M41" s="136"/>
      <c r="N41" s="696"/>
      <c r="O41" s="15"/>
      <c r="P41" s="15"/>
      <c r="Q41" s="15"/>
      <c r="R41" s="700" t="e">
        <f>VLOOKUP(N41,Isolation!$B$32:$R$41,9)</f>
        <v>#N/A</v>
      </c>
      <c r="S41" s="15" t="str">
        <f t="shared" si="3"/>
        <v/>
      </c>
      <c r="U41" s="1898"/>
      <c r="V41" s="681" t="e">
        <f t="shared" si="5"/>
        <v>#N/A</v>
      </c>
      <c r="W41" t="e">
        <v>#N/A</v>
      </c>
      <c r="X41" t="e">
        <v>#N/A</v>
      </c>
      <c r="Y41" t="e">
        <v>#N/A</v>
      </c>
      <c r="Z41" s="332" t="e">
        <v>#N/A</v>
      </c>
      <c r="AA41" t="e">
        <v>#N/A</v>
      </c>
      <c r="AB41" t="e">
        <v>#N/A</v>
      </c>
      <c r="AC41" t="e">
        <v>#N/A</v>
      </c>
      <c r="AD41" t="e">
        <v>#N/A</v>
      </c>
      <c r="AE41" t="e">
        <v>#N/A</v>
      </c>
      <c r="AF41" t="e">
        <v>#N/A</v>
      </c>
      <c r="AG41" s="629" t="e" cm="1">
        <f t="array" ref="AG41">INDEX(W41:AF41,ROWS($1:4))</f>
        <v>#N/A</v>
      </c>
    </row>
    <row r="42" spans="2:33">
      <c r="B42" t="s">
        <v>896</v>
      </c>
      <c r="E42" t="s">
        <v>804</v>
      </c>
      <c r="F42" t="s">
        <v>805</v>
      </c>
      <c r="G42" s="595">
        <f>(Propriété_air!$Q$22*G41^4+Propriété_air!$R$22*G41^3+Propriété_air!$S$22*G41^2+Propriété_air!$T$22*G41+Propriété_air!$U$22)/10^3</f>
        <v>2.4697997985030862E-2</v>
      </c>
      <c r="H42" s="595">
        <f>(Propriété_air!$Q$22*H41^4+Propriété_air!$R$22*H41^3+Propriété_air!$S$22*H41^2+Propriété_air!$T$22*H41+Propriété_air!$U$22)/10^3</f>
        <v>2.4803172750107908E-2</v>
      </c>
      <c r="I42" s="595">
        <f>(Propriété_air!$Q$22*I41^4+Propriété_air!$R$22*I41^3+Propriété_air!$S$22*I41^2+Propriété_air!$T$22*I41+Propriété_air!$U$22)/10^3</f>
        <v>2.480300696066811E-2</v>
      </c>
      <c r="J42" s="595">
        <f>(Propriété_air!$Q$22*J41^4+Propriété_air!$R$22*J41^3+Propriété_air!$S$22*J41^2+Propriété_air!$T$22*J41+Propriété_air!$U$22)/10^3</f>
        <v>2.4803007346662499E-2</v>
      </c>
      <c r="K42" s="595">
        <f>(Propriété_air!$Q$22*K41^4+Propriété_air!$R$22*K41^3+Propriété_air!$S$22*K41^2+Propriété_air!$T$22*K41+Propriété_air!$U$22)/10^3</f>
        <v>2.4803007345763545E-2</v>
      </c>
      <c r="L42" s="595"/>
      <c r="M42" s="595"/>
      <c r="N42" s="696"/>
      <c r="O42" s="15"/>
      <c r="P42" s="15"/>
      <c r="Q42" s="15"/>
      <c r="R42" s="700" t="e">
        <f>VLOOKUP(N42,Isolation!$B$32:$R$41,9)</f>
        <v>#N/A</v>
      </c>
      <c r="S42" s="15" t="str">
        <f t="shared" si="3"/>
        <v/>
      </c>
      <c r="U42" s="1898"/>
      <c r="V42" s="681" t="e">
        <f t="shared" si="5"/>
        <v>#N/A</v>
      </c>
      <c r="W42" t="e">
        <v>#N/A</v>
      </c>
      <c r="X42" t="e">
        <v>#N/A</v>
      </c>
      <c r="Y42" t="e">
        <v>#N/A</v>
      </c>
      <c r="Z42" t="e">
        <v>#N/A</v>
      </c>
      <c r="AA42" s="332" t="e">
        <v>#N/A</v>
      </c>
      <c r="AB42" t="e">
        <v>#N/A</v>
      </c>
      <c r="AC42" t="e">
        <v>#N/A</v>
      </c>
      <c r="AD42" t="e">
        <v>#N/A</v>
      </c>
      <c r="AE42" t="e">
        <v>#N/A</v>
      </c>
      <c r="AF42" t="e">
        <v>#N/A</v>
      </c>
      <c r="AG42" s="629" t="e" cm="1">
        <f t="array" ref="AG42">INDEX(W42:AF42,ROWS($1:5))</f>
        <v>#N/A</v>
      </c>
    </row>
    <row r="43" spans="2:33">
      <c r="B43" t="s">
        <v>897</v>
      </c>
      <c r="E43" t="s">
        <v>806</v>
      </c>
      <c r="F43" t="s">
        <v>844</v>
      </c>
      <c r="G43" s="596">
        <f>(Propriété_air!$Q$10*G41^4+Propriété_air!$R$10*G41^3+Propriété_air!$S$10*G41^2+Propriété_air!$T$10*G41+Propriété_air!$U$10)/10^7</f>
        <v>1.7520728318945848E-5</v>
      </c>
      <c r="H43" s="596">
        <f>(Propriété_air!$Q$10*H41^4+Propriété_air!$R$10*H41^3+Propriété_air!$S$10*H41^2+Propriété_air!$T$10*H41+Propriété_air!$U$10)/10^7</f>
        <v>1.7585927225557492E-5</v>
      </c>
      <c r="I43" s="596">
        <f>(Propriété_air!$Q$10*I41^4+Propriété_air!$R$10*I41^3+Propriété_air!$S$10*I41^2+Propriété_air!$T$10*I41+Propriété_air!$U$10)/10^7</f>
        <v>1.7585824499970504E-5</v>
      </c>
      <c r="J43" s="596">
        <f>(Propriété_air!$Q$10*J41^4+Propriété_air!$R$10*J41^3+Propriété_air!$S$10*J41^2+Propriété_air!$T$10*J41+Propriété_air!$U$10)/10^7</f>
        <v>1.758582473913851E-5</v>
      </c>
      <c r="K43" s="596">
        <f>(Propriété_air!$Q$10*K41^4+Propriété_air!$R$10*K41^3+Propriété_air!$S$10*K41^2+Propriété_air!$T$10*K41+Propriété_air!$U$10)/10^7</f>
        <v>1.7585824738581501E-5</v>
      </c>
      <c r="L43" s="596"/>
      <c r="M43" s="601"/>
      <c r="N43" s="696"/>
      <c r="O43" s="15"/>
      <c r="P43" s="15"/>
      <c r="Q43" s="15"/>
      <c r="R43" s="700" t="e">
        <f>VLOOKUP(N43,Isolation!$B$32:$R$41,9)</f>
        <v>#N/A</v>
      </c>
      <c r="S43" s="15" t="str">
        <f t="shared" si="3"/>
        <v/>
      </c>
      <c r="U43" s="1898"/>
      <c r="V43" s="681" t="e">
        <f t="shared" si="5"/>
        <v>#N/A</v>
      </c>
      <c r="W43" t="e">
        <v>#N/A</v>
      </c>
      <c r="X43" t="e">
        <v>#N/A</v>
      </c>
      <c r="Y43" t="e">
        <v>#N/A</v>
      </c>
      <c r="Z43" t="e">
        <v>#N/A</v>
      </c>
      <c r="AA43" t="e">
        <v>#N/A</v>
      </c>
      <c r="AB43" s="332" t="e">
        <v>#N/A</v>
      </c>
      <c r="AC43" t="e">
        <v>#N/A</v>
      </c>
      <c r="AD43" t="e">
        <v>#N/A</v>
      </c>
      <c r="AE43" t="e">
        <v>#N/A</v>
      </c>
      <c r="AF43" t="e">
        <v>#N/A</v>
      </c>
      <c r="AG43" s="629" t="e" cm="1">
        <f t="array" ref="AG43">INDEX(W43:AF43,ROWS($1:6))</f>
        <v>#N/A</v>
      </c>
    </row>
    <row r="44" spans="2:33">
      <c r="B44" t="s">
        <v>807</v>
      </c>
      <c r="E44" t="s">
        <v>808</v>
      </c>
      <c r="G44" s="584">
        <f>Propriété_air!$Q$34*G41^4+Propriété_air!$R$34*G41^3+Propriété_air!$S$34*G41^2+Propriété_air!$T$34*G41+Propriété_air!$U$34</f>
        <v>0.71227928382239991</v>
      </c>
      <c r="H44" s="584">
        <f>Propriété_air!$Q$34*H41^4+Propriété_air!$R$34*H41^3+Propriété_air!$S$34*H41^2+Propriété_air!$T$34*H41+Propriété_air!$U$34</f>
        <v>0.71192931728935693</v>
      </c>
      <c r="I44" s="584">
        <f>Propriété_air!$Q$34*I41^4+Propriété_air!$R$34*I41^3+Propriété_air!$S$34*I41^2+Propriété_air!$T$34*I41+Propriété_air!$U$34</f>
        <v>0.71192986736389052</v>
      </c>
      <c r="J44" s="584">
        <f>Propriété_air!$Q$34*J41^4+Propriété_air!$R$34*J41^3+Propriété_air!$S$34*J41^2+Propriété_air!$T$34*J41+Propriété_air!$U$34</f>
        <v>0.71192986608318987</v>
      </c>
      <c r="K44" s="584">
        <f>Propriété_air!$Q$34*K41^4+Propriété_air!$R$34*K41^3+Propriété_air!$S$34*K41^2+Propriété_air!$T$34*K41+Propriété_air!$U$34</f>
        <v>0.71192986608617248</v>
      </c>
      <c r="L44" s="584"/>
      <c r="M44" s="584"/>
      <c r="N44" s="696"/>
      <c r="O44" s="15"/>
      <c r="P44" s="15"/>
      <c r="Q44" s="15"/>
      <c r="R44" s="700" t="e">
        <f>VLOOKUP(N44,Isolation!$B$32:$R$41,9)</f>
        <v>#N/A</v>
      </c>
      <c r="S44" s="15" t="str">
        <f t="shared" si="3"/>
        <v/>
      </c>
      <c r="U44" s="1898"/>
      <c r="V44" s="681" t="e">
        <f t="shared" si="5"/>
        <v>#N/A</v>
      </c>
      <c r="W44" t="e">
        <v>#N/A</v>
      </c>
      <c r="X44" t="e">
        <v>#N/A</v>
      </c>
      <c r="Y44" t="e">
        <v>#N/A</v>
      </c>
      <c r="Z44" t="e">
        <v>#N/A</v>
      </c>
      <c r="AA44" t="e">
        <v>#N/A</v>
      </c>
      <c r="AB44" t="e">
        <v>#N/A</v>
      </c>
      <c r="AC44" s="332" t="e">
        <v>#N/A</v>
      </c>
      <c r="AD44" t="e">
        <v>#N/A</v>
      </c>
      <c r="AE44" t="e">
        <v>#N/A</v>
      </c>
      <c r="AF44" t="e">
        <v>#N/A</v>
      </c>
      <c r="AG44" s="629" t="e" cm="1">
        <f t="array" ref="AG44">INDEX(W44:AF44,ROWS($1:7))</f>
        <v>#N/A</v>
      </c>
    </row>
    <row r="45" spans="2:33">
      <c r="B45" t="s">
        <v>898</v>
      </c>
      <c r="E45" t="s">
        <v>809</v>
      </c>
      <c r="F45" t="s">
        <v>810</v>
      </c>
      <c r="G45">
        <f>1/G41</f>
        <v>3.5656979853806382E-3</v>
      </c>
      <c r="H45">
        <f t="shared" ref="H45:K45" si="8">1/H41</f>
        <v>3.5491169158244247E-3</v>
      </c>
      <c r="I45">
        <f t="shared" si="8"/>
        <v>3.5491429443969048E-3</v>
      </c>
      <c r="J45">
        <f t="shared" si="8"/>
        <v>3.5491428837962492E-3</v>
      </c>
      <c r="K45">
        <f t="shared" si="8"/>
        <v>3.5491428839373846E-3</v>
      </c>
      <c r="L45" s="601"/>
      <c r="M45" s="197"/>
      <c r="N45" s="696"/>
      <c r="O45" s="15"/>
      <c r="P45" s="15"/>
      <c r="Q45" s="15"/>
      <c r="R45" s="700" t="e">
        <f>VLOOKUP(N45,Isolation!$B$32:$R$41,9)</f>
        <v>#N/A</v>
      </c>
      <c r="S45" s="15" t="str">
        <f t="shared" si="3"/>
        <v/>
      </c>
      <c r="U45" s="1898"/>
      <c r="V45" s="681" t="e">
        <f t="shared" si="5"/>
        <v>#N/A</v>
      </c>
      <c r="W45" t="e">
        <v>#N/A</v>
      </c>
      <c r="X45" t="e">
        <v>#N/A</v>
      </c>
      <c r="Y45" t="e">
        <v>#N/A</v>
      </c>
      <c r="Z45" t="e">
        <v>#N/A</v>
      </c>
      <c r="AA45" t="e">
        <v>#N/A</v>
      </c>
      <c r="AB45" t="e">
        <v>#N/A</v>
      </c>
      <c r="AC45" t="e">
        <v>#N/A</v>
      </c>
      <c r="AD45" s="332" t="e">
        <v>#N/A</v>
      </c>
      <c r="AE45" t="e">
        <v>#N/A</v>
      </c>
      <c r="AF45" t="e">
        <v>#N/A</v>
      </c>
      <c r="AG45" s="629" t="e" cm="1">
        <f t="array" ref="AG45">INDEX(W45:AF45,ROWS($1:8))</f>
        <v>#N/A</v>
      </c>
    </row>
    <row r="46" spans="2:33">
      <c r="B46" t="s">
        <v>899</v>
      </c>
      <c r="E46" t="s">
        <v>811</v>
      </c>
      <c r="F46" t="s">
        <v>845</v>
      </c>
      <c r="G46" s="595">
        <f>Propriété_air!$Q$45/G41</f>
        <v>1.2587070965238392</v>
      </c>
      <c r="H46" s="595">
        <f>Propriété_air!$Q$45/H41</f>
        <v>1.2528539059272348</v>
      </c>
      <c r="I46" s="595">
        <f>Propriété_air!$Q$45/I41</f>
        <v>1.2528630941279819</v>
      </c>
      <c r="J46" s="595">
        <f>Propriété_air!$Q$45/J41</f>
        <v>1.2528630727356833</v>
      </c>
      <c r="K46" s="595">
        <f>Propriété_air!$Q$45/K41</f>
        <v>1.2528630727855048</v>
      </c>
      <c r="L46" s="595"/>
      <c r="M46" s="601"/>
      <c r="N46" s="696"/>
      <c r="O46" s="15"/>
      <c r="P46" s="15"/>
      <c r="Q46" s="15"/>
      <c r="R46" s="700" t="e">
        <f>VLOOKUP(N46,Isolation!$B$32:$R$41,9)</f>
        <v>#N/A</v>
      </c>
      <c r="S46" s="15" t="str">
        <f t="shared" si="3"/>
        <v/>
      </c>
      <c r="U46" s="1898"/>
      <c r="V46" s="681" t="e">
        <f t="shared" si="5"/>
        <v>#N/A</v>
      </c>
      <c r="W46" t="e">
        <v>#N/A</v>
      </c>
      <c r="X46" t="e">
        <v>#N/A</v>
      </c>
      <c r="Y46" t="e">
        <v>#N/A</v>
      </c>
      <c r="Z46" t="e">
        <v>#N/A</v>
      </c>
      <c r="AA46" t="e">
        <v>#N/A</v>
      </c>
      <c r="AB46" t="e">
        <v>#N/A</v>
      </c>
      <c r="AC46" t="e">
        <v>#N/A</v>
      </c>
      <c r="AD46" t="e">
        <v>#N/A</v>
      </c>
      <c r="AE46" s="332" t="e">
        <v>#N/A</v>
      </c>
      <c r="AF46" t="e">
        <v>#N/A</v>
      </c>
      <c r="AG46" s="629" t="e" cm="1">
        <f t="array" ref="AG46">INDEX(W46:AF46,ROWS($1:9))</f>
        <v>#N/A</v>
      </c>
    </row>
    <row r="47" spans="2:33" ht="15" thickBot="1">
      <c r="B47" t="s">
        <v>812</v>
      </c>
      <c r="E47" t="s">
        <v>813</v>
      </c>
      <c r="F47" t="s">
        <v>814</v>
      </c>
      <c r="G47" s="596">
        <f>(Propriété_air!$Q$16*G41^4+Propriété_air!$R$16*G41^3+Propriété_air!$S$16*G41^2+Propriété_air!$T$16*G41+Propriété_air!$U$16)/10^6</f>
        <v>1.4107550211958557E-5</v>
      </c>
      <c r="H47" s="596">
        <f>(Propriété_air!$Q$16*H41^4+Propriété_air!$R$16*H41^3+Propriété_air!$S$16*H41^2+Propriété_air!$T$16*H41+Propriété_air!$U$16)/10^6</f>
        <v>1.4225467007471565E-5</v>
      </c>
      <c r="I47" s="596">
        <f>(Propriété_air!$Q$16*I41^4+Propriété_air!$R$16*I41^3+Propriété_air!$S$16*I41^2+Propriété_air!$T$16*I41+Propriété_air!$U$16)/10^6</f>
        <v>1.4225280735127243E-5</v>
      </c>
      <c r="J47" s="596">
        <f>(Propriété_air!$Q$16*J41^4+Propriété_air!$R$16*J41^3+Propriété_air!$S$16*J41^2+Propriété_air!$T$16*J41+Propriété_air!$U$16)/10^6</f>
        <v>1.4225281168808898E-5</v>
      </c>
      <c r="K47" s="596">
        <f>(Propriété_air!$Q$16*K41^4+Propriété_air!$R$16*K41^3+Propriété_air!$S$16*K41^2+Propriété_air!$T$16*K41+Propriété_air!$U$16)/10^6</f>
        <v>1.4225281167798879E-5</v>
      </c>
      <c r="L47" s="596"/>
      <c r="M47" s="595"/>
      <c r="N47" s="603"/>
      <c r="U47" s="1898"/>
      <c r="V47" s="681" t="e">
        <f t="shared" si="5"/>
        <v>#N/A</v>
      </c>
      <c r="W47" t="e">
        <v>#N/A</v>
      </c>
      <c r="X47" t="e">
        <v>#N/A</v>
      </c>
      <c r="Y47" t="e">
        <v>#N/A</v>
      </c>
      <c r="Z47" t="e">
        <v>#N/A</v>
      </c>
      <c r="AA47" t="e">
        <v>#N/A</v>
      </c>
      <c r="AB47" t="e">
        <v>#N/A</v>
      </c>
      <c r="AC47" t="e">
        <v>#N/A</v>
      </c>
      <c r="AD47" t="e">
        <v>#N/A</v>
      </c>
      <c r="AE47" t="e">
        <v>#N/A</v>
      </c>
      <c r="AF47" s="332" t="e">
        <v>#N/A</v>
      </c>
      <c r="AG47" s="699" t="e" cm="1">
        <f t="array" ref="AG47">INDEX(W47:AF47,ROWS($1:10))</f>
        <v>#N/A</v>
      </c>
    </row>
    <row r="48" spans="2:33">
      <c r="B48" t="s">
        <v>900</v>
      </c>
      <c r="E48" t="s">
        <v>815</v>
      </c>
      <c r="F48" t="s">
        <v>816</v>
      </c>
      <c r="G48" s="136">
        <f>Propriété_air!$Q$4*G41^4+Propriété_air!$R$4*G41^3+Propriété_air!$S$4*G41^2+Propriété_air!$T$4*G41+Propriété_air!$U$4</f>
        <v>1.0045728873008533</v>
      </c>
      <c r="H48" s="136">
        <f>Propriété_air!$Q$4*H41^4+Propriété_air!$R$4*H41^3+Propriété_air!$S$4*H41^2+Propriété_air!$T$4*H41+Propriété_air!$U$4</f>
        <v>1.0045853133027201</v>
      </c>
      <c r="I48" s="136">
        <f>Propriété_air!$Q$4*I41^4+Propriété_air!$R$4*I41^3+Propriété_air!$S$4*I41^2+Propriété_air!$T$4*I41+Propriété_air!$U$4</f>
        <v>1.0045852919525868</v>
      </c>
      <c r="J48" s="136">
        <f>Propriété_air!$Q$4*J41^4+Propriété_air!$R$4*J41^3+Propriété_air!$S$4*J41^2+Propriété_air!$T$4*J41+Propriété_air!$U$4</f>
        <v>1.0045852920022882</v>
      </c>
      <c r="K48" s="136">
        <f>Propriété_air!$Q$4*K41^4+Propriété_air!$R$4*K41^3+Propriété_air!$S$4*K41^2+Propriété_air!$T$4*K41+Propriété_air!$U$4</f>
        <v>1.0045852920021723</v>
      </c>
      <c r="L48" s="136"/>
      <c r="M48" s="595"/>
      <c r="N48" s="584"/>
    </row>
    <row r="49" spans="2:33">
      <c r="B49" t="s">
        <v>817</v>
      </c>
      <c r="E49" t="s">
        <v>818</v>
      </c>
      <c r="F49" t="s">
        <v>846</v>
      </c>
      <c r="G49" s="596">
        <f>(Propriété_air!$Q$28*G41^4+Propriété_air!$R$28*G41^3+Propriété_air!$S$28*G41^2+Propriété_air!$T$28*G41+Propriété_air!$U$28)/10^6</f>
        <v>1.9736849477875458E-5</v>
      </c>
      <c r="H49" s="596">
        <f>(Propriété_air!$Q$28*H41^4+Propriété_air!$R$28*H41^3+Propriété_air!$S$28*H41^2+Propriété_air!$T$28*H41+Propriété_air!$U$28)/10^6</f>
        <v>1.9916226223849238E-5</v>
      </c>
      <c r="I49" s="596">
        <f>(Propriété_air!$Q$28*I41^4+Propriété_air!$R$28*I41^3+Propriété_air!$S$28*I41^2+Propriété_air!$T$28*I41+Propriété_air!$U$28)/10^6</f>
        <v>1.9915942816354676E-5</v>
      </c>
      <c r="J49" s="596">
        <f>(Propriété_air!$Q$28*J41^4+Propriété_air!$R$28*J41^3+Propriété_air!$S$28*J41^2+Propriété_air!$T$28*J41+Propriété_air!$U$28)/10^6</f>
        <v>1.9915943476187457E-5</v>
      </c>
      <c r="K49" s="596">
        <f>(Propriété_air!$Q$28*K41^4+Propriété_air!$R$28*K41^3+Propriété_air!$S$28*K41^2+Propriété_air!$T$28*K41+Propriété_air!$U$28)/10^6</f>
        <v>1.9915943474650746E-5</v>
      </c>
      <c r="L49" s="596"/>
      <c r="M49" s="597"/>
      <c r="N49" s="1896" t="s">
        <v>990</v>
      </c>
      <c r="O49" s="1896"/>
      <c r="P49" s="1896"/>
      <c r="Q49" s="1896"/>
      <c r="R49" s="1896"/>
      <c r="S49" s="1896"/>
      <c r="T49" s="1896"/>
      <c r="U49" s="1896"/>
      <c r="V49" s="1896"/>
      <c r="W49" s="1896"/>
      <c r="X49" s="1896"/>
      <c r="Y49" s="1896"/>
      <c r="Z49" s="1896"/>
      <c r="AA49" s="1896"/>
      <c r="AB49" s="1896"/>
      <c r="AC49" s="1896"/>
      <c r="AD49" s="1896"/>
      <c r="AE49" s="1896"/>
      <c r="AF49" s="1896"/>
      <c r="AG49" s="1896"/>
    </row>
    <row r="50" spans="2:33" ht="16.2">
      <c r="B50" t="s">
        <v>819</v>
      </c>
      <c r="E50" t="s">
        <v>820</v>
      </c>
      <c r="G50" s="603">
        <f>($E$18/1000)*$E$12/G47</f>
        <v>30182.81654876245</v>
      </c>
      <c r="H50" s="603">
        <f t="shared" ref="H50:K50" si="9">($E$18/1000)*$E$12/H47</f>
        <v>29932.627152160021</v>
      </c>
      <c r="I50" s="603">
        <f t="shared" si="9"/>
        <v>29933.019103695824</v>
      </c>
      <c r="J50" s="603">
        <f t="shared" si="9"/>
        <v>29933.018191137322</v>
      </c>
      <c r="K50" s="603">
        <f t="shared" si="9"/>
        <v>29933.018193262618</v>
      </c>
      <c r="L50" s="603"/>
      <c r="M50" s="603"/>
      <c r="N50" s="1902" t="s">
        <v>923</v>
      </c>
      <c r="O50" s="689" t="s">
        <v>993</v>
      </c>
      <c r="P50" s="689" t="s">
        <v>925</v>
      </c>
      <c r="Q50" s="1899" t="s">
        <v>935</v>
      </c>
      <c r="R50" s="689" t="s">
        <v>991</v>
      </c>
      <c r="S50" s="689" t="s">
        <v>922</v>
      </c>
      <c r="W50" s="1901" t="s">
        <v>996</v>
      </c>
      <c r="X50" s="1901"/>
      <c r="Y50" s="1901"/>
      <c r="Z50" s="1901"/>
      <c r="AA50" s="1901"/>
      <c r="AB50" s="1901"/>
      <c r="AC50" s="1901"/>
      <c r="AD50" s="1901"/>
      <c r="AE50" s="1901"/>
      <c r="AF50" s="1901"/>
    </row>
    <row r="51" spans="2:33" ht="16.2">
      <c r="B51" t="s">
        <v>821</v>
      </c>
      <c r="E51" t="s">
        <v>822</v>
      </c>
      <c r="G51" s="603">
        <f>9.81*G45*ABS(G37-$E$11)*($E$18/1000)^3/(G47*G49)</f>
        <v>868498.49332665431</v>
      </c>
      <c r="H51" s="603">
        <f t="shared" ref="H51:K51" si="10">9.81*H45*ABS(H37-$E$11)*($E$18/1000)^3/(H47*H49)</f>
        <v>3075845.5582048316</v>
      </c>
      <c r="I51" s="603">
        <f t="shared" si="10"/>
        <v>3072440.9901138442</v>
      </c>
      <c r="J51" s="603">
        <f t="shared" si="10"/>
        <v>3072448.9169707783</v>
      </c>
      <c r="K51" s="603">
        <f t="shared" si="10"/>
        <v>3072448.8985095727</v>
      </c>
      <c r="L51" s="603"/>
      <c r="M51" s="603"/>
      <c r="N51" s="1902"/>
      <c r="O51" s="690" t="s">
        <v>1005</v>
      </c>
      <c r="P51" s="690" t="s">
        <v>929</v>
      </c>
      <c r="Q51" s="1900"/>
      <c r="R51" s="691" t="s">
        <v>945</v>
      </c>
      <c r="S51" s="690" t="s">
        <v>1001</v>
      </c>
      <c r="W51" s="1894" t="s">
        <v>779</v>
      </c>
      <c r="X51" s="1894"/>
      <c r="Y51" s="1894"/>
      <c r="Z51" s="1894"/>
      <c r="AA51" s="1894"/>
      <c r="AB51" s="1894"/>
      <c r="AC51" s="1894"/>
      <c r="AD51" s="1894"/>
      <c r="AE51" s="1894"/>
      <c r="AF51" s="1894"/>
      <c r="AG51" s="1897" t="s">
        <v>943</v>
      </c>
    </row>
    <row r="52" spans="2:33" ht="15" thickBot="1">
      <c r="N52" s="696" t="e" cm="1" vm="2">
        <f t="array" ref="N52">_xlfn._xlws.FILTER(Isolation!$B$47:$E$56,Isolation!$E$47:'Isolation'!$E$56='Isolation - CAS 3'!P6&amp;"_"&amp;'Isolation - CAS 3'!P7)</f>
        <v>#VALUE!</v>
      </c>
      <c r="O52" s="15"/>
      <c r="P52" s="15"/>
      <c r="Q52" s="15"/>
      <c r="R52" s="700" t="e" vm="1">
        <f>VLOOKUP(N52,Isolation!$B$47:$R$56,9)</f>
        <v>#VALUE!</v>
      </c>
      <c r="S52" s="15" t="e" vm="1">
        <f t="shared" ref="S52:S61" si="11">IF(N52="","",AG53)</f>
        <v>#VALUE!</v>
      </c>
      <c r="V52" s="634">
        <f>$E$32</f>
        <v>2017.1516248443409</v>
      </c>
      <c r="W52" s="678" cm="1">
        <f t="array" ref="W52:AF52">TRANSPOSE(P52:P61)</f>
        <v>0</v>
      </c>
      <c r="X52" s="678">
        <v>0</v>
      </c>
      <c r="Y52" s="678">
        <v>0</v>
      </c>
      <c r="Z52" s="678">
        <v>0</v>
      </c>
      <c r="AA52" s="678">
        <v>0</v>
      </c>
      <c r="AB52" s="678">
        <v>0</v>
      </c>
      <c r="AC52" s="678">
        <v>0</v>
      </c>
      <c r="AD52" s="678">
        <v>0</v>
      </c>
      <c r="AE52" s="678">
        <v>0</v>
      </c>
      <c r="AF52" s="678">
        <v>0</v>
      </c>
      <c r="AG52" s="1897"/>
    </row>
    <row r="53" spans="2:33">
      <c r="B53" s="3" t="s">
        <v>901</v>
      </c>
      <c r="N53" s="696"/>
      <c r="O53" s="15"/>
      <c r="P53" s="15"/>
      <c r="Q53" s="15"/>
      <c r="R53" s="700" t="e">
        <f>VLOOKUP(N53,Isolation!$B$47:$R$56,9)</f>
        <v>#N/A</v>
      </c>
      <c r="S53" s="15" t="str">
        <f t="shared" si="11"/>
        <v/>
      </c>
      <c r="U53" s="1898" t="s">
        <v>992</v>
      </c>
      <c r="V53" s="681" t="e" vm="1">
        <f>R52</f>
        <v>#VALUE!</v>
      </c>
      <c r="W53" s="332" t="e" vm="1">
        <f t="dataTable" ref="W53:AF62" dt2D="1" dtr="1" r1="E10" r2="E9" ca="1"/>
        <v>#VALUE!</v>
      </c>
      <c r="X53" t="e" vm="1">
        <v>#VALUE!</v>
      </c>
      <c r="Y53" t="e" vm="1">
        <v>#VALUE!</v>
      </c>
      <c r="Z53" t="e" vm="1">
        <v>#VALUE!</v>
      </c>
      <c r="AA53" t="e" vm="1">
        <v>#VALUE!</v>
      </c>
      <c r="AB53" t="e" vm="1">
        <v>#VALUE!</v>
      </c>
      <c r="AC53" t="e" vm="1">
        <v>#VALUE!</v>
      </c>
      <c r="AD53" t="e" vm="1">
        <v>#VALUE!</v>
      </c>
      <c r="AE53" t="e" vm="1">
        <v>#VALUE!</v>
      </c>
      <c r="AF53" t="e" vm="1">
        <v>#VALUE!</v>
      </c>
      <c r="AG53" s="698" t="e" cm="1" vm="1">
        <f t="array" ref="AG53">INDEX(W53:AF53,ROWS($1:1))</f>
        <v>#VALUE!</v>
      </c>
    </row>
    <row r="54" spans="2:33">
      <c r="B54" t="s">
        <v>823</v>
      </c>
      <c r="E54" t="s">
        <v>824</v>
      </c>
      <c r="F54" t="s">
        <v>847</v>
      </c>
      <c r="G54" s="136">
        <f>'Facteurs conversion'!$C$30*$E$16*((G37+273.15)^4-($E$11+273.15)^4)/((G37+273.15)-($E$11+273.15))</f>
        <v>4.5027926742932971</v>
      </c>
      <c r="H54" s="136">
        <f>'Facteurs conversion'!$C$30*$E$16*((H37+273.15)^4-($E$11+273.15)^4)/((H37+273.15)-($E$11+273.15))</f>
        <v>4.5663715407773218</v>
      </c>
      <c r="I54" s="136">
        <f>'Facteurs conversion'!$C$30*$E$16*((I37+273.15)^4-($E$11+273.15)^4)/((I37+273.15)-($E$11+273.15))</f>
        <v>4.5662706481771282</v>
      </c>
      <c r="J54" s="136">
        <f>'Facteurs conversion'!$C$30*$E$16*((J37+273.15)^4-($E$11+273.15)^4)/((J37+273.15)-($E$11+273.15))</f>
        <v>4.5662708830748757</v>
      </c>
      <c r="K54" s="136">
        <f>'Facteurs conversion'!$C$30*$E$16*((K37+273.15)^4-($E$11+273.15)^4)/((K37+273.15)-($E$11+273.15))</f>
        <v>4.5662708825278129</v>
      </c>
      <c r="L54" s="136"/>
      <c r="M54" s="595"/>
      <c r="N54" s="696"/>
      <c r="O54" s="15"/>
      <c r="P54" s="15"/>
      <c r="Q54" s="15"/>
      <c r="R54" s="700" t="e">
        <f>VLOOKUP(N54,Isolation!$B$47:$R$56,9)</f>
        <v>#N/A</v>
      </c>
      <c r="S54" s="15" t="str">
        <f t="shared" si="11"/>
        <v/>
      </c>
      <c r="U54" s="1898"/>
      <c r="V54" s="681" t="e">
        <f t="shared" ref="V54:V62" si="12">R53</f>
        <v>#N/A</v>
      </c>
      <c r="W54" t="e">
        <v>#N/A</v>
      </c>
      <c r="X54" s="332" t="e">
        <v>#N/A</v>
      </c>
      <c r="Y54" t="e">
        <v>#N/A</v>
      </c>
      <c r="Z54" t="e">
        <v>#N/A</v>
      </c>
      <c r="AA54" t="e">
        <v>#N/A</v>
      </c>
      <c r="AB54" t="e">
        <v>#N/A</v>
      </c>
      <c r="AC54" t="e">
        <v>#N/A</v>
      </c>
      <c r="AD54" t="e">
        <v>#N/A</v>
      </c>
      <c r="AE54" t="e">
        <v>#N/A</v>
      </c>
      <c r="AF54" t="e">
        <v>#N/A</v>
      </c>
      <c r="AG54" s="629" t="e" cm="1">
        <f t="array" ref="AG54">INDEX(W54:AF54,ROWS($1:2))</f>
        <v>#N/A</v>
      </c>
    </row>
    <row r="55" spans="2:33">
      <c r="B55" t="s">
        <v>825</v>
      </c>
      <c r="N55" s="696"/>
      <c r="O55" s="15"/>
      <c r="P55" s="15"/>
      <c r="Q55" s="15"/>
      <c r="R55" s="700" t="e">
        <f>VLOOKUP(N55,Isolation!$B$47:$R$56,9)</f>
        <v>#N/A</v>
      </c>
      <c r="S55" s="15" t="str">
        <f t="shared" si="11"/>
        <v/>
      </c>
      <c r="U55" s="1898"/>
      <c r="V55" s="681" t="e">
        <f t="shared" si="12"/>
        <v>#N/A</v>
      </c>
      <c r="W55" t="e">
        <v>#N/A</v>
      </c>
      <c r="X55" t="e">
        <v>#N/A</v>
      </c>
      <c r="Y55" s="332" t="e">
        <v>#N/A</v>
      </c>
      <c r="Z55" t="e">
        <v>#N/A</v>
      </c>
      <c r="AA55" t="e">
        <v>#N/A</v>
      </c>
      <c r="AB55" t="e">
        <v>#N/A</v>
      </c>
      <c r="AC55" t="e">
        <v>#N/A</v>
      </c>
      <c r="AD55" t="e">
        <v>#N/A</v>
      </c>
      <c r="AE55" t="e">
        <v>#N/A</v>
      </c>
      <c r="AF55" t="e">
        <v>#N/A</v>
      </c>
      <c r="AG55" s="629" t="e" cm="1">
        <f t="array" ref="AG55">INDEX(W55:AF55,ROWS($1:3))</f>
        <v>#N/A</v>
      </c>
    </row>
    <row r="56" spans="2:33">
      <c r="B56" t="s">
        <v>902</v>
      </c>
      <c r="E56" t="s">
        <v>826</v>
      </c>
      <c r="G56" s="593">
        <f>0.3+(0.62*G50^0.5*G44^(1/3))*(1+(G50/282000)^(5/8))^(4/5)/(1 + (0.4/G44)^(2/3))^(1/4)</f>
        <v>101.13138274303155</v>
      </c>
      <c r="H56" s="593">
        <f>0.3+(0.62*H50^0.5*H44^(1/3))*(1+(H50/282000)^(5/8))^(4/5)/(1 + (0.4/H44)^(2/3))^(1/4)</f>
        <v>100.61016475022672</v>
      </c>
      <c r="I56" s="593">
        <f t="shared" ref="I56:K56" si="13">0.3+(0.62*I50^0.5*I44^(1/3))*(1+(I50/282000)^(5/8))^(4/5)/(1 + (0.4/I44)^(2/3))^(1/4)</f>
        <v>100.61098229395232</v>
      </c>
      <c r="J56" s="593">
        <f t="shared" si="13"/>
        <v>100.61098039051534</v>
      </c>
      <c r="K56" s="593">
        <f t="shared" si="13"/>
        <v>100.61098039494834</v>
      </c>
      <c r="L56" s="593"/>
      <c r="M56" s="593"/>
      <c r="N56" s="696"/>
      <c r="O56" s="15"/>
      <c r="P56" s="15"/>
      <c r="Q56" s="15"/>
      <c r="R56" s="700" t="e">
        <f>VLOOKUP(N56,Isolation!$B$47:$R$56,9)</f>
        <v>#N/A</v>
      </c>
      <c r="S56" s="15" t="str">
        <f t="shared" si="11"/>
        <v/>
      </c>
      <c r="U56" s="1898"/>
      <c r="V56" s="681" t="e">
        <f t="shared" si="12"/>
        <v>#N/A</v>
      </c>
      <c r="W56" t="e">
        <v>#N/A</v>
      </c>
      <c r="X56" t="e">
        <v>#N/A</v>
      </c>
      <c r="Y56" t="e">
        <v>#N/A</v>
      </c>
      <c r="Z56" s="332" t="e">
        <v>#N/A</v>
      </c>
      <c r="AA56" t="e">
        <v>#N/A</v>
      </c>
      <c r="AB56" t="e">
        <v>#N/A</v>
      </c>
      <c r="AC56" t="e">
        <v>#N/A</v>
      </c>
      <c r="AD56" t="e">
        <v>#N/A</v>
      </c>
      <c r="AE56" t="e">
        <v>#N/A</v>
      </c>
      <c r="AF56" t="e">
        <v>#N/A</v>
      </c>
      <c r="AG56" s="629" t="e" cm="1">
        <f t="array" ref="AG56">INDEX(W56:AF56,ROWS($1:4))</f>
        <v>#N/A</v>
      </c>
    </row>
    <row r="57" spans="2:33">
      <c r="E57" t="s">
        <v>827</v>
      </c>
      <c r="F57" t="s">
        <v>847</v>
      </c>
      <c r="G57" s="136">
        <f>G56*G42/($E$18/1000)</f>
        <v>13.111510169085449</v>
      </c>
      <c r="H57" s="136">
        <f t="shared" ref="H57:K57" si="14">H56*H42/($E$18/1000)</f>
        <v>13.099481872528559</v>
      </c>
      <c r="I57" s="136">
        <f t="shared" si="14"/>
        <v>13.099500756727325</v>
      </c>
      <c r="J57" s="136">
        <f t="shared" si="14"/>
        <v>13.099500712760465</v>
      </c>
      <c r="K57" s="136">
        <f t="shared" si="14"/>
        <v>13.099500712862865</v>
      </c>
      <c r="L57" s="136"/>
      <c r="M57" s="595"/>
      <c r="N57" s="696"/>
      <c r="O57" s="15"/>
      <c r="P57" s="15"/>
      <c r="Q57" s="15"/>
      <c r="R57" s="700" t="e">
        <f>VLOOKUP(N57,Isolation!$B$47:$R$56,9)</f>
        <v>#N/A</v>
      </c>
      <c r="S57" s="15" t="str">
        <f t="shared" si="11"/>
        <v/>
      </c>
      <c r="U57" s="1898"/>
      <c r="V57" s="681" t="e">
        <f t="shared" si="12"/>
        <v>#N/A</v>
      </c>
      <c r="W57" t="e">
        <v>#N/A</v>
      </c>
      <c r="X57" t="e">
        <v>#N/A</v>
      </c>
      <c r="Y57" t="e">
        <v>#N/A</v>
      </c>
      <c r="Z57" t="e">
        <v>#N/A</v>
      </c>
      <c r="AA57" s="332" t="e">
        <v>#N/A</v>
      </c>
      <c r="AB57" t="e">
        <v>#N/A</v>
      </c>
      <c r="AC57" t="e">
        <v>#N/A</v>
      </c>
      <c r="AD57" t="e">
        <v>#N/A</v>
      </c>
      <c r="AE57" t="e">
        <v>#N/A</v>
      </c>
      <c r="AF57" t="e">
        <v>#N/A</v>
      </c>
      <c r="AG57" s="629" t="e" cm="1">
        <f t="array" ref="AG57">INDEX(W57:AF57,ROWS($1:5))</f>
        <v>#N/A</v>
      </c>
    </row>
    <row r="58" spans="2:33">
      <c r="B58" t="s">
        <v>828</v>
      </c>
      <c r="E58" t="s">
        <v>829</v>
      </c>
      <c r="G58" s="136">
        <f>(0.6 + 0.387*G51^(1/6)/( 1 +(0.559/G44)^(9/16))^(8/27))^2</f>
        <v>13.979671461947696</v>
      </c>
      <c r="H58" s="136">
        <f t="shared" ref="H58:K58" si="15">(0.6 + 0.387*H51^(1/6)/( 1 +(0.559/H44)^(9/16))^(8/27))^2</f>
        <v>20.027804438310042</v>
      </c>
      <c r="I58" s="136">
        <f t="shared" si="15"/>
        <v>20.021405375321898</v>
      </c>
      <c r="J58" s="136">
        <f t="shared" si="15"/>
        <v>20.021420279938908</v>
      </c>
      <c r="K58" s="136">
        <f t="shared" si="15"/>
        <v>20.02142024522691</v>
      </c>
      <c r="L58" s="136"/>
      <c r="M58" s="136"/>
      <c r="N58" s="696"/>
      <c r="O58" s="15"/>
      <c r="P58" s="15"/>
      <c r="Q58" s="15"/>
      <c r="R58" s="700" t="e">
        <f>VLOOKUP(N58,Isolation!$B$47:$R$56,9)</f>
        <v>#N/A</v>
      </c>
      <c r="S58" s="15" t="str">
        <f t="shared" si="11"/>
        <v/>
      </c>
      <c r="U58" s="1898"/>
      <c r="V58" s="681" t="e">
        <f t="shared" si="12"/>
        <v>#N/A</v>
      </c>
      <c r="W58" t="e">
        <v>#N/A</v>
      </c>
      <c r="X58" t="e">
        <v>#N/A</v>
      </c>
      <c r="Y58" t="e">
        <v>#N/A</v>
      </c>
      <c r="Z58" t="e">
        <v>#N/A</v>
      </c>
      <c r="AA58" t="e">
        <v>#N/A</v>
      </c>
      <c r="AB58" s="332" t="e">
        <v>#N/A</v>
      </c>
      <c r="AC58" t="e">
        <v>#N/A</v>
      </c>
      <c r="AD58" t="e">
        <v>#N/A</v>
      </c>
      <c r="AE58" t="e">
        <v>#N/A</v>
      </c>
      <c r="AF58" t="e">
        <v>#N/A</v>
      </c>
      <c r="AG58" s="629" t="e" cm="1">
        <f t="array" ref="AG58">INDEX(W58:AF58,ROWS($1:6))</f>
        <v>#N/A</v>
      </c>
    </row>
    <row r="59" spans="2:33">
      <c r="E59" t="s">
        <v>830</v>
      </c>
      <c r="F59" t="s">
        <v>847</v>
      </c>
      <c r="G59" s="136">
        <f>G58*G42/($E$18/1000)</f>
        <v>1.8124404073416147</v>
      </c>
      <c r="H59" s="136">
        <f t="shared" ref="H59:K59" si="16">H58*H42/($E$18/1000)</f>
        <v>2.6076277862928183</v>
      </c>
      <c r="I59" s="136">
        <f t="shared" si="16"/>
        <v>2.6067772015037636</v>
      </c>
      <c r="J59" s="136">
        <f t="shared" si="16"/>
        <v>2.6067791826453663</v>
      </c>
      <c r="K59" s="136">
        <f t="shared" si="16"/>
        <v>2.6067791780314016</v>
      </c>
      <c r="L59" s="136"/>
      <c r="M59" s="595"/>
      <c r="N59" s="696"/>
      <c r="O59" s="15"/>
      <c r="P59" s="15"/>
      <c r="Q59" s="15"/>
      <c r="R59" s="700" t="e">
        <f>VLOOKUP(N59,Isolation!$B$47:$R$56,9)</f>
        <v>#N/A</v>
      </c>
      <c r="S59" s="15" t="str">
        <f t="shared" si="11"/>
        <v/>
      </c>
      <c r="U59" s="1898"/>
      <c r="V59" s="681" t="e">
        <f t="shared" si="12"/>
        <v>#N/A</v>
      </c>
      <c r="W59" t="e">
        <v>#N/A</v>
      </c>
      <c r="X59" t="e">
        <v>#N/A</v>
      </c>
      <c r="Y59" t="e">
        <v>#N/A</v>
      </c>
      <c r="Z59" t="e">
        <v>#N/A</v>
      </c>
      <c r="AA59" t="e">
        <v>#N/A</v>
      </c>
      <c r="AB59" t="e">
        <v>#N/A</v>
      </c>
      <c r="AC59" s="332" t="e">
        <v>#N/A</v>
      </c>
      <c r="AD59" t="e">
        <v>#N/A</v>
      </c>
      <c r="AE59" t="e">
        <v>#N/A</v>
      </c>
      <c r="AF59" t="e">
        <v>#N/A</v>
      </c>
      <c r="AG59" s="629" t="e" cm="1">
        <f t="array" ref="AG59">INDEX(W59:AF59,ROWS($1:7))</f>
        <v>#N/A</v>
      </c>
    </row>
    <row r="60" spans="2:33">
      <c r="B60" t="s">
        <v>903</v>
      </c>
      <c r="E60" t="s">
        <v>831</v>
      </c>
      <c r="G60" s="593">
        <f>(G56^4+G58^4)^(1/4)</f>
        <v>101.1406129316766</v>
      </c>
      <c r="H60" s="593">
        <f t="shared" ref="H60:K60" si="17">(H56^4+H58^4)^(1/4)</f>
        <v>100.64963703136549</v>
      </c>
      <c r="I60" s="593">
        <f t="shared" si="17"/>
        <v>100.65040322164784</v>
      </c>
      <c r="J60" s="593">
        <f t="shared" si="17"/>
        <v>100.65040143776284</v>
      </c>
      <c r="K60" s="593">
        <f t="shared" si="17"/>
        <v>100.65040144191741</v>
      </c>
      <c r="L60" s="593"/>
      <c r="M60" s="593"/>
      <c r="N60" s="696"/>
      <c r="O60" s="15"/>
      <c r="P60" s="15"/>
      <c r="Q60" s="15"/>
      <c r="R60" s="700" t="e">
        <f>VLOOKUP(N60,Isolation!$B$47:$R$56,9)</f>
        <v>#N/A</v>
      </c>
      <c r="S60" s="15" t="str">
        <f t="shared" si="11"/>
        <v/>
      </c>
      <c r="U60" s="1898"/>
      <c r="V60" s="681" t="e">
        <f t="shared" si="12"/>
        <v>#N/A</v>
      </c>
      <c r="W60" t="e">
        <v>#N/A</v>
      </c>
      <c r="X60" t="e">
        <v>#N/A</v>
      </c>
      <c r="Y60" t="e">
        <v>#N/A</v>
      </c>
      <c r="Z60" t="e">
        <v>#N/A</v>
      </c>
      <c r="AA60" t="e">
        <v>#N/A</v>
      </c>
      <c r="AB60" t="e">
        <v>#N/A</v>
      </c>
      <c r="AC60" t="e">
        <v>#N/A</v>
      </c>
      <c r="AD60" s="332" t="e">
        <v>#N/A</v>
      </c>
      <c r="AE60" t="e">
        <v>#N/A</v>
      </c>
      <c r="AF60" t="e">
        <v>#N/A</v>
      </c>
      <c r="AG60" s="629" t="e" cm="1">
        <f t="array" ref="AG60">INDEX(W60:AF60,ROWS($1:8))</f>
        <v>#N/A</v>
      </c>
    </row>
    <row r="61" spans="2:33">
      <c r="E61" t="s">
        <v>832</v>
      </c>
      <c r="F61" t="s">
        <v>847</v>
      </c>
      <c r="G61" s="136">
        <f>G60*G42/($E$18/1000)</f>
        <v>13.112706847198607</v>
      </c>
      <c r="H61" s="136">
        <f t="shared" ref="H61:K61" si="18">H60*H42/($E$18/1000)</f>
        <v>13.104621178606909</v>
      </c>
      <c r="I61" s="136">
        <f t="shared" si="18"/>
        <v>13.104633342260279</v>
      </c>
      <c r="J61" s="136">
        <f t="shared" si="18"/>
        <v>13.104633313938907</v>
      </c>
      <c r="K61" s="136">
        <f t="shared" si="18"/>
        <v>13.104633314004866</v>
      </c>
      <c r="L61" s="136"/>
      <c r="M61" s="136"/>
      <c r="N61" s="696"/>
      <c r="O61" s="15"/>
      <c r="P61" s="15"/>
      <c r="Q61" s="15"/>
      <c r="R61" s="700" t="e">
        <f>VLOOKUP(N61,Isolation!$B$47:$R$56,9)</f>
        <v>#N/A</v>
      </c>
      <c r="S61" s="15" t="str">
        <f t="shared" si="11"/>
        <v/>
      </c>
      <c r="U61" s="1898"/>
      <c r="V61" s="681" t="e">
        <f t="shared" si="12"/>
        <v>#N/A</v>
      </c>
      <c r="W61" t="e">
        <v>#N/A</v>
      </c>
      <c r="X61" t="e">
        <v>#N/A</v>
      </c>
      <c r="Y61" t="e">
        <v>#N/A</v>
      </c>
      <c r="Z61" t="e">
        <v>#N/A</v>
      </c>
      <c r="AA61" t="e">
        <v>#N/A</v>
      </c>
      <c r="AB61" t="e">
        <v>#N/A</v>
      </c>
      <c r="AC61" t="e">
        <v>#N/A</v>
      </c>
      <c r="AD61" t="e">
        <v>#N/A</v>
      </c>
      <c r="AE61" s="332" t="e">
        <v>#N/A</v>
      </c>
      <c r="AF61" t="e">
        <v>#N/A</v>
      </c>
      <c r="AG61" s="629" t="e" cm="1">
        <f t="array" ref="AG61">INDEX(W61:AF61,ROWS($1:9))</f>
        <v>#N/A</v>
      </c>
    </row>
    <row r="62" spans="2:33" ht="15" thickBot="1">
      <c r="B62" t="s">
        <v>904</v>
      </c>
      <c r="E62" t="s">
        <v>833</v>
      </c>
      <c r="F62" t="s">
        <v>847</v>
      </c>
      <c r="G62" s="136">
        <f>G61+G54</f>
        <v>17.615499521491905</v>
      </c>
      <c r="H62" s="136">
        <f t="shared" ref="H62:K62" si="19">H61+H54</f>
        <v>17.67099271938423</v>
      </c>
      <c r="I62" s="136">
        <f t="shared" si="19"/>
        <v>17.670903990437406</v>
      </c>
      <c r="J62" s="136">
        <f t="shared" si="19"/>
        <v>17.670904197013783</v>
      </c>
      <c r="K62" s="136">
        <f t="shared" si="19"/>
        <v>17.670904196532678</v>
      </c>
      <c r="L62" s="136"/>
      <c r="M62" s="136"/>
      <c r="N62" s="603"/>
      <c r="U62" s="1898"/>
      <c r="V62" s="681" t="e">
        <f t="shared" si="12"/>
        <v>#N/A</v>
      </c>
      <c r="W62" t="e">
        <v>#N/A</v>
      </c>
      <c r="X62" t="e">
        <v>#N/A</v>
      </c>
      <c r="Y62" t="e">
        <v>#N/A</v>
      </c>
      <c r="Z62" t="e">
        <v>#N/A</v>
      </c>
      <c r="AA62" t="e">
        <v>#N/A</v>
      </c>
      <c r="AB62" t="e">
        <v>#N/A</v>
      </c>
      <c r="AC62" t="e">
        <v>#N/A</v>
      </c>
      <c r="AD62" t="e">
        <v>#N/A</v>
      </c>
      <c r="AE62" t="e">
        <v>#N/A</v>
      </c>
      <c r="AF62" s="332" t="e">
        <v>#N/A</v>
      </c>
      <c r="AG62" s="699" t="e" cm="1">
        <f t="array" ref="AG62">INDEX(W62:AF62,ROWS($1:10))</f>
        <v>#N/A</v>
      </c>
    </row>
    <row r="63" spans="2:33">
      <c r="B63" s="3" t="s">
        <v>905</v>
      </c>
      <c r="G63" s="136"/>
      <c r="H63" s="136"/>
      <c r="I63" s="136"/>
      <c r="J63" s="136"/>
      <c r="K63" s="136"/>
    </row>
    <row r="64" spans="2:33">
      <c r="B64" t="s">
        <v>896</v>
      </c>
      <c r="E64" t="s">
        <v>834</v>
      </c>
      <c r="F64" t="s">
        <v>805</v>
      </c>
      <c r="G64" s="136">
        <f>Propriété_matériau!$G$9*($E$10+273.15)^3+Propriété_matériau!$H$9*($E$10+273.15)^2+Propriété_matériau!$I$9*($E$10+273.15)+Propriété_matériau!$J$9</f>
        <v>60.381356365592872</v>
      </c>
      <c r="H64" s="136">
        <f>Propriété_matériau!$G$9*($E$10+273.15)^3+Propriété_matériau!$H$9*($E$10+273.15)^2+Propriété_matériau!$I$9*($E$10+273.15)+Propriété_matériau!$J$9</f>
        <v>60.381356365592872</v>
      </c>
      <c r="I64" s="136">
        <f>Propriété_matériau!$G$9*($E$10+273.15)^3+Propriété_matériau!$H$9*($E$10+273.15)^2+Propriété_matériau!$I$9*($E$10+273.15)+Propriété_matériau!$J$9</f>
        <v>60.381356365592872</v>
      </c>
      <c r="J64" s="136">
        <f>Propriété_matériau!$G$9*($E$10+273.15)^3+Propriété_matériau!$H$9*($E$10+273.15)^2+Propriété_matériau!$I$9*($E$10+273.15)+Propriété_matériau!$J$9</f>
        <v>60.381356365592872</v>
      </c>
      <c r="K64" s="136">
        <f>Propriété_matériau!$G$9*($E$10+273.15)^3+Propriété_matériau!$H$9*($E$10+273.15)^2+Propriété_matériau!$I$9*($E$10+273.15)+Propriété_matériau!$J$9</f>
        <v>60.381356365592872</v>
      </c>
      <c r="L64" s="136"/>
      <c r="M64" s="136"/>
      <c r="N64" s="1896" t="s">
        <v>1243</v>
      </c>
      <c r="O64" s="1896"/>
      <c r="P64" s="1896"/>
      <c r="Q64" s="1896"/>
      <c r="R64" s="1896"/>
      <c r="S64" s="1896"/>
      <c r="T64" s="1896"/>
      <c r="U64" s="1896"/>
      <c r="V64" s="1896"/>
      <c r="W64" s="1896"/>
      <c r="X64" s="1896"/>
      <c r="Y64" s="1896"/>
      <c r="Z64" s="1896"/>
      <c r="AA64" s="1896"/>
      <c r="AB64" s="1896"/>
      <c r="AC64" s="1896"/>
      <c r="AD64" s="1896"/>
      <c r="AE64" s="1896"/>
      <c r="AF64" s="1896"/>
      <c r="AG64" s="1896"/>
    </row>
    <row r="65" spans="2:33" ht="16.2">
      <c r="B65" t="s">
        <v>906</v>
      </c>
      <c r="E65" t="s">
        <v>835</v>
      </c>
      <c r="F65" t="s">
        <v>848</v>
      </c>
      <c r="G65" s="601">
        <f>($E$18/1000)*LN($E$9/$E$8)/(2*G64)</f>
        <v>2.7276881455942807E-5</v>
      </c>
      <c r="H65" s="601">
        <f t="shared" ref="H65:K65" si="20">($E$18/1000)*LN($E$9/$E$8)/(2*H64)</f>
        <v>2.7276881455942807E-5</v>
      </c>
      <c r="I65" s="601">
        <f t="shared" si="20"/>
        <v>2.7276881455942807E-5</v>
      </c>
      <c r="J65" s="601">
        <f t="shared" si="20"/>
        <v>2.7276881455942807E-5</v>
      </c>
      <c r="K65" s="601">
        <f t="shared" si="20"/>
        <v>2.7276881455942807E-5</v>
      </c>
      <c r="L65" s="601"/>
      <c r="M65" s="601"/>
      <c r="N65" s="1902" t="s">
        <v>923</v>
      </c>
      <c r="O65" s="689" t="s">
        <v>993</v>
      </c>
      <c r="P65" s="689" t="s">
        <v>925</v>
      </c>
      <c r="Q65" s="1903" t="s">
        <v>935</v>
      </c>
      <c r="R65" s="689" t="s">
        <v>991</v>
      </c>
      <c r="S65" s="689" t="s">
        <v>922</v>
      </c>
      <c r="W65" s="1901" t="s">
        <v>996</v>
      </c>
      <c r="X65" s="1901"/>
      <c r="Y65" s="1901"/>
      <c r="Z65" s="1901"/>
      <c r="AA65" s="1901"/>
      <c r="AB65" s="1901"/>
      <c r="AC65" s="1901"/>
      <c r="AD65" s="1901"/>
      <c r="AE65" s="1901"/>
      <c r="AF65" s="1901"/>
    </row>
    <row r="66" spans="2:33" ht="16.2">
      <c r="B66" s="3" t="s">
        <v>907</v>
      </c>
      <c r="N66" s="1902"/>
      <c r="O66" s="690" t="s">
        <v>1005</v>
      </c>
      <c r="P66" s="690" t="s">
        <v>929</v>
      </c>
      <c r="Q66" s="1904"/>
      <c r="R66" s="691" t="s">
        <v>945</v>
      </c>
      <c r="S66" s="690" t="s">
        <v>1001</v>
      </c>
      <c r="W66" s="1894" t="s">
        <v>779</v>
      </c>
      <c r="X66" s="1894"/>
      <c r="Y66" s="1894"/>
      <c r="Z66" s="1894"/>
      <c r="AA66" s="1894"/>
      <c r="AB66" s="1894"/>
      <c r="AC66" s="1894"/>
      <c r="AD66" s="1894"/>
      <c r="AE66" s="1894"/>
      <c r="AF66" s="1894"/>
      <c r="AG66" s="1897" t="s">
        <v>943</v>
      </c>
    </row>
    <row r="67" spans="2:33" ht="15" thickBot="1">
      <c r="B67" t="s">
        <v>908</v>
      </c>
      <c r="F67" t="s">
        <v>803</v>
      </c>
      <c r="G67">
        <f>(G37+G38)/2+273.15</f>
        <v>323.21666666666664</v>
      </c>
      <c r="H67">
        <f t="shared" ref="H67:K67" si="21">(H37+H38)/2+273.15</f>
        <v>325.02602728114306</v>
      </c>
      <c r="I67">
        <f t="shared" si="21"/>
        <v>325.02395917434251</v>
      </c>
      <c r="J67">
        <f t="shared" si="21"/>
        <v>325.02396398734436</v>
      </c>
      <c r="K67">
        <f t="shared" si="21"/>
        <v>325.02396397613518</v>
      </c>
      <c r="L67" s="136"/>
      <c r="M67" s="136"/>
      <c r="N67" s="696" t="e" cm="1" vm="2">
        <f t="array" ref="N67">_xlfn._xlws.FILTER(Isolation!B62:E71,Isolation!E62:E71=P6&amp;"_"&amp;P7)</f>
        <v>#VALUE!</v>
      </c>
      <c r="O67" s="15"/>
      <c r="P67" s="15"/>
      <c r="Q67" s="15"/>
      <c r="R67" s="700" t="e" vm="1">
        <f>VLOOKUP(N67,Isolation!B62:R71,9)</f>
        <v>#VALUE!</v>
      </c>
      <c r="S67" s="15" t="e" vm="1">
        <f>IF(N67="","",AG68)</f>
        <v>#VALUE!</v>
      </c>
      <c r="V67" s="634">
        <f>$E$32</f>
        <v>2017.1516248443409</v>
      </c>
      <c r="W67" s="678" cm="1">
        <f t="array" ref="W67:AF67">TRANSPOSE(P67:P76)</f>
        <v>0</v>
      </c>
      <c r="X67" s="678">
        <v>0</v>
      </c>
      <c r="Y67" s="678">
        <v>0</v>
      </c>
      <c r="Z67" s="678">
        <v>0</v>
      </c>
      <c r="AA67" s="678">
        <v>0</v>
      </c>
      <c r="AB67" s="678">
        <v>0</v>
      </c>
      <c r="AC67" s="678">
        <v>0</v>
      </c>
      <c r="AD67" s="678">
        <v>0</v>
      </c>
      <c r="AE67" s="678">
        <v>0</v>
      </c>
      <c r="AF67" s="678">
        <v>0</v>
      </c>
      <c r="AG67" s="1897"/>
    </row>
    <row r="68" spans="2:33">
      <c r="B68" t="s">
        <v>896</v>
      </c>
      <c r="E68" t="s">
        <v>836</v>
      </c>
      <c r="F68" t="s">
        <v>805</v>
      </c>
      <c r="G68" s="601">
        <f>Propriété_matériau!$G$18*G67^4+Propriété_matériau!$H$18*G67^3+Propriété_matériau!$I$18*G67^2+Propriété_matériau!$J$18*G67+Propriété_matériau!$K$18</f>
        <v>5.5840042274015012E-2</v>
      </c>
      <c r="H68" s="601">
        <f>Propriété_matériau!$G$18*H67^4+Propriété_matériau!$H$18*H67^3+Propriété_matériau!$I$18*H67^2+Propriété_matériau!$J$18*H67+Propriété_matériau!$K$18</f>
        <v>5.5949224090010463E-2</v>
      </c>
      <c r="I68" s="601">
        <f>Propriété_matériau!$G$18*I67^4+Propriété_matériau!$H$18*I67^3+Propriété_matériau!$I$18*I67^2+Propriété_matériau!$J$18*I67+Propriété_matériau!$K$18</f>
        <v>5.5949098511817785E-2</v>
      </c>
      <c r="J68" s="601">
        <f>Propriété_matériau!$G$18*J67^4+Propriété_matériau!$H$18*J67^3+Propriété_matériau!$I$18*J67^2+Propriété_matériau!$J$18*J67+Propriété_matériau!$K$18</f>
        <v>5.5949098804067579E-2</v>
      </c>
      <c r="K68" s="601">
        <f>Propriété_matériau!$G$18*K67^4+Propriété_matériau!$H$18*K67^3+Propriété_matériau!$I$18*K67^2+Propriété_matériau!$J$18*K67+Propriété_matériau!$K$18</f>
        <v>5.5949098803386943E-2</v>
      </c>
      <c r="L68" s="601"/>
      <c r="M68" s="601"/>
      <c r="N68" s="696"/>
      <c r="O68" s="15"/>
      <c r="P68" s="15"/>
      <c r="Q68" s="15"/>
      <c r="R68" s="700" t="e">
        <f>VLOOKUP(N68,Isolation!B63:R72,9)</f>
        <v>#N/A</v>
      </c>
      <c r="S68" s="15" t="str">
        <f t="shared" ref="S68:S76" si="22">IF(N68="","",AG69)</f>
        <v/>
      </c>
      <c r="U68" s="1898" t="s">
        <v>992</v>
      </c>
      <c r="V68" s="681" t="e" vm="1">
        <f>R67</f>
        <v>#VALUE!</v>
      </c>
      <c r="W68" s="332" t="e" vm="1">
        <f t="dataTable" ref="W68:AF77" dt2D="1" dtr="1" r1="E10" r2="E9" ca="1"/>
        <v>#VALUE!</v>
      </c>
      <c r="X68" t="e" vm="1">
        <v>#VALUE!</v>
      </c>
      <c r="Y68" t="e" vm="1">
        <v>#VALUE!</v>
      </c>
      <c r="Z68" t="e" vm="1">
        <v>#VALUE!</v>
      </c>
      <c r="AA68" t="e" vm="1">
        <v>#VALUE!</v>
      </c>
      <c r="AB68" t="e" vm="1">
        <v>#VALUE!</v>
      </c>
      <c r="AC68" t="e" vm="1">
        <v>#VALUE!</v>
      </c>
      <c r="AD68" t="e" vm="1">
        <v>#VALUE!</v>
      </c>
      <c r="AE68" t="e" vm="1">
        <v>#VALUE!</v>
      </c>
      <c r="AF68" t="e" vm="1">
        <v>#VALUE!</v>
      </c>
      <c r="AG68" s="698" t="e" cm="1" vm="1">
        <f t="array" ref="AG68">INDEX(W68:AF68,ROWS($1:1))</f>
        <v>#VALUE!</v>
      </c>
    </row>
    <row r="69" spans="2:33">
      <c r="B69" t="s">
        <v>907</v>
      </c>
      <c r="E69" t="s">
        <v>837</v>
      </c>
      <c r="F69" t="s">
        <v>848</v>
      </c>
      <c r="G69" s="136">
        <f>($E$18/1000)*LN($E$18/$E$9)/(2*G68)</f>
        <v>1.3000319663305169</v>
      </c>
      <c r="H69" s="136">
        <f t="shared" ref="H69:K69" si="23">($E$18/1000)*LN($E$18/$E$9)/(2*H68)</f>
        <v>1.2974950258591396</v>
      </c>
      <c r="I69" s="136">
        <f t="shared" si="23"/>
        <v>1.2974979380969538</v>
      </c>
      <c r="J69" s="136">
        <f t="shared" si="23"/>
        <v>1.2974979313194808</v>
      </c>
      <c r="K69" s="136">
        <f t="shared" si="23"/>
        <v>1.2974979313352653</v>
      </c>
      <c r="L69" s="136"/>
      <c r="M69" s="136"/>
      <c r="N69" s="696"/>
      <c r="O69" s="15"/>
      <c r="P69" s="15"/>
      <c r="Q69" s="15"/>
      <c r="R69" s="700" t="e">
        <f>VLOOKUP(N69,Isolation!B64:R73,9)</f>
        <v>#N/A</v>
      </c>
      <c r="S69" s="15" t="str">
        <f t="shared" si="22"/>
        <v/>
      </c>
      <c r="U69" s="1898"/>
      <c r="V69" s="681" t="e">
        <f t="shared" ref="V69:V77" si="24">R68</f>
        <v>#N/A</v>
      </c>
      <c r="W69" t="e">
        <v>#N/A</v>
      </c>
      <c r="X69" s="332" t="e">
        <v>#N/A</v>
      </c>
      <c r="Y69" t="e">
        <v>#N/A</v>
      </c>
      <c r="Z69" t="e">
        <v>#N/A</v>
      </c>
      <c r="AA69" t="e">
        <v>#N/A</v>
      </c>
      <c r="AB69" t="e">
        <v>#N/A</v>
      </c>
      <c r="AC69" t="e">
        <v>#N/A</v>
      </c>
      <c r="AD69" t="e">
        <v>#N/A</v>
      </c>
      <c r="AE69" t="e">
        <v>#N/A</v>
      </c>
      <c r="AF69" t="e">
        <v>#N/A</v>
      </c>
      <c r="AG69" s="629" t="e" cm="1">
        <f t="array" ref="AG69">INDEX(W69:AF69,ROWS($1:2))</f>
        <v>#N/A</v>
      </c>
    </row>
    <row r="70" spans="2:33">
      <c r="B70" s="3" t="s">
        <v>909</v>
      </c>
      <c r="E70" t="s">
        <v>838</v>
      </c>
      <c r="F70" t="s">
        <v>848</v>
      </c>
      <c r="G70" s="584">
        <f>G69+G65+1/G62</f>
        <v>1.3568274318619706</v>
      </c>
      <c r="H70" s="584">
        <f t="shared" ref="H70:K70" si="25">H69+H65+1/H62</f>
        <v>1.3541122191012678</v>
      </c>
      <c r="I70" s="584">
        <f t="shared" si="25"/>
        <v>1.3541154154877413</v>
      </c>
      <c r="J70" s="584">
        <f t="shared" si="25"/>
        <v>1.3541154080487177</v>
      </c>
      <c r="K70" s="584">
        <f t="shared" si="25"/>
        <v>1.3541154080660429</v>
      </c>
      <c r="L70" s="584"/>
      <c r="M70" s="584"/>
      <c r="N70" s="696"/>
      <c r="O70" s="15"/>
      <c r="P70" s="15"/>
      <c r="Q70" s="15"/>
      <c r="R70" s="700" t="e">
        <f>VLOOKUP(N70,Isolation!B65:R74,9)</f>
        <v>#N/A</v>
      </c>
      <c r="S70" s="15" t="str">
        <f t="shared" si="22"/>
        <v/>
      </c>
      <c r="U70" s="1898"/>
      <c r="V70" s="681" t="e">
        <f t="shared" si="24"/>
        <v>#N/A</v>
      </c>
      <c r="W70" t="e">
        <v>#N/A</v>
      </c>
      <c r="X70" t="e">
        <v>#N/A</v>
      </c>
      <c r="Y70" s="332" t="e">
        <v>#N/A</v>
      </c>
      <c r="Z70" t="e">
        <v>#N/A</v>
      </c>
      <c r="AA70" t="e">
        <v>#N/A</v>
      </c>
      <c r="AB70" t="e">
        <v>#N/A</v>
      </c>
      <c r="AC70" t="e">
        <v>#N/A</v>
      </c>
      <c r="AD70" t="e">
        <v>#N/A</v>
      </c>
      <c r="AE70" t="e">
        <v>#N/A</v>
      </c>
      <c r="AF70" t="e">
        <v>#N/A</v>
      </c>
      <c r="AG70" s="629" t="e" cm="1">
        <f t="array" ref="AG70">INDEX(W70:AF70,ROWS($1:3))</f>
        <v>#N/A</v>
      </c>
    </row>
    <row r="71" spans="2:33">
      <c r="B71" t="s">
        <v>910</v>
      </c>
      <c r="E71" t="s">
        <v>839</v>
      </c>
      <c r="F71" t="s">
        <v>849</v>
      </c>
      <c r="G71" s="608">
        <f>($E$10-$E$11)/G70</f>
        <v>63.776226291787061</v>
      </c>
      <c r="H71" s="608">
        <f t="shared" ref="H71:K71" si="26">($E$10-$E$11)/H70</f>
        <v>63.904107881668786</v>
      </c>
      <c r="I71" s="608">
        <f t="shared" si="26"/>
        <v>63.903957036162041</v>
      </c>
      <c r="J71" s="608">
        <f t="shared" si="26"/>
        <v>63.903957387227429</v>
      </c>
      <c r="K71" s="608">
        <f t="shared" si="26"/>
        <v>63.903957386409807</v>
      </c>
      <c r="L71" s="136"/>
      <c r="M71" s="136"/>
      <c r="N71" s="696"/>
      <c r="O71" s="15"/>
      <c r="P71" s="15"/>
      <c r="Q71" s="15"/>
      <c r="R71" s="700" t="e">
        <f>VLOOKUP(N71,Isolation!B66:R75,9)</f>
        <v>#N/A</v>
      </c>
      <c r="S71" s="15" t="str">
        <f t="shared" si="22"/>
        <v/>
      </c>
      <c r="U71" s="1898"/>
      <c r="V71" s="681" t="e">
        <f t="shared" si="24"/>
        <v>#N/A</v>
      </c>
      <c r="W71" t="e">
        <v>#N/A</v>
      </c>
      <c r="X71" t="e">
        <v>#N/A</v>
      </c>
      <c r="Y71" t="e">
        <v>#N/A</v>
      </c>
      <c r="Z71" s="332" t="e">
        <v>#N/A</v>
      </c>
      <c r="AA71" t="e">
        <v>#N/A</v>
      </c>
      <c r="AB71" t="e">
        <v>#N/A</v>
      </c>
      <c r="AC71" t="e">
        <v>#N/A</v>
      </c>
      <c r="AD71" t="e">
        <v>#N/A</v>
      </c>
      <c r="AE71" t="e">
        <v>#N/A</v>
      </c>
      <c r="AF71" t="e">
        <v>#N/A</v>
      </c>
      <c r="AG71" s="629" t="e" cm="1">
        <f t="array" ref="AG71">INDEX(W71:AF71,ROWS($1:4))</f>
        <v>#N/A</v>
      </c>
    </row>
    <row r="72" spans="2:33">
      <c r="B72" t="s">
        <v>862</v>
      </c>
      <c r="E72" t="s">
        <v>840</v>
      </c>
      <c r="F72" t="s">
        <v>843</v>
      </c>
      <c r="G72" s="593">
        <f>$E$10 - G71*G65</f>
        <v>93.331593716769063</v>
      </c>
      <c r="H72" s="593">
        <f t="shared" ref="H72:K72" si="27">$E$10 - H71*H65</f>
        <v>93.331590228558099</v>
      </c>
      <c r="I72" s="593">
        <f t="shared" si="27"/>
        <v>93.331590232672681</v>
      </c>
      <c r="J72" s="593">
        <f t="shared" si="27"/>
        <v>93.331590232663117</v>
      </c>
      <c r="K72" s="593">
        <f t="shared" si="27"/>
        <v>93.331590232663132</v>
      </c>
      <c r="L72" s="593"/>
      <c r="M72" s="593"/>
      <c r="N72" s="696"/>
      <c r="O72" s="15"/>
      <c r="P72" s="15"/>
      <c r="Q72" s="15"/>
      <c r="R72" s="700" t="e">
        <f>VLOOKUP(N72,Isolation!B67:R76,9)</f>
        <v>#N/A</v>
      </c>
      <c r="S72" s="15" t="str">
        <f t="shared" si="22"/>
        <v/>
      </c>
      <c r="U72" s="1898"/>
      <c r="V72" s="681" t="e">
        <f t="shared" si="24"/>
        <v>#N/A</v>
      </c>
      <c r="W72" t="e">
        <v>#N/A</v>
      </c>
      <c r="X72" t="e">
        <v>#N/A</v>
      </c>
      <c r="Y72" t="e">
        <v>#N/A</v>
      </c>
      <c r="Z72" t="e">
        <v>#N/A</v>
      </c>
      <c r="AA72" s="332" t="e">
        <v>#N/A</v>
      </c>
      <c r="AB72" t="e">
        <v>#N/A</v>
      </c>
      <c r="AC72" t="e">
        <v>#N/A</v>
      </c>
      <c r="AD72" t="e">
        <v>#N/A</v>
      </c>
      <c r="AE72" t="e">
        <v>#N/A</v>
      </c>
      <c r="AF72" t="e">
        <v>#N/A</v>
      </c>
      <c r="AG72" s="629" t="e" cm="1">
        <f t="array" ref="AG72">INDEX(W72:AF72,ROWS($1:5))</f>
        <v>#N/A</v>
      </c>
    </row>
    <row r="73" spans="2:33">
      <c r="B73" t="s">
        <v>911</v>
      </c>
      <c r="E73" t="s">
        <v>841</v>
      </c>
      <c r="F73" t="s">
        <v>843</v>
      </c>
      <c r="G73" s="136">
        <f>G72-G71*G69</f>
        <v>10.420460845517127</v>
      </c>
      <c r="H73" s="136">
        <f t="shared" ref="H73:K73" si="28">H72-H71*H69</f>
        <v>10.416328120127019</v>
      </c>
      <c r="I73" s="136">
        <f t="shared" si="28"/>
        <v>10.416337742016111</v>
      </c>
      <c r="J73" s="136">
        <f t="shared" si="28"/>
        <v>10.41633771960727</v>
      </c>
      <c r="K73" s="136">
        <f t="shared" si="28"/>
        <v>10.416337719659467</v>
      </c>
      <c r="L73" s="136"/>
      <c r="M73" s="136"/>
      <c r="N73" s="696"/>
      <c r="O73" s="15"/>
      <c r="P73" s="15"/>
      <c r="Q73" s="15"/>
      <c r="R73" s="700" t="e">
        <f>VLOOKUP(N73,Isolation!B68:R77,9)</f>
        <v>#N/A</v>
      </c>
      <c r="S73" s="15" t="str">
        <f t="shared" si="22"/>
        <v/>
      </c>
      <c r="U73" s="1898"/>
      <c r="V73" s="681" t="e">
        <f t="shared" si="24"/>
        <v>#N/A</v>
      </c>
      <c r="W73" t="e">
        <v>#N/A</v>
      </c>
      <c r="X73" t="e">
        <v>#N/A</v>
      </c>
      <c r="Y73" t="e">
        <v>#N/A</v>
      </c>
      <c r="Z73" t="e">
        <v>#N/A</v>
      </c>
      <c r="AA73" t="e">
        <v>#N/A</v>
      </c>
      <c r="AB73" s="332" t="e">
        <v>#N/A</v>
      </c>
      <c r="AC73" t="e">
        <v>#N/A</v>
      </c>
      <c r="AD73" t="e">
        <v>#N/A</v>
      </c>
      <c r="AE73" t="e">
        <v>#N/A</v>
      </c>
      <c r="AF73" t="e">
        <v>#N/A</v>
      </c>
      <c r="AG73" s="629" t="e" cm="1">
        <f t="array" ref="AG73">INDEX(W73:AF73,ROWS($1:6))</f>
        <v>#N/A</v>
      </c>
    </row>
    <row r="74" spans="2:33">
      <c r="B74" t="s">
        <v>912</v>
      </c>
      <c r="F74" t="s">
        <v>797</v>
      </c>
      <c r="G74" s="136">
        <f>G71*PI()*($E$18/1000)</f>
        <v>38.168375020468083</v>
      </c>
      <c r="H74" s="136">
        <f t="shared" ref="H74:K74" si="29">H71*PI()*($E$18/1000)</f>
        <v>38.244908750427079</v>
      </c>
      <c r="I74" s="136">
        <f t="shared" si="29"/>
        <v>38.244818473403711</v>
      </c>
      <c r="J74" s="136">
        <f t="shared" si="29"/>
        <v>38.244818683507006</v>
      </c>
      <c r="K74" s="136">
        <f t="shared" si="29"/>
        <v>38.244818683017677</v>
      </c>
      <c r="N74" s="696"/>
      <c r="O74" s="15"/>
      <c r="P74" s="15"/>
      <c r="Q74" s="15"/>
      <c r="R74" s="700" t="e">
        <f>VLOOKUP(N74,Isolation!B69:R78,9)</f>
        <v>#N/A</v>
      </c>
      <c r="S74" s="15" t="str">
        <f t="shared" si="22"/>
        <v/>
      </c>
      <c r="U74" s="1898"/>
      <c r="V74" s="681" t="e">
        <f t="shared" si="24"/>
        <v>#N/A</v>
      </c>
      <c r="W74" t="e">
        <v>#N/A</v>
      </c>
      <c r="X74" t="e">
        <v>#N/A</v>
      </c>
      <c r="Y74" t="e">
        <v>#N/A</v>
      </c>
      <c r="Z74" t="e">
        <v>#N/A</v>
      </c>
      <c r="AA74" t="e">
        <v>#N/A</v>
      </c>
      <c r="AB74" t="e">
        <v>#N/A</v>
      </c>
      <c r="AC74" s="332" t="e">
        <v>#N/A</v>
      </c>
      <c r="AD74" t="e">
        <v>#N/A</v>
      </c>
      <c r="AE74" t="e">
        <v>#N/A</v>
      </c>
      <c r="AF74" t="e">
        <v>#N/A</v>
      </c>
      <c r="AG74" s="629" t="e" cm="1">
        <f t="array" ref="AG74">INDEX(W74:AF74,ROWS($1:7))</f>
        <v>#N/A</v>
      </c>
    </row>
    <row r="75" spans="2:33">
      <c r="N75" s="696"/>
      <c r="O75" s="15"/>
      <c r="P75" s="15"/>
      <c r="Q75" s="15"/>
      <c r="R75" s="700" t="e">
        <f>VLOOKUP(N75,Isolation!B70:R79,9)</f>
        <v>#N/A</v>
      </c>
      <c r="S75" s="15" t="str">
        <f t="shared" si="22"/>
        <v/>
      </c>
      <c r="U75" s="1898"/>
      <c r="V75" s="681" t="e">
        <f t="shared" si="24"/>
        <v>#N/A</v>
      </c>
      <c r="W75" t="e">
        <v>#N/A</v>
      </c>
      <c r="X75" t="e">
        <v>#N/A</v>
      </c>
      <c r="Y75" t="e">
        <v>#N/A</v>
      </c>
      <c r="Z75" t="e">
        <v>#N/A</v>
      </c>
      <c r="AA75" t="e">
        <v>#N/A</v>
      </c>
      <c r="AB75" t="e">
        <v>#N/A</v>
      </c>
      <c r="AC75" t="e">
        <v>#N/A</v>
      </c>
      <c r="AD75" s="332" t="e">
        <v>#N/A</v>
      </c>
      <c r="AE75" t="e">
        <v>#N/A</v>
      </c>
      <c r="AF75" t="e">
        <v>#N/A</v>
      </c>
      <c r="AG75" s="629" t="e" cm="1">
        <f t="array" ref="AG75">INDEX(W75:AF75,ROWS($1:8))</f>
        <v>#N/A</v>
      </c>
    </row>
    <row r="76" spans="2:33">
      <c r="B76" s="594" t="s">
        <v>913</v>
      </c>
      <c r="N76" s="696"/>
      <c r="O76" s="15"/>
      <c r="P76" s="15"/>
      <c r="Q76" s="15"/>
      <c r="R76" s="700" t="e">
        <f>VLOOKUP(N76,Isolation!B71:R80,9)</f>
        <v>#N/A</v>
      </c>
      <c r="S76" s="15" t="str">
        <f t="shared" si="22"/>
        <v/>
      </c>
      <c r="U76" s="1898"/>
      <c r="V76" s="681" t="e">
        <f t="shared" si="24"/>
        <v>#N/A</v>
      </c>
      <c r="W76" t="e">
        <v>#N/A</v>
      </c>
      <c r="X76" t="e">
        <v>#N/A</v>
      </c>
      <c r="Y76" t="e">
        <v>#N/A</v>
      </c>
      <c r="Z76" t="e">
        <v>#N/A</v>
      </c>
      <c r="AA76" t="e">
        <v>#N/A</v>
      </c>
      <c r="AB76" t="e">
        <v>#N/A</v>
      </c>
      <c r="AC76" t="e">
        <v>#N/A</v>
      </c>
      <c r="AD76" t="e">
        <v>#N/A</v>
      </c>
      <c r="AE76" s="332" t="e">
        <v>#N/A</v>
      </c>
      <c r="AF76" t="e">
        <v>#N/A</v>
      </c>
      <c r="AG76" s="629" t="e" cm="1">
        <f t="array" ref="AG76">INDEX(W76:AF76,ROWS($1:9))</f>
        <v>#N/A</v>
      </c>
    </row>
    <row r="77" spans="2:33" ht="15" thickBot="1">
      <c r="B77" s="3"/>
      <c r="E77" t="s">
        <v>799</v>
      </c>
      <c r="G77">
        <v>1</v>
      </c>
      <c r="H77">
        <v>2</v>
      </c>
      <c r="I77">
        <v>3</v>
      </c>
      <c r="J77">
        <v>4</v>
      </c>
      <c r="K77">
        <v>5</v>
      </c>
      <c r="U77" s="1898"/>
      <c r="V77" s="681" t="e">
        <f t="shared" si="24"/>
        <v>#N/A</v>
      </c>
      <c r="W77" t="e">
        <v>#N/A</v>
      </c>
      <c r="X77" t="e">
        <v>#N/A</v>
      </c>
      <c r="Y77" t="e">
        <v>#N/A</v>
      </c>
      <c r="Z77" t="e">
        <v>#N/A</v>
      </c>
      <c r="AA77" t="e">
        <v>#N/A</v>
      </c>
      <c r="AB77" t="e">
        <v>#N/A</v>
      </c>
      <c r="AC77" t="e">
        <v>#N/A</v>
      </c>
      <c r="AD77" t="e">
        <v>#N/A</v>
      </c>
      <c r="AE77" t="e">
        <v>#N/A</v>
      </c>
      <c r="AF77" s="332" t="e">
        <v>#N/A</v>
      </c>
      <c r="AG77" s="699" t="e" cm="1">
        <f t="array" ref="AG77">INDEX(W77:AF77,ROWS($1:10))</f>
        <v>#N/A</v>
      </c>
    </row>
    <row r="78" spans="2:33">
      <c r="B78" t="s">
        <v>859</v>
      </c>
      <c r="E78" t="s">
        <v>800</v>
      </c>
      <c r="F78" t="s">
        <v>843</v>
      </c>
      <c r="G78" s="593">
        <f>E11+1</f>
        <v>7.8</v>
      </c>
      <c r="H78" s="593">
        <f>G109</f>
        <v>93.309037312918022</v>
      </c>
      <c r="I78" s="593">
        <f t="shared" ref="I78:K78" si="30">H109</f>
        <v>93.306843067636748</v>
      </c>
      <c r="J78" s="593">
        <f t="shared" si="30"/>
        <v>93.306843137006311</v>
      </c>
      <c r="K78" s="593">
        <f t="shared" si="30"/>
        <v>93.306843137004122</v>
      </c>
      <c r="N78" s="136"/>
      <c r="O78" s="136"/>
      <c r="P78" s="136"/>
      <c r="Q78" s="136"/>
      <c r="R78" s="136"/>
    </row>
    <row r="79" spans="2:33">
      <c r="B79" t="s">
        <v>914</v>
      </c>
      <c r="G79" s="599">
        <f>Hypothèses!$D$167</f>
        <v>0.8</v>
      </c>
      <c r="H79">
        <f>G79</f>
        <v>0.8</v>
      </c>
      <c r="I79">
        <f>H79</f>
        <v>0.8</v>
      </c>
      <c r="J79">
        <f>I79</f>
        <v>0.8</v>
      </c>
      <c r="K79">
        <f>J79</f>
        <v>0.8</v>
      </c>
      <c r="N79" s="1896" t="s">
        <v>1253</v>
      </c>
      <c r="O79" s="1896"/>
      <c r="P79" s="1896"/>
      <c r="Q79" s="1896"/>
      <c r="R79" s="1896"/>
      <c r="S79" s="1896"/>
      <c r="T79" s="1896"/>
      <c r="U79" s="1896"/>
      <c r="V79" s="1896"/>
      <c r="W79" s="1896"/>
      <c r="X79" s="1896"/>
      <c r="Y79" s="1896"/>
      <c r="Z79" s="1896"/>
      <c r="AA79" s="1896"/>
      <c r="AB79" s="1896"/>
      <c r="AC79" s="1896"/>
      <c r="AD79" s="1896"/>
      <c r="AE79" s="1896"/>
      <c r="AF79" s="1896"/>
      <c r="AG79" s="1896"/>
    </row>
    <row r="80" spans="2:33" ht="16.2">
      <c r="B80" s="3" t="s">
        <v>915</v>
      </c>
      <c r="N80" s="1902" t="s">
        <v>923</v>
      </c>
      <c r="O80" s="689" t="s">
        <v>993</v>
      </c>
      <c r="P80" s="689" t="s">
        <v>925</v>
      </c>
      <c r="Q80" s="1903" t="s">
        <v>935</v>
      </c>
      <c r="R80" s="689" t="s">
        <v>991</v>
      </c>
      <c r="S80" s="689" t="s">
        <v>922</v>
      </c>
      <c r="W80" s="1901" t="s">
        <v>996</v>
      </c>
      <c r="X80" s="1901"/>
      <c r="Y80" s="1901"/>
      <c r="Z80" s="1901"/>
      <c r="AA80" s="1901"/>
      <c r="AB80" s="1901"/>
      <c r="AC80" s="1901"/>
      <c r="AD80" s="1901"/>
      <c r="AE80" s="1901"/>
      <c r="AF80" s="1901"/>
    </row>
    <row r="81" spans="2:33" ht="16.2">
      <c r="B81" t="s">
        <v>916</v>
      </c>
      <c r="E81" t="s">
        <v>802</v>
      </c>
      <c r="F81" t="s">
        <v>843</v>
      </c>
      <c r="G81">
        <f>(G78+$E$11)/2</f>
        <v>7.3</v>
      </c>
      <c r="H81" s="136">
        <f t="shared" ref="H81:K81" si="31">(H78+$E$11)/2</f>
        <v>50.05451865645901</v>
      </c>
      <c r="I81" s="136">
        <f t="shared" si="31"/>
        <v>50.053421533818373</v>
      </c>
      <c r="J81" s="136">
        <f t="shared" si="31"/>
        <v>50.053421568503154</v>
      </c>
      <c r="K81" s="136">
        <f t="shared" si="31"/>
        <v>50.05342156850206</v>
      </c>
      <c r="N81" s="1902"/>
      <c r="O81" s="690" t="s">
        <v>1005</v>
      </c>
      <c r="P81" s="690" t="s">
        <v>929</v>
      </c>
      <c r="Q81" s="1904"/>
      <c r="R81" s="691" t="s">
        <v>945</v>
      </c>
      <c r="S81" s="690" t="s">
        <v>1001</v>
      </c>
      <c r="W81" s="1894" t="s">
        <v>779</v>
      </c>
      <c r="X81" s="1894"/>
      <c r="Y81" s="1894"/>
      <c r="Z81" s="1894"/>
      <c r="AA81" s="1894"/>
      <c r="AB81" s="1894"/>
      <c r="AC81" s="1894"/>
      <c r="AD81" s="1894"/>
      <c r="AE81" s="1894"/>
      <c r="AF81" s="1894"/>
      <c r="AG81" s="1897" t="s">
        <v>943</v>
      </c>
    </row>
    <row r="82" spans="2:33" ht="15" thickBot="1">
      <c r="F82" t="s">
        <v>803</v>
      </c>
      <c r="G82">
        <f>G81+273.15</f>
        <v>280.45</v>
      </c>
      <c r="H82" s="136">
        <f t="shared" ref="H82:K82" si="32">H81+273.15</f>
        <v>323.20451865645896</v>
      </c>
      <c r="I82" s="136">
        <f t="shared" si="32"/>
        <v>323.20342153381836</v>
      </c>
      <c r="J82" s="136">
        <f t="shared" si="32"/>
        <v>323.20342156850313</v>
      </c>
      <c r="K82" s="136">
        <f t="shared" si="32"/>
        <v>323.20342156850205</v>
      </c>
      <c r="N82" s="696" t="e" cm="1" vm="2">
        <f t="array" ref="N82">_xlfn._xlws.FILTER(Isolation!B77:E86,Isolation!E77:E86=P6&amp;"_"&amp;P7)</f>
        <v>#VALUE!</v>
      </c>
      <c r="O82" s="15"/>
      <c r="P82" s="15"/>
      <c r="Q82" s="15"/>
      <c r="R82" s="700" t="e" vm="1">
        <f>VLOOKUP(N82,Isolation!B77:R86,9)</f>
        <v>#VALUE!</v>
      </c>
      <c r="S82" s="15" t="e" vm="1">
        <f>IF(N82="","",AG83)</f>
        <v>#VALUE!</v>
      </c>
      <c r="V82" s="634">
        <f>$E$32</f>
        <v>2017.1516248443409</v>
      </c>
      <c r="W82" s="678" cm="1">
        <f t="array" ref="W82:AF82">TRANSPOSE(P82:P91)</f>
        <v>0</v>
      </c>
      <c r="X82" s="678">
        <v>0</v>
      </c>
      <c r="Y82" s="678">
        <v>0</v>
      </c>
      <c r="Z82" s="678">
        <v>0</v>
      </c>
      <c r="AA82" s="678">
        <v>0</v>
      </c>
      <c r="AB82" s="678">
        <v>0</v>
      </c>
      <c r="AC82" s="678">
        <v>0</v>
      </c>
      <c r="AD82" s="678">
        <v>0</v>
      </c>
      <c r="AE82" s="678">
        <v>0</v>
      </c>
      <c r="AF82" s="678">
        <v>0</v>
      </c>
      <c r="AG82" s="1897"/>
    </row>
    <row r="83" spans="2:33">
      <c r="B83" t="s">
        <v>896</v>
      </c>
      <c r="E83" t="s">
        <v>804</v>
      </c>
      <c r="F83" t="s">
        <v>805</v>
      </c>
      <c r="G83" s="595">
        <f>(Propriété_air!$Q$22*G82^4+Propriété_air!$R$22*G82^3+Propriété_air!$S$22*G82^2+Propriété_air!$T$22*G82+Propriété_air!$U$22)/10^3</f>
        <v>2.4697997985030862E-2</v>
      </c>
      <c r="H83" s="595">
        <f>(Propriété_air!$Q$22*H82^4+Propriété_air!$R$22*H82^3+Propriété_air!$S$22*H82^2+Propriété_air!$T$22*H82+Propriété_air!$U$22)/10^3</f>
        <v>2.8074917496867417E-2</v>
      </c>
      <c r="I83" s="595">
        <f>(Propriété_air!$Q$22*I82^4+Propriété_air!$R$22*I82^3+Propriété_air!$S$22*I82^2+Propriété_air!$T$22*I82+Propriété_air!$U$22)/10^3</f>
        <v>2.8074832339812276E-2</v>
      </c>
      <c r="J83" s="595">
        <f>(Propriété_air!$Q$22*J82^4+Propriété_air!$R$22*J82^3+Propriété_air!$S$22*J82^2+Propriété_air!$T$22*J82+Propriété_air!$U$22)/10^3</f>
        <v>2.8074832342504456E-2</v>
      </c>
      <c r="K83" s="595">
        <f>(Propriété_air!$Q$22*K82^4+Propriété_air!$R$22*K82^3+Propriété_air!$S$22*K82^2+Propriété_air!$T$22*K82+Propriété_air!$U$22)/10^3</f>
        <v>2.8074832342504377E-2</v>
      </c>
      <c r="N83" s="696"/>
      <c r="O83" s="15"/>
      <c r="P83" s="15"/>
      <c r="Q83" s="15"/>
      <c r="R83" s="700" t="e">
        <f>VLOOKUP(N83,Isolation!B78:R87,9)</f>
        <v>#N/A</v>
      </c>
      <c r="S83" s="15" t="str">
        <f t="shared" ref="S83:S91" si="33">IF(N83="","",AG84)</f>
        <v/>
      </c>
      <c r="U83" s="1898" t="s">
        <v>992</v>
      </c>
      <c r="V83" s="681" t="e" vm="1">
        <f>R82</f>
        <v>#VALUE!</v>
      </c>
      <c r="W83" s="332" t="e" vm="1">
        <f t="dataTable" ref="W83:AF92" dt2D="1" dtr="1" r1="E10" r2="E9" ca="1"/>
        <v>#VALUE!</v>
      </c>
      <c r="X83" t="e" vm="1">
        <v>#VALUE!</v>
      </c>
      <c r="Y83" t="e" vm="1">
        <v>#VALUE!</v>
      </c>
      <c r="Z83" t="e" vm="1">
        <v>#VALUE!</v>
      </c>
      <c r="AA83" t="e" vm="1">
        <v>#VALUE!</v>
      </c>
      <c r="AB83" t="e" vm="1">
        <v>#VALUE!</v>
      </c>
      <c r="AC83" t="e" vm="1">
        <v>#VALUE!</v>
      </c>
      <c r="AD83" t="e" vm="1">
        <v>#VALUE!</v>
      </c>
      <c r="AE83" t="e" vm="1">
        <v>#VALUE!</v>
      </c>
      <c r="AF83" t="e" vm="1">
        <v>#VALUE!</v>
      </c>
      <c r="AG83" s="698" t="e" cm="1" vm="1">
        <f t="array" ref="AG83">INDEX(W83:AF83,ROWS($1:1))</f>
        <v>#VALUE!</v>
      </c>
    </row>
    <row r="84" spans="2:33">
      <c r="B84" t="s">
        <v>897</v>
      </c>
      <c r="E84" t="s">
        <v>806</v>
      </c>
      <c r="F84" t="s">
        <v>844</v>
      </c>
      <c r="G84" s="596">
        <f>(Propriété_air!$Q$10*G82^4+Propriété_air!$R$10*G82^3+Propriété_air!$S$10*G82^2+Propriété_air!$T$10*G82+Propriété_air!$U$10)/10^7</f>
        <v>1.7520728318945848E-5</v>
      </c>
      <c r="H84" s="596">
        <f>(Propriété_air!$Q$10*H82^4+Propriété_air!$R$10*H82^3+Propriété_air!$S$10*H82^2+Propriété_air!$T$10*H82+Propriété_air!$U$10)/10^7</f>
        <v>1.9585411769593222E-5</v>
      </c>
      <c r="I84" s="596">
        <f>(Propriété_air!$Q$10*I82^4+Propriété_air!$R$10*I82^3+Propriété_air!$S$10*I82^2+Propriété_air!$T$10*I82+Propriété_air!$U$10)/10^7</f>
        <v>1.9585360389139012E-5</v>
      </c>
      <c r="J84" s="596">
        <f>(Propriété_air!$Q$10*J82^4+Propriété_air!$R$10*J82^3+Propriété_air!$S$10*J82^2+Propriété_air!$T$10*J82+Propriété_air!$U$10)/10^7</f>
        <v>1.9585360390763371E-5</v>
      </c>
      <c r="K84" s="596">
        <f>(Propriété_air!$Q$10*K82^4+Propriété_air!$R$10*K82^3+Propriété_air!$S$10*K82^2+Propriété_air!$T$10*K82+Propriété_air!$U$10)/10^7</f>
        <v>1.958536039076332E-5</v>
      </c>
      <c r="N84" s="696"/>
      <c r="O84" s="15"/>
      <c r="P84" s="15"/>
      <c r="Q84" s="15"/>
      <c r="R84" s="700" t="e">
        <f>VLOOKUP(N84,Isolation!B79:R88,9)</f>
        <v>#N/A</v>
      </c>
      <c r="S84" s="15" t="str">
        <f t="shared" si="33"/>
        <v/>
      </c>
      <c r="U84" s="1898"/>
      <c r="V84" s="681" t="e">
        <f t="shared" ref="V84:V92" si="34">R83</f>
        <v>#N/A</v>
      </c>
      <c r="W84" t="e">
        <v>#N/A</v>
      </c>
      <c r="X84" s="332" t="e">
        <v>#N/A</v>
      </c>
      <c r="Y84" t="e">
        <v>#N/A</v>
      </c>
      <c r="Z84" t="e">
        <v>#N/A</v>
      </c>
      <c r="AA84" t="e">
        <v>#N/A</v>
      </c>
      <c r="AB84" t="e">
        <v>#N/A</v>
      </c>
      <c r="AC84" t="e">
        <v>#N/A</v>
      </c>
      <c r="AD84" t="e">
        <v>#N/A</v>
      </c>
      <c r="AE84" t="e">
        <v>#N/A</v>
      </c>
      <c r="AF84" t="e">
        <v>#N/A</v>
      </c>
      <c r="AG84" s="629" t="e" cm="1">
        <f t="array" ref="AG84">INDEX(W84:AF84,ROWS($1:2))</f>
        <v>#N/A</v>
      </c>
    </row>
    <row r="85" spans="2:33">
      <c r="B85" t="s">
        <v>807</v>
      </c>
      <c r="E85" t="s">
        <v>808</v>
      </c>
      <c r="G85" s="584">
        <f>Propriété_air!$Q$34*G82^4+Propriété_air!$R$34*G82^3+Propriété_air!$S$34*G82^2+Propriété_air!$T$34*G82+Propriété_air!$U$34</f>
        <v>0.71227928382239991</v>
      </c>
      <c r="H85" s="584">
        <f>Propriété_air!$Q$34*H82^4+Propriété_air!$R$34*H82^3+Propriété_air!$S$34*H82^2+Propriété_air!$T$34*H82+Propriété_air!$U$34</f>
        <v>0.70205771530012484</v>
      </c>
      <c r="I85" s="584">
        <f>Propriété_air!$Q$34*I82^4+Propriété_air!$R$34*I82^3+Propriété_air!$S$34*I82^2+Propriété_air!$T$34*I82+Propriété_air!$U$34</f>
        <v>0.70205794639816088</v>
      </c>
      <c r="J85" s="584">
        <f>Propriété_air!$Q$34*J82^4+Propriété_air!$R$34*J82^3+Propriété_air!$S$34*J82^2+Propriété_air!$T$34*J82+Propriété_air!$U$34</f>
        <v>0.70205794639085495</v>
      </c>
      <c r="K85" s="584">
        <f>Propriété_air!$Q$34*K82^4+Propriété_air!$R$34*K82^3+Propriété_air!$S$34*K82^2+Propriété_air!$T$34*K82+Propriété_air!$U$34</f>
        <v>0.70205794639085517</v>
      </c>
      <c r="N85" s="696"/>
      <c r="O85" s="15"/>
      <c r="P85" s="15"/>
      <c r="Q85" s="15"/>
      <c r="R85" s="700" t="e">
        <f>VLOOKUP(N85,Isolation!B80:R89,9)</f>
        <v>#N/A</v>
      </c>
      <c r="S85" s="15" t="str">
        <f t="shared" si="33"/>
        <v/>
      </c>
      <c r="U85" s="1898"/>
      <c r="V85" s="681" t="e">
        <f t="shared" si="34"/>
        <v>#N/A</v>
      </c>
      <c r="W85" t="e">
        <v>#N/A</v>
      </c>
      <c r="X85" t="e">
        <v>#N/A</v>
      </c>
      <c r="Y85" s="332" t="e">
        <v>#N/A</v>
      </c>
      <c r="Z85" t="e">
        <v>#N/A</v>
      </c>
      <c r="AA85" t="e">
        <v>#N/A</v>
      </c>
      <c r="AB85" t="e">
        <v>#N/A</v>
      </c>
      <c r="AC85" t="e">
        <v>#N/A</v>
      </c>
      <c r="AD85" t="e">
        <v>#N/A</v>
      </c>
      <c r="AE85" t="e">
        <v>#N/A</v>
      </c>
      <c r="AF85" t="e">
        <v>#N/A</v>
      </c>
      <c r="AG85" s="629" t="e" cm="1">
        <f t="array" ref="AG85">INDEX(W85:AF85,ROWS($1:3))</f>
        <v>#N/A</v>
      </c>
    </row>
    <row r="86" spans="2:33">
      <c r="B86" t="s">
        <v>898</v>
      </c>
      <c r="E86" t="s">
        <v>809</v>
      </c>
      <c r="F86" t="s">
        <v>810</v>
      </c>
      <c r="G86">
        <f>1/G82</f>
        <v>3.5656979853806382E-3</v>
      </c>
      <c r="H86">
        <f t="shared" ref="H86:K86" si="35">1/H82</f>
        <v>3.0940161485270615E-3</v>
      </c>
      <c r="I86">
        <f t="shared" si="35"/>
        <v>3.0940266512474563E-3</v>
      </c>
      <c r="J86">
        <f t="shared" si="35"/>
        <v>3.0940266509154189E-3</v>
      </c>
      <c r="K86">
        <f t="shared" si="35"/>
        <v>3.0940266509154294E-3</v>
      </c>
      <c r="N86" s="696"/>
      <c r="O86" s="15"/>
      <c r="P86" s="15"/>
      <c r="Q86" s="15"/>
      <c r="R86" s="700" t="e">
        <f>VLOOKUP(N86,Isolation!B81:R90,9)</f>
        <v>#N/A</v>
      </c>
      <c r="S86" s="15" t="str">
        <f t="shared" si="33"/>
        <v/>
      </c>
      <c r="U86" s="1898"/>
      <c r="V86" s="681" t="e">
        <f t="shared" si="34"/>
        <v>#N/A</v>
      </c>
      <c r="W86" t="e">
        <v>#N/A</v>
      </c>
      <c r="X86" t="e">
        <v>#N/A</v>
      </c>
      <c r="Y86" t="e">
        <v>#N/A</v>
      </c>
      <c r="Z86" s="332" t="e">
        <v>#N/A</v>
      </c>
      <c r="AA86" t="e">
        <v>#N/A</v>
      </c>
      <c r="AB86" t="e">
        <v>#N/A</v>
      </c>
      <c r="AC86" t="e">
        <v>#N/A</v>
      </c>
      <c r="AD86" t="e">
        <v>#N/A</v>
      </c>
      <c r="AE86" t="e">
        <v>#N/A</v>
      </c>
      <c r="AF86" t="e">
        <v>#N/A</v>
      </c>
      <c r="AG86" s="629" t="e" cm="1">
        <f t="array" ref="AG86">INDEX(W86:AF86,ROWS($1:4))</f>
        <v>#N/A</v>
      </c>
    </row>
    <row r="87" spans="2:33">
      <c r="B87" t="s">
        <v>899</v>
      </c>
      <c r="E87" t="s">
        <v>811</v>
      </c>
      <c r="F87" t="s">
        <v>842</v>
      </c>
      <c r="G87" s="595">
        <f>Propriété_air!$Q$45/G82</f>
        <v>1.2587070965238392</v>
      </c>
      <c r="H87" s="595">
        <f>Propriété_air!$Q$45/H82</f>
        <v>1.0922013302522131</v>
      </c>
      <c r="I87" s="595">
        <f>Propriété_air!$Q$45/I82</f>
        <v>1.0922050377587791</v>
      </c>
      <c r="J87" s="595">
        <f>Propriété_air!$Q$45/J82</f>
        <v>1.0922050376415684</v>
      </c>
      <c r="K87" s="595">
        <f>Propriété_air!$Q$45/K82</f>
        <v>1.0922050376415722</v>
      </c>
      <c r="N87" s="696"/>
      <c r="O87" s="15"/>
      <c r="P87" s="15"/>
      <c r="Q87" s="15"/>
      <c r="R87" s="700" t="e">
        <f>VLOOKUP(N87,Isolation!B82:R91,9)</f>
        <v>#N/A</v>
      </c>
      <c r="S87" s="15" t="str">
        <f t="shared" si="33"/>
        <v/>
      </c>
      <c r="U87" s="1898"/>
      <c r="V87" s="681" t="e">
        <f t="shared" si="34"/>
        <v>#N/A</v>
      </c>
      <c r="W87" t="e">
        <v>#N/A</v>
      </c>
      <c r="X87" t="e">
        <v>#N/A</v>
      </c>
      <c r="Y87" t="e">
        <v>#N/A</v>
      </c>
      <c r="Z87" t="e">
        <v>#N/A</v>
      </c>
      <c r="AA87" s="332" t="e">
        <v>#N/A</v>
      </c>
      <c r="AB87" t="e">
        <v>#N/A</v>
      </c>
      <c r="AC87" t="e">
        <v>#N/A</v>
      </c>
      <c r="AD87" t="e">
        <v>#N/A</v>
      </c>
      <c r="AE87" t="e">
        <v>#N/A</v>
      </c>
      <c r="AF87" t="e">
        <v>#N/A</v>
      </c>
      <c r="AG87" s="629" t="e" cm="1">
        <f t="array" ref="AG87">INDEX(W87:AF87,ROWS($1:5))</f>
        <v>#N/A</v>
      </c>
    </row>
    <row r="88" spans="2:33">
      <c r="B88" t="s">
        <v>812</v>
      </c>
      <c r="E88" t="s">
        <v>813</v>
      </c>
      <c r="F88" t="s">
        <v>846</v>
      </c>
      <c r="G88" s="596">
        <f>(Propriété_air!$Q$16*G82^4+Propriété_air!$R$16*G82^3+Propriété_air!$S$16*G82^2+Propriété_air!$T$16*G82+Propriété_air!$U$16)/10^6</f>
        <v>1.4107550211958557E-5</v>
      </c>
      <c r="H88" s="596">
        <f>(Propriété_air!$Q$16*H82^4+Propriété_air!$R$16*H82^3+Propriété_air!$S$16*H82^2+Propriété_air!$T$16*H82+Propriété_air!$U$16)/10^6</f>
        <v>1.8151685966752025E-5</v>
      </c>
      <c r="I88" s="596">
        <f>(Propriété_air!$Q$16*I82^4+Propriété_air!$R$16*I82^3+Propriété_air!$S$16*I82^2+Propriété_air!$T$16*I82+Propriété_air!$U$16)/10^6</f>
        <v>1.8151577101081318E-5</v>
      </c>
      <c r="J88" s="596">
        <f>(Propriété_air!$Q$16*J82^4+Propriété_air!$R$16*J82^3+Propriété_air!$S$16*J82^2+Propriété_air!$T$16*J82+Propriété_air!$U$16)/10^6</f>
        <v>1.8151577104523027E-5</v>
      </c>
      <c r="K88" s="596">
        <f>(Propriété_air!$Q$16*K82^4+Propriété_air!$R$16*K82^3+Propriété_air!$S$16*K82^2+Propriété_air!$T$16*K82+Propriété_air!$U$16)/10^6</f>
        <v>1.8151577104522918E-5</v>
      </c>
      <c r="N88" s="696"/>
      <c r="O88" s="15"/>
      <c r="P88" s="15"/>
      <c r="Q88" s="15"/>
      <c r="R88" s="700" t="e">
        <f>VLOOKUP(N88,Isolation!B83:R92,9)</f>
        <v>#N/A</v>
      </c>
      <c r="S88" s="15" t="str">
        <f t="shared" si="33"/>
        <v/>
      </c>
      <c r="U88" s="1898"/>
      <c r="V88" s="681" t="e">
        <f t="shared" si="34"/>
        <v>#N/A</v>
      </c>
      <c r="W88" t="e">
        <v>#N/A</v>
      </c>
      <c r="X88" t="e">
        <v>#N/A</v>
      </c>
      <c r="Y88" t="e">
        <v>#N/A</v>
      </c>
      <c r="Z88" t="e">
        <v>#N/A</v>
      </c>
      <c r="AA88" t="e">
        <v>#N/A</v>
      </c>
      <c r="AB88" s="332" t="e">
        <v>#N/A</v>
      </c>
      <c r="AC88" t="e">
        <v>#N/A</v>
      </c>
      <c r="AD88" t="e">
        <v>#N/A</v>
      </c>
      <c r="AE88" t="e">
        <v>#N/A</v>
      </c>
      <c r="AF88" t="e">
        <v>#N/A</v>
      </c>
      <c r="AG88" s="629" t="e" cm="1">
        <f t="array" ref="AG88">INDEX(W88:AF88,ROWS($1:6))</f>
        <v>#N/A</v>
      </c>
    </row>
    <row r="89" spans="2:33">
      <c r="B89" t="s">
        <v>900</v>
      </c>
      <c r="E89" t="s">
        <v>815</v>
      </c>
      <c r="F89" t="s">
        <v>816</v>
      </c>
      <c r="G89" s="136">
        <f>Propriété_air!$Q$4*G82^4+Propriété_air!$R$4*G82^3+Propriété_air!$S$4*G82^2+Propriété_air!$T$4*G82+Propriété_air!$U$4</f>
        <v>1.0045728873008533</v>
      </c>
      <c r="H89" s="136">
        <f>Propriété_air!$Q$4*H82^4+Propriété_air!$R$4*H82^3+Propriété_air!$S$4*H82^2+Propriété_air!$T$4*H82+Propriété_air!$U$4</f>
        <v>1.006071816937012</v>
      </c>
      <c r="I89" s="136">
        <f>Propriété_air!$Q$4*I82^4+Propriété_air!$R$4*I82^3+Propriété_air!$S$4*I82^2+Propriété_air!$T$4*I82+Propriété_air!$U$4</f>
        <v>1.0060717509780075</v>
      </c>
      <c r="J89" s="136">
        <f>Propriété_air!$Q$4*J82^4+Propriété_air!$R$4*J82^3+Propriété_air!$S$4*J82^2+Propriété_air!$T$4*J82+Propriété_air!$U$4</f>
        <v>1.0060717509800927</v>
      </c>
      <c r="K89" s="136">
        <f>Propriété_air!$Q$4*K82^4+Propriété_air!$R$4*K82^3+Propriété_air!$S$4*K82^2+Propriété_air!$T$4*K82+Propriété_air!$U$4</f>
        <v>1.0060717509800927</v>
      </c>
      <c r="M89" s="596"/>
      <c r="N89" s="696"/>
      <c r="O89" s="15"/>
      <c r="P89" s="15"/>
      <c r="Q89" s="15"/>
      <c r="R89" s="700" t="e">
        <f>VLOOKUP(N89,Isolation!B84:R93,9)</f>
        <v>#N/A</v>
      </c>
      <c r="S89" s="15" t="str">
        <f t="shared" si="33"/>
        <v/>
      </c>
      <c r="U89" s="1898"/>
      <c r="V89" s="681" t="e">
        <f t="shared" si="34"/>
        <v>#N/A</v>
      </c>
      <c r="W89" t="e">
        <v>#N/A</v>
      </c>
      <c r="X89" t="e">
        <v>#N/A</v>
      </c>
      <c r="Y89" t="e">
        <v>#N/A</v>
      </c>
      <c r="Z89" t="e">
        <v>#N/A</v>
      </c>
      <c r="AA89" t="e">
        <v>#N/A</v>
      </c>
      <c r="AB89" t="e">
        <v>#N/A</v>
      </c>
      <c r="AC89" s="332" t="e">
        <v>#N/A</v>
      </c>
      <c r="AD89" t="e">
        <v>#N/A</v>
      </c>
      <c r="AE89" t="e">
        <v>#N/A</v>
      </c>
      <c r="AF89" t="e">
        <v>#N/A</v>
      </c>
      <c r="AG89" s="629" t="e" cm="1">
        <f t="array" ref="AG89">INDEX(W89:AF89,ROWS($1:7))</f>
        <v>#N/A</v>
      </c>
    </row>
    <row r="90" spans="2:33">
      <c r="B90" t="s">
        <v>817</v>
      </c>
      <c r="E90" t="s">
        <v>818</v>
      </c>
      <c r="F90" t="s">
        <v>846</v>
      </c>
      <c r="G90" s="596">
        <f>(Propriété_air!$Q$28*G82^4+Propriété_air!$R$28*G82^3+Propriété_air!$S$28*G82^2+Propriété_air!$T$28*G82+Propriété_air!$U$28)/10^6</f>
        <v>1.9736849477875458E-5</v>
      </c>
      <c r="H90" s="596">
        <f>(Propriété_air!$Q$28*H82^4+Propriété_air!$R$28*H82^3+Propriété_air!$S$28*H82^2+Propriété_air!$T$28*H82+Propriété_air!$U$28)/10^6</f>
        <v>2.5909869535854841E-5</v>
      </c>
      <c r="I90" s="596">
        <f>(Propriété_air!$Q$28*I82^4+Propriété_air!$R$28*I82^3+Propriété_air!$S$28*I82^2+Propriété_air!$T$28*I82+Propriété_air!$U$28)/10^6</f>
        <v>2.5909703087868567E-5</v>
      </c>
      <c r="J90" s="596">
        <f>(Propriété_air!$Q$28*J82^4+Propriété_air!$R$28*J82^3+Propriété_air!$S$28*J82^2+Propriété_air!$T$28*J82+Propriété_air!$U$28)/10^6</f>
        <v>2.5909703093130702E-5</v>
      </c>
      <c r="K90" s="596">
        <f>(Propriété_air!$Q$28*K82^4+Propriété_air!$R$28*K82^3+Propriété_air!$S$28*K82^2+Propriété_air!$T$28*K82+Propriété_air!$U$28)/10^6</f>
        <v>2.5909703093130543E-5</v>
      </c>
      <c r="N90" s="696"/>
      <c r="O90" s="15"/>
      <c r="P90" s="15"/>
      <c r="Q90" s="15"/>
      <c r="R90" s="700" t="e">
        <f>VLOOKUP(N90,Isolation!B85:R94,9)</f>
        <v>#N/A</v>
      </c>
      <c r="S90" s="15" t="str">
        <f t="shared" si="33"/>
        <v/>
      </c>
      <c r="U90" s="1898"/>
      <c r="V90" s="681" t="e">
        <f t="shared" si="34"/>
        <v>#N/A</v>
      </c>
      <c r="W90" t="e">
        <v>#N/A</v>
      </c>
      <c r="X90" t="e">
        <v>#N/A</v>
      </c>
      <c r="Y90" t="e">
        <v>#N/A</v>
      </c>
      <c r="Z90" t="e">
        <v>#N/A</v>
      </c>
      <c r="AA90" t="e">
        <v>#N/A</v>
      </c>
      <c r="AB90" t="e">
        <v>#N/A</v>
      </c>
      <c r="AC90" t="e">
        <v>#N/A</v>
      </c>
      <c r="AD90" s="332" t="e">
        <v>#N/A</v>
      </c>
      <c r="AE90" t="e">
        <v>#N/A</v>
      </c>
      <c r="AF90" t="e">
        <v>#N/A</v>
      </c>
      <c r="AG90" s="629" t="e" cm="1">
        <f t="array" ref="AG90">INDEX(W90:AF90,ROWS($1:8))</f>
        <v>#N/A</v>
      </c>
    </row>
    <row r="91" spans="2:33">
      <c r="B91" t="s">
        <v>819</v>
      </c>
      <c r="E91" t="s">
        <v>820</v>
      </c>
      <c r="G91" s="603">
        <f>($E$9/1000)*$E$12/G88</f>
        <v>14085.31438942248</v>
      </c>
      <c r="H91" s="603">
        <f t="shared" ref="H91:K91" si="36">($E$9/1000)*$E$12/H88</f>
        <v>10947.152807952423</v>
      </c>
      <c r="I91" s="603">
        <f t="shared" si="36"/>
        <v>10947.218464458529</v>
      </c>
      <c r="J91" s="603">
        <f t="shared" si="36"/>
        <v>10947.218462382834</v>
      </c>
      <c r="K91" s="603">
        <f t="shared" si="36"/>
        <v>10947.2184623829</v>
      </c>
      <c r="N91" s="696"/>
      <c r="O91" s="15"/>
      <c r="P91" s="15"/>
      <c r="Q91" s="15"/>
      <c r="R91" s="700" t="e">
        <f>VLOOKUP(N91,Isolation!B86:R95,9)</f>
        <v>#N/A</v>
      </c>
      <c r="S91" s="15" t="str">
        <f t="shared" si="33"/>
        <v/>
      </c>
      <c r="U91" s="1898"/>
      <c r="V91" s="681" t="e">
        <f t="shared" si="34"/>
        <v>#N/A</v>
      </c>
      <c r="W91" t="e">
        <v>#N/A</v>
      </c>
      <c r="X91" t="e">
        <v>#N/A</v>
      </c>
      <c r="Y91" t="e">
        <v>#N/A</v>
      </c>
      <c r="Z91" t="e">
        <v>#N/A</v>
      </c>
      <c r="AA91" t="e">
        <v>#N/A</v>
      </c>
      <c r="AB91" t="e">
        <v>#N/A</v>
      </c>
      <c r="AC91" t="e">
        <v>#N/A</v>
      </c>
      <c r="AD91" t="e">
        <v>#N/A</v>
      </c>
      <c r="AE91" s="332" t="e">
        <v>#N/A</v>
      </c>
      <c r="AF91" t="e">
        <v>#N/A</v>
      </c>
      <c r="AG91" s="629" t="e" cm="1">
        <f t="array" ref="AG91">INDEX(W91:AF91,ROWS($1:9))</f>
        <v>#N/A</v>
      </c>
    </row>
    <row r="92" spans="2:33" ht="15" thickBot="1">
      <c r="B92" t="s">
        <v>821</v>
      </c>
      <c r="E92" t="s">
        <v>822</v>
      </c>
      <c r="G92" s="603">
        <f>9.81*G86*ABS(G78-$E$11)*($E$9/1000)^3/(G88*G90)</f>
        <v>88265.180210679231</v>
      </c>
      <c r="H92" s="603">
        <f t="shared" ref="H92:K92" si="37">9.81*H86*ABS(H78-$E$11)*($E$9/1000)^3/(H88*H90)</f>
        <v>3922619.2013639403</v>
      </c>
      <c r="I92" s="603">
        <f t="shared" si="37"/>
        <v>3922581.7466370906</v>
      </c>
      <c r="J92" s="603">
        <f t="shared" si="37"/>
        <v>3922581.7478212263</v>
      </c>
      <c r="K92" s="603">
        <f t="shared" si="37"/>
        <v>3922581.7478211876</v>
      </c>
      <c r="U92" s="1898"/>
      <c r="V92" s="681" t="e">
        <f t="shared" si="34"/>
        <v>#N/A</v>
      </c>
      <c r="W92" t="e">
        <v>#N/A</v>
      </c>
      <c r="X92" t="e">
        <v>#N/A</v>
      </c>
      <c r="Y92" t="e">
        <v>#N/A</v>
      </c>
      <c r="Z92" t="e">
        <v>#N/A</v>
      </c>
      <c r="AA92" t="e">
        <v>#N/A</v>
      </c>
      <c r="AB92" t="e">
        <v>#N/A</v>
      </c>
      <c r="AC92" t="e">
        <v>#N/A</v>
      </c>
      <c r="AD92" t="e">
        <v>#N/A</v>
      </c>
      <c r="AE92" t="e">
        <v>#N/A</v>
      </c>
      <c r="AF92" s="332" t="e">
        <v>#N/A</v>
      </c>
      <c r="AG92" s="699" t="e" cm="1">
        <f t="array" ref="AG92">INDEX(W92:AF92,ROWS($1:10))</f>
        <v>#N/A</v>
      </c>
    </row>
    <row r="94" spans="2:33">
      <c r="B94" s="3" t="s">
        <v>917</v>
      </c>
    </row>
    <row r="95" spans="2:33">
      <c r="B95" t="s">
        <v>823</v>
      </c>
      <c r="E95" t="s">
        <v>824</v>
      </c>
      <c r="F95" t="s">
        <v>847</v>
      </c>
      <c r="G95" s="136">
        <f>'Facteurs conversion'!$C$30*$G$79*((G78+273.15)^4-($E$11+273.15)^4)/((G78+273.15)-($E$11+273.15))</f>
        <v>4.0024823771495974</v>
      </c>
      <c r="H95" s="136">
        <f>'Facteurs conversion'!$C$30*$G$79*((H78+273.15)^4-($E$11+273.15)^4)/((H78+273.15)-($E$11+273.15))</f>
        <v>6.2359638393348531</v>
      </c>
      <c r="I95" s="136">
        <f>'Facteurs conversion'!$C$30*$G$79*((I78+273.15)^4-($E$11+273.15)^4)/((I78+273.15)-($E$11+273.15))</f>
        <v>6.235895514173583</v>
      </c>
      <c r="J95" s="136">
        <f>'Facteurs conversion'!$C$30*$G$79*((J78+273.15)^4-($E$11+273.15)^4)/((J78+273.15)-($E$11+273.15))</f>
        <v>6.2358955163336258</v>
      </c>
      <c r="K95" s="136">
        <f>'Facteurs conversion'!$C$30*$G$79*((K78+273.15)^4-($E$11+273.15)^4)/((K78+273.15)-($E$11+273.15))</f>
        <v>6.2358955163335601</v>
      </c>
    </row>
    <row r="96" spans="2:33">
      <c r="B96" t="s">
        <v>825</v>
      </c>
    </row>
    <row r="97" spans="2:11">
      <c r="B97" t="s">
        <v>902</v>
      </c>
      <c r="E97" t="s">
        <v>826</v>
      </c>
      <c r="G97" s="593">
        <f>0.3+(0.62*G91^0.5*G85^(1/3))*(1+(G91/282000)^(5/8))^(4/5)/(1 + (0.4/G85)^(2/3))^(1/4)</f>
        <v>65.006971449916918</v>
      </c>
      <c r="H97" s="593">
        <f>0.3+(0.62*H91^0.5*H85^(1/3))*(1+(H91/282000)^(5/8))^(4/5)/(1 + (0.4/H85)^(2/3))^(1/4)</f>
        <v>56.132826791158521</v>
      </c>
      <c r="I97" s="593">
        <f t="shared" ref="I97:K97" si="38">0.3+(0.62*I91^0.5*I85^(1/3))*(1+(I91/282000)^(5/8))^(4/5)/(1 + (0.4/I85)^(2/3))^(1/4)</f>
        <v>56.133021023999376</v>
      </c>
      <c r="J97" s="593">
        <f t="shared" si="38"/>
        <v>56.133021017858816</v>
      </c>
      <c r="K97" s="593">
        <f t="shared" si="38"/>
        <v>56.133021017859008</v>
      </c>
    </row>
    <row r="98" spans="2:11">
      <c r="E98" t="s">
        <v>827</v>
      </c>
      <c r="F98" t="s">
        <v>847</v>
      </c>
      <c r="G98" s="136">
        <f>G97*G83/($E$9/1000)</f>
        <v>18.060090549865091</v>
      </c>
      <c r="H98" s="136">
        <f t="shared" ref="H98:K98" si="39">H97*H83/($E$9/1000)</f>
        <v>17.726934544743806</v>
      </c>
      <c r="I98" s="136">
        <f t="shared" si="39"/>
        <v>17.726942114465015</v>
      </c>
      <c r="J98" s="136">
        <f t="shared" si="39"/>
        <v>17.726942114225704</v>
      </c>
      <c r="K98" s="136">
        <f t="shared" si="39"/>
        <v>17.726942114225711</v>
      </c>
    </row>
    <row r="99" spans="2:11">
      <c r="B99" t="s">
        <v>828</v>
      </c>
      <c r="E99" t="s">
        <v>829</v>
      </c>
      <c r="G99" s="136">
        <f>(0.6 + 0.387*G92^(1/6)/( 1 +(0.559/G85)^(9/16))^(8/27))^2</f>
        <v>7.5312053432954933</v>
      </c>
      <c r="H99" s="136">
        <f t="shared" ref="H99:K99" si="40">(0.6 + 0.387*H92^(1/6)/( 1 +(0.559/H85)^(9/16))^(8/27))^2</f>
        <v>21.447547493016135</v>
      </c>
      <c r="I99" s="136">
        <f t="shared" si="40"/>
        <v>21.447489032256868</v>
      </c>
      <c r="J99" s="136">
        <f t="shared" si="40"/>
        <v>21.447489034105111</v>
      </c>
      <c r="K99" s="136">
        <f t="shared" si="40"/>
        <v>21.447489034105061</v>
      </c>
    </row>
    <row r="100" spans="2:11">
      <c r="E100" t="s">
        <v>830</v>
      </c>
      <c r="F100" t="s">
        <v>847</v>
      </c>
      <c r="G100" s="136">
        <f>G99*G83/($E$9/1000)</f>
        <v>2.0923025241121005</v>
      </c>
      <c r="H100" s="136">
        <f t="shared" ref="H100:K100" si="41">H99*H83/($E$9/1000)</f>
        <v>6.7732072708275988</v>
      </c>
      <c r="I100" s="136">
        <f t="shared" si="41"/>
        <v>6.7731682642359301</v>
      </c>
      <c r="J100" s="136">
        <f t="shared" si="41"/>
        <v>6.7731682654691081</v>
      </c>
      <c r="K100" s="136">
        <f t="shared" si="41"/>
        <v>6.7731682654690735</v>
      </c>
    </row>
    <row r="101" spans="2:11">
      <c r="B101" t="s">
        <v>903</v>
      </c>
      <c r="E101" t="s">
        <v>831</v>
      </c>
      <c r="G101" s="593">
        <f>(G97^4+G99^4)^(1/4)</f>
        <v>65.009898895481697</v>
      </c>
      <c r="H101" s="593">
        <f t="shared" ref="H101:K101" si="42">(H97^4+H99^4)^(1/4)</f>
        <v>56.429554236165856</v>
      </c>
      <c r="I101" s="593">
        <f t="shared" si="42"/>
        <v>56.429742211315826</v>
      </c>
      <c r="J101" s="593">
        <f t="shared" si="42"/>
        <v>56.429742205373138</v>
      </c>
      <c r="K101" s="593">
        <f t="shared" si="42"/>
        <v>56.429742205373337</v>
      </c>
    </row>
    <row r="102" spans="2:11">
      <c r="E102" t="s">
        <v>832</v>
      </c>
      <c r="F102" t="s">
        <v>847</v>
      </c>
      <c r="G102" s="136">
        <f>G101*G83/($E$9/1000)</f>
        <v>18.060903846205477</v>
      </c>
      <c r="H102" s="136">
        <f t="shared" ref="H102:K102" si="43">H101*H83/($E$9/1000)</f>
        <v>17.820642064852208</v>
      </c>
      <c r="I102" s="136">
        <f t="shared" si="43"/>
        <v>17.820647374145324</v>
      </c>
      <c r="J102" s="136">
        <f t="shared" si="43"/>
        <v>17.820647373977486</v>
      </c>
      <c r="K102" s="136">
        <f t="shared" si="43"/>
        <v>17.820647373977497</v>
      </c>
    </row>
    <row r="103" spans="2:11">
      <c r="B103" t="s">
        <v>904</v>
      </c>
      <c r="E103" t="s">
        <v>833</v>
      </c>
      <c r="F103" t="s">
        <v>847</v>
      </c>
      <c r="G103" s="136">
        <f>G102+G95</f>
        <v>22.063386223355074</v>
      </c>
      <c r="H103" s="136">
        <f t="shared" ref="H103:K103" si="44">H102+H95</f>
        <v>24.056605904187062</v>
      </c>
      <c r="I103" s="136">
        <f t="shared" si="44"/>
        <v>24.056542888318909</v>
      </c>
      <c r="J103" s="136">
        <f t="shared" si="44"/>
        <v>24.056542890311114</v>
      </c>
      <c r="K103" s="136">
        <f t="shared" si="44"/>
        <v>24.056542890311057</v>
      </c>
    </row>
    <row r="104" spans="2:11">
      <c r="B104" s="3" t="s">
        <v>905</v>
      </c>
      <c r="G104" s="136"/>
      <c r="H104" s="136"/>
      <c r="I104" s="136"/>
      <c r="J104" s="136"/>
      <c r="K104" s="136"/>
    </row>
    <row r="105" spans="2:11">
      <c r="B105" t="s">
        <v>918</v>
      </c>
      <c r="E105" t="s">
        <v>834</v>
      </c>
      <c r="F105" t="s">
        <v>805</v>
      </c>
      <c r="G105" s="136">
        <f>Propriété_matériau!$G$9*($E$10+273.15)^3+Propriété_matériau!$H$9*($E$10+273.15)^2+Propriété_matériau!$I$9*($E$10+273.15)+Propriété_matériau!$J$9</f>
        <v>60.381356365592872</v>
      </c>
      <c r="H105" s="136">
        <f>Propriété_matériau!$G$9*($E$10+273.15)^3+Propriété_matériau!$H$9*($E$10+273.15)^2+Propriété_matériau!$I$9*($E$10+273.15)+Propriété_matériau!$J$9</f>
        <v>60.381356365592872</v>
      </c>
      <c r="I105" s="136">
        <f>Propriété_matériau!$G$9*($E$10+273.15)^3+Propriété_matériau!$H$9*($E$10+273.15)^2+Propriété_matériau!$I$9*($E$10+273.15)+Propriété_matériau!$J$9</f>
        <v>60.381356365592872</v>
      </c>
      <c r="J105" s="136">
        <f>Propriété_matériau!$G$9*($E$10+273.15)^3+Propriété_matériau!$H$9*($E$10+273.15)^2+Propriété_matériau!$I$9*($E$10+273.15)+Propriété_matériau!$J$9</f>
        <v>60.381356365592872</v>
      </c>
      <c r="K105" s="136">
        <f>Propriété_matériau!$G$9*($E$10+273.15)^3+Propriété_matériau!$H$9*($E$10+273.15)^2+Propriété_matériau!$I$9*($E$10+273.15)+Propriété_matériau!$J$9</f>
        <v>60.381356365592872</v>
      </c>
    </row>
    <row r="106" spans="2:11">
      <c r="B106" t="s">
        <v>906</v>
      </c>
      <c r="E106" t="s">
        <v>835</v>
      </c>
      <c r="F106" t="s">
        <v>848</v>
      </c>
      <c r="G106" s="601">
        <f>($E$9/1000)*LN($E$9/$E$8)/(2*G105)</f>
        <v>1.2729211346106643E-5</v>
      </c>
      <c r="H106" s="601">
        <f t="shared" ref="H106:K106" si="45">($E$9/1000)*LN($E$9/$E$8)/(2*H105)</f>
        <v>1.2729211346106643E-5</v>
      </c>
      <c r="I106" s="601">
        <f t="shared" si="45"/>
        <v>1.2729211346106643E-5</v>
      </c>
      <c r="J106" s="601">
        <f t="shared" si="45"/>
        <v>1.2729211346106643E-5</v>
      </c>
      <c r="K106" s="601">
        <f t="shared" si="45"/>
        <v>1.2729211346106643E-5</v>
      </c>
    </row>
    <row r="107" spans="2:11">
      <c r="B107" s="3" t="s">
        <v>919</v>
      </c>
      <c r="E107" t="s">
        <v>838</v>
      </c>
      <c r="F107" t="s">
        <v>848</v>
      </c>
      <c r="G107" s="584">
        <f>G106+1/G103</f>
        <v>4.5336687640784988E-2</v>
      </c>
      <c r="H107" s="584">
        <f t="shared" ref="H107:K107" si="46">H106+1/H103</f>
        <v>4.1581352980751149E-2</v>
      </c>
      <c r="I107" s="584">
        <f t="shared" si="46"/>
        <v>4.1581461869336131E-2</v>
      </c>
      <c r="J107" s="584">
        <f t="shared" si="46"/>
        <v>4.1581461865893683E-2</v>
      </c>
      <c r="K107" s="584">
        <f t="shared" si="46"/>
        <v>4.158146186589378E-2</v>
      </c>
    </row>
    <row r="108" spans="2:11">
      <c r="B108" t="s">
        <v>910</v>
      </c>
      <c r="E108" t="s">
        <v>839</v>
      </c>
      <c r="F108" t="s">
        <v>849</v>
      </c>
      <c r="G108" s="608">
        <f>($E$10-$E$11)/G107</f>
        <v>1908.6823020455456</v>
      </c>
      <c r="H108" s="608">
        <f t="shared" ref="H108:K108" si="47">($E$10-$E$11)/H107</f>
        <v>2081.061031693494</v>
      </c>
      <c r="I108" s="608">
        <f t="shared" si="47"/>
        <v>2081.0555820584691</v>
      </c>
      <c r="J108" s="608">
        <f t="shared" si="47"/>
        <v>2081.0555822307556</v>
      </c>
      <c r="K108" s="608">
        <f t="shared" si="47"/>
        <v>2081.0555822307506</v>
      </c>
    </row>
    <row r="109" spans="2:11">
      <c r="B109" t="s">
        <v>920</v>
      </c>
      <c r="E109" t="s">
        <v>840</v>
      </c>
      <c r="F109" t="s">
        <v>843</v>
      </c>
      <c r="G109" s="593">
        <f>$E$10 - G108*G106</f>
        <v>93.309037312918022</v>
      </c>
      <c r="H109" s="593">
        <f t="shared" ref="H109:K109" si="48">$E$10 - H108*H106</f>
        <v>93.306843067636748</v>
      </c>
      <c r="I109" s="593">
        <f t="shared" si="48"/>
        <v>93.306843137006311</v>
      </c>
      <c r="J109" s="593">
        <f t="shared" si="48"/>
        <v>93.306843137004122</v>
      </c>
      <c r="K109" s="593">
        <f t="shared" si="48"/>
        <v>93.306843137004122</v>
      </c>
    </row>
    <row r="110" spans="2:11">
      <c r="B110" t="s">
        <v>912</v>
      </c>
      <c r="F110" t="s">
        <v>797</v>
      </c>
      <c r="G110" s="136">
        <f>G108*PI()*($E$9/1000)</f>
        <v>533.07127430492517</v>
      </c>
      <c r="H110" s="136">
        <f t="shared" ref="H110:K110" si="49">H108*PI()*($E$9/1000)</f>
        <v>581.21451374190065</v>
      </c>
      <c r="I110" s="136">
        <f t="shared" si="49"/>
        <v>581.21299172648503</v>
      </c>
      <c r="J110" s="136">
        <f t="shared" si="49"/>
        <v>581.21299177460241</v>
      </c>
      <c r="K110" s="136">
        <f t="shared" si="49"/>
        <v>581.21299177460105</v>
      </c>
    </row>
  </sheetData>
  <mergeCells count="37">
    <mergeCell ref="U83:U92"/>
    <mergeCell ref="U68:U77"/>
    <mergeCell ref="N79:AG79"/>
    <mergeCell ref="N80:N81"/>
    <mergeCell ref="Q80:Q81"/>
    <mergeCell ref="W80:AF80"/>
    <mergeCell ref="W81:AF81"/>
    <mergeCell ref="AG81:AG82"/>
    <mergeCell ref="N64:AG64"/>
    <mergeCell ref="N65:N66"/>
    <mergeCell ref="Q65:Q66"/>
    <mergeCell ref="W65:AF65"/>
    <mergeCell ref="W66:AF66"/>
    <mergeCell ref="AG66:AG67"/>
    <mergeCell ref="N49:AG49"/>
    <mergeCell ref="W50:AF50"/>
    <mergeCell ref="AG51:AG52"/>
    <mergeCell ref="U53:U62"/>
    <mergeCell ref="W51:AF51"/>
    <mergeCell ref="N50:N51"/>
    <mergeCell ref="Q50:Q51"/>
    <mergeCell ref="W10:AQ10"/>
    <mergeCell ref="B3:Z3"/>
    <mergeCell ref="B7:K7"/>
    <mergeCell ref="B21:K21"/>
    <mergeCell ref="W11:AP11"/>
    <mergeCell ref="U13:U32"/>
    <mergeCell ref="N10:N11"/>
    <mergeCell ref="Q10:Q11"/>
    <mergeCell ref="N9:S9"/>
    <mergeCell ref="U38:U47"/>
    <mergeCell ref="N34:AG34"/>
    <mergeCell ref="N35:N36"/>
    <mergeCell ref="Q35:Q36"/>
    <mergeCell ref="W35:AF35"/>
    <mergeCell ref="W36:AF36"/>
    <mergeCell ref="AG36:AG37"/>
  </mergeCells>
  <pageMargins left="0.23622047244094491" right="0.23622047244094491" top="0.74803149606299213" bottom="0.74803149606299213" header="0.31496062992125984" footer="0.31496062992125984"/>
  <pageSetup paperSize="9" scale="85" orientation="portrait" horizontalDpi="4294967293" verticalDpi="4294967293" r:id="rId1"/>
  <rowBreaks count="1" manualBreakCount="1">
    <brk id="74" max="10" man="1"/>
  </rowBreaks>
  <colBreaks count="1" manualBreakCount="1">
    <brk id="11"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6E25-217C-46A5-85E2-4684CD6D3FCC}">
  <sheetPr codeName="Feuil10">
    <tabColor theme="7" tint="0.79998168889431442"/>
  </sheetPr>
  <dimension ref="A1:W45"/>
  <sheetViews>
    <sheetView workbookViewId="0"/>
  </sheetViews>
  <sheetFormatPr baseColWidth="10" defaultColWidth="9.21875" defaultRowHeight="14.4"/>
  <cols>
    <col min="1" max="1" width="4.21875" customWidth="1"/>
    <col min="8" max="8" width="8" customWidth="1"/>
    <col min="9" max="9" width="4.21875" customWidth="1"/>
    <col min="10" max="10" width="9.21875" customWidth="1"/>
    <col min="11" max="11" width="11.77734375" bestFit="1" customWidth="1"/>
    <col min="12" max="13" width="12.21875" bestFit="1" customWidth="1"/>
    <col min="14" max="15" width="9.44140625" bestFit="1" customWidth="1"/>
    <col min="16" max="16" width="5.44140625" customWidth="1"/>
    <col min="17" max="17" width="14.77734375" bestFit="1" customWidth="1"/>
    <col min="18" max="18" width="15.44140625" bestFit="1" customWidth="1"/>
    <col min="19" max="20" width="14.77734375" bestFit="1" customWidth="1"/>
    <col min="21" max="21" width="11.77734375" bestFit="1" customWidth="1"/>
    <col min="23" max="23" width="9.21875" bestFit="1" customWidth="1"/>
    <col min="24" max="24" width="12.77734375" bestFit="1" customWidth="1"/>
    <col min="25" max="25" width="12" bestFit="1" customWidth="1"/>
    <col min="26" max="27" width="9.21875" bestFit="1" customWidth="1"/>
  </cols>
  <sheetData>
    <row r="1" spans="1:23">
      <c r="A1" s="583"/>
      <c r="B1" s="584"/>
      <c r="C1" s="584"/>
      <c r="D1" s="584"/>
      <c r="E1" s="584"/>
      <c r="F1" s="584"/>
      <c r="G1" s="584"/>
      <c r="H1" s="176"/>
      <c r="Q1" s="1916" t="s">
        <v>886</v>
      </c>
      <c r="R1" s="1916"/>
      <c r="S1" s="1916"/>
      <c r="T1" s="1916"/>
      <c r="U1" s="1916"/>
    </row>
    <row r="2" spans="1:23" ht="36.6">
      <c r="A2" s="585"/>
      <c r="B2" s="1915" t="s">
        <v>1152</v>
      </c>
      <c r="C2" s="1915"/>
      <c r="D2" s="1915"/>
      <c r="E2" s="1915"/>
      <c r="F2" s="1915"/>
      <c r="G2" s="1915"/>
      <c r="H2" s="1915"/>
      <c r="I2" s="1915"/>
      <c r="J2" s="1915"/>
      <c r="K2" s="1915"/>
      <c r="L2" s="1915"/>
      <c r="M2" s="1915"/>
      <c r="N2" s="1915"/>
      <c r="O2" s="1915"/>
      <c r="Q2" s="773" t="s">
        <v>885</v>
      </c>
      <c r="W2" s="594"/>
    </row>
    <row r="3" spans="1:23">
      <c r="A3" s="583"/>
      <c r="B3" s="586" t="s">
        <v>788</v>
      </c>
      <c r="C3" s="584"/>
      <c r="D3" s="584"/>
      <c r="E3" s="584"/>
      <c r="M3" s="587" t="s">
        <v>487</v>
      </c>
      <c r="N3" s="588" t="s">
        <v>884</v>
      </c>
      <c r="O3" s="589"/>
      <c r="Q3" t="s">
        <v>869</v>
      </c>
      <c r="R3" t="s">
        <v>868</v>
      </c>
      <c r="S3" t="s">
        <v>867</v>
      </c>
      <c r="T3" t="s">
        <v>866</v>
      </c>
      <c r="U3" t="s">
        <v>865</v>
      </c>
    </row>
    <row r="4" spans="1:23">
      <c r="A4" s="583"/>
      <c r="B4" s="590" t="s">
        <v>789</v>
      </c>
      <c r="C4" s="584"/>
      <c r="D4" s="584"/>
      <c r="E4" s="584"/>
      <c r="M4" s="587" t="s">
        <v>790</v>
      </c>
      <c r="N4" s="591" t="s">
        <v>791</v>
      </c>
      <c r="O4" s="591"/>
      <c r="Q4" s="332">
        <f t="array" ref="Q4:U6">LINEST(C9:C27,B9:B27^{1,2,3,4},TRUE,TRUE)</f>
        <v>3.0372373621801462E-13</v>
      </c>
      <c r="R4" s="332">
        <v>-1.1131995687117516E-9</v>
      </c>
      <c r="S4" s="332">
        <v>1.4438227340031111E-6</v>
      </c>
      <c r="T4" s="332">
        <v>-5.6533877610402195E-4</v>
      </c>
      <c r="U4" s="332">
        <v>1.0722383900928794</v>
      </c>
    </row>
    <row r="5" spans="1:23">
      <c r="Q5" s="771">
        <v>1.0101369092938971E-13</v>
      </c>
      <c r="R5" s="771">
        <v>2.2348378890550622E-10</v>
      </c>
      <c r="S5" s="771">
        <v>1.6870590590906647E-7</v>
      </c>
      <c r="T5" s="771">
        <v>4.9894249012810751E-5</v>
      </c>
      <c r="U5" s="771">
        <v>4.6703615120748517E-3</v>
      </c>
      <c r="V5" s="1913" t="s">
        <v>1158</v>
      </c>
      <c r="W5" s="1913"/>
    </row>
    <row r="6" spans="1:23">
      <c r="C6" s="1914" t="s">
        <v>883</v>
      </c>
      <c r="D6" s="1914"/>
      <c r="E6" s="1914"/>
      <c r="F6" s="1914"/>
      <c r="G6" s="1914"/>
      <c r="H6" s="1914"/>
      <c r="J6" s="1914" t="s">
        <v>882</v>
      </c>
      <c r="K6" s="1914"/>
      <c r="L6" s="1914"/>
      <c r="M6" s="1914"/>
      <c r="N6" s="1914"/>
      <c r="O6" s="1914"/>
      <c r="Q6" s="771">
        <v>0.99904221298497753</v>
      </c>
      <c r="R6" s="771">
        <v>1.6371331436087757E-3</v>
      </c>
      <c r="S6" s="771" t="e">
        <v>#N/A</v>
      </c>
      <c r="T6" s="771" t="e">
        <v>#N/A</v>
      </c>
      <c r="U6" s="771" t="e">
        <v>#N/A</v>
      </c>
      <c r="V6" s="1913"/>
      <c r="W6" s="1913"/>
    </row>
    <row r="7" spans="1:23">
      <c r="B7" s="180" t="s">
        <v>170</v>
      </c>
      <c r="C7" s="180" t="s">
        <v>815</v>
      </c>
      <c r="D7" s="180" t="s">
        <v>881</v>
      </c>
      <c r="E7" s="180" t="s">
        <v>880</v>
      </c>
      <c r="F7" s="180" t="s">
        <v>879</v>
      </c>
      <c r="G7" s="180" t="s">
        <v>878</v>
      </c>
      <c r="H7" s="180" t="s">
        <v>808</v>
      </c>
      <c r="I7" s="180"/>
      <c r="J7" s="180" t="s">
        <v>815</v>
      </c>
      <c r="K7" s="180" t="s">
        <v>881</v>
      </c>
      <c r="L7" s="180" t="s">
        <v>880</v>
      </c>
      <c r="M7" s="180" t="s">
        <v>879</v>
      </c>
      <c r="N7" s="180" t="s">
        <v>878</v>
      </c>
      <c r="O7" s="180" t="s">
        <v>808</v>
      </c>
      <c r="P7" s="180"/>
    </row>
    <row r="8" spans="1:23">
      <c r="B8" s="569" t="s">
        <v>316</v>
      </c>
      <c r="C8" s="569" t="s">
        <v>816</v>
      </c>
      <c r="D8" s="569" t="s">
        <v>877</v>
      </c>
      <c r="E8" s="569" t="s">
        <v>814</v>
      </c>
      <c r="F8" s="569" t="s">
        <v>876</v>
      </c>
      <c r="G8" s="569" t="s">
        <v>814</v>
      </c>
      <c r="H8" s="569"/>
      <c r="I8" s="180"/>
      <c r="J8" s="180" t="s">
        <v>816</v>
      </c>
      <c r="K8" s="180" t="s">
        <v>877</v>
      </c>
      <c r="L8" s="180" t="s">
        <v>814</v>
      </c>
      <c r="M8" s="180" t="s">
        <v>876</v>
      </c>
      <c r="N8" s="180" t="s">
        <v>814</v>
      </c>
      <c r="O8" s="180"/>
      <c r="P8" s="180"/>
      <c r="Q8" s="594" t="s">
        <v>875</v>
      </c>
    </row>
    <row r="9" spans="1:23">
      <c r="B9" s="180">
        <v>100</v>
      </c>
      <c r="C9" s="605">
        <v>1.032</v>
      </c>
      <c r="D9" s="180">
        <v>71.099999999999994</v>
      </c>
      <c r="E9" s="606">
        <v>2</v>
      </c>
      <c r="F9" s="606">
        <v>9.34</v>
      </c>
      <c r="G9" s="606">
        <v>2.54</v>
      </c>
      <c r="H9" s="605">
        <v>0.78600000000000003</v>
      </c>
      <c r="I9" s="584"/>
      <c r="J9" s="584">
        <f>$Q$4*B9^4+$R$4*B9^3+$S$4*B9^2+$T$4*B9+$U$4</f>
        <v>1.0290599126274182</v>
      </c>
      <c r="K9" s="593">
        <f>$Q$10*B9^4+$R$10*B9^3+$S$10*B9^2+$T$10*B9+$U$10</f>
        <v>71.180195548158878</v>
      </c>
      <c r="L9" s="136">
        <f t="shared" ref="L9:L27" si="0">$Q$16*B9^4+$R$16*B9^3+$S$16*B9^2+$T$16*B9+$U$16</f>
        <v>1.948425213230669</v>
      </c>
      <c r="M9" s="136">
        <f t="shared" ref="M9:M27" si="1">$Q$22*B9^4+$R$22*B9^3+$S$22*B9^2+$T$22*B9+$U$22</f>
        <v>9.3968629082587825</v>
      </c>
      <c r="N9" s="136">
        <f t="shared" ref="N9:N27" si="2">$Q$28*B9^4+$R$28*B9^3+$S$28*B9^2+$T$28*B9+$U$28</f>
        <v>2.7587310172664941</v>
      </c>
      <c r="O9" s="584">
        <f t="shared" ref="O9:O27" si="3">$Q$34*B9^4+$R$34*B9^3+$S$34*B9^2+$T$34*B9+$U$34</f>
        <v>0.78428874557936368</v>
      </c>
      <c r="P9" s="584"/>
      <c r="Q9" t="s">
        <v>869</v>
      </c>
      <c r="R9" t="s">
        <v>868</v>
      </c>
      <c r="S9" t="s">
        <v>867</v>
      </c>
      <c r="T9" t="s">
        <v>866</v>
      </c>
      <c r="U9" t="s">
        <v>865</v>
      </c>
    </row>
    <row r="10" spans="1:23">
      <c r="B10" s="180">
        <v>150</v>
      </c>
      <c r="C10" s="605">
        <v>1.012</v>
      </c>
      <c r="D10" s="180">
        <v>103.4</v>
      </c>
      <c r="E10" s="606">
        <v>4.4260000000000002</v>
      </c>
      <c r="F10" s="606">
        <v>13.8</v>
      </c>
      <c r="G10" s="606">
        <v>5.84</v>
      </c>
      <c r="H10" s="605">
        <v>0.75800000000000001</v>
      </c>
      <c r="I10" s="584"/>
      <c r="J10" s="584">
        <f>$Q$4*B10^4+$R$4*B10^3+$S$4*B10^2+$T$4*B10+$U$4</f>
        <v>1.0163202967894043</v>
      </c>
      <c r="K10" s="593">
        <f t="shared" ref="K10:K27" si="4">$Q$10*B10^4+$R$10*B10^3+$S$10*B10^2+$T$10*B10+$U$10</f>
        <v>103.1638166562652</v>
      </c>
      <c r="L10" s="136">
        <f t="shared" si="0"/>
        <v>4.450256847652688</v>
      </c>
      <c r="M10" s="136">
        <f t="shared" si="1"/>
        <v>13.770279453574641</v>
      </c>
      <c r="N10" s="136">
        <f t="shared" si="2"/>
        <v>5.694165453158571</v>
      </c>
      <c r="O10" s="584">
        <f t="shared" si="3"/>
        <v>0.7594405381041538</v>
      </c>
      <c r="P10" s="584"/>
      <c r="Q10" s="772">
        <f t="array" ref="Q10:U12">LINEST(D9:D27,B9:B27^{1,2,3,4},TRUE,TRUE)</f>
        <v>-1.5858001199232249E-10</v>
      </c>
      <c r="R10" s="772">
        <v>5.115022890093732E-7</v>
      </c>
      <c r="S10" s="772">
        <v>-7.2456743025899083E-4</v>
      </c>
      <c r="T10" s="772">
        <v>0.79780638359636646</v>
      </c>
      <c r="U10" s="772">
        <v>-1.8504127966980022</v>
      </c>
    </row>
    <row r="11" spans="1:23">
      <c r="B11" s="180">
        <v>200</v>
      </c>
      <c r="C11" s="605">
        <v>1.0069999999999999</v>
      </c>
      <c r="D11" s="180">
        <v>132.5</v>
      </c>
      <c r="E11" s="606">
        <v>7.59</v>
      </c>
      <c r="F11" s="606">
        <v>18.100000000000001</v>
      </c>
      <c r="G11" s="606">
        <v>10.3</v>
      </c>
      <c r="H11" s="605">
        <v>0.73699999999999999</v>
      </c>
      <c r="I11" s="584"/>
      <c r="J11" s="584">
        <f>$Q$4*B11^4+$R$4*B11^3+$S$4*B11^2+$T$4*B11+$U$4</f>
        <v>1.0085039056604541</v>
      </c>
      <c r="K11" s="593">
        <f t="shared" si="4"/>
        <v>132.5664570051029</v>
      </c>
      <c r="L11" s="136">
        <f>$Q$16*B11^4+$R$16*B11^3+$S$16*B11^2+$T$16*B11+$U$16</f>
        <v>7.6437606921278602</v>
      </c>
      <c r="M11" s="136">
        <f>$Q$22*B11^4+$R$22*B11^3+$S$22*B11^2+$T$22*B11+$U$22</f>
        <v>18.055626802416402</v>
      </c>
      <c r="N11" s="136">
        <f t="shared" si="2"/>
        <v>10.098893770114632</v>
      </c>
      <c r="O11" s="584">
        <f t="shared" si="3"/>
        <v>0.73841327394282041</v>
      </c>
      <c r="P11" s="584"/>
      <c r="Q11" s="771">
        <v>1.0541834453440922E-11</v>
      </c>
      <c r="R11" s="771">
        <v>2.3322869246668932E-8</v>
      </c>
      <c r="S11" s="771">
        <v>1.7606224612209644E-5</v>
      </c>
      <c r="T11" s="771">
        <v>5.2069863840484348E-3</v>
      </c>
      <c r="U11" s="771">
        <v>0.48740103885947411</v>
      </c>
      <c r="V11" s="1913" t="s">
        <v>1158</v>
      </c>
      <c r="W11" s="1913"/>
    </row>
    <row r="12" spans="1:23">
      <c r="B12" s="180">
        <v>250</v>
      </c>
      <c r="C12" s="605">
        <v>1.006</v>
      </c>
      <c r="D12" s="180">
        <v>159.6</v>
      </c>
      <c r="E12" s="606">
        <v>11.44</v>
      </c>
      <c r="F12" s="606">
        <v>22.3</v>
      </c>
      <c r="G12" s="606">
        <v>15.9</v>
      </c>
      <c r="H12" s="605">
        <v>0.72</v>
      </c>
      <c r="I12" s="584"/>
      <c r="J12" s="584">
        <f t="shared" ref="J12:J27" si="5">$Q$4*B12^4+$R$4*B12^3+$S$4*B12^2+$T$4*B12+$U$4</f>
        <v>1.0049352945255488</v>
      </c>
      <c r="K12" s="593">
        <f t="shared" si="4"/>
        <v>159.68848880513312</v>
      </c>
      <c r="L12" s="136">
        <f t="shared" si="0"/>
        <v>11.478387013220061</v>
      </c>
      <c r="M12" s="136">
        <f t="shared" si="1"/>
        <v>22.225289508355864</v>
      </c>
      <c r="N12" s="136">
        <f>$Q$28*B12^4+$R$28*B12^3+$S$28*B12^2+$T$28*B12+$U$28</f>
        <v>15.758648743458242</v>
      </c>
      <c r="O12" s="584">
        <f t="shared" si="3"/>
        <v>0.72108456417724165</v>
      </c>
      <c r="P12" s="584"/>
      <c r="Q12" s="771">
        <v>0.99999806017817594</v>
      </c>
      <c r="R12" s="771">
        <v>0.17085195501101869</v>
      </c>
      <c r="S12" s="771" t="e">
        <v>#N/A</v>
      </c>
      <c r="T12" s="771" t="e">
        <v>#N/A</v>
      </c>
      <c r="U12" s="771" t="e">
        <v>#N/A</v>
      </c>
      <c r="V12" s="1913"/>
      <c r="W12" s="1913"/>
    </row>
    <row r="13" spans="1:23">
      <c r="B13" s="180">
        <v>300</v>
      </c>
      <c r="C13" s="605">
        <v>1.0069999999999999</v>
      </c>
      <c r="D13" s="180">
        <v>184.6</v>
      </c>
      <c r="E13" s="606">
        <v>15.89</v>
      </c>
      <c r="F13" s="606">
        <v>26.3</v>
      </c>
      <c r="G13" s="606">
        <v>22.5</v>
      </c>
      <c r="H13" s="605">
        <v>0.70699999999999996</v>
      </c>
      <c r="I13" s="584"/>
      <c r="J13" s="584">
        <f t="shared" si="5"/>
        <v>1.0049845772301014</v>
      </c>
      <c r="K13" s="593">
        <f t="shared" si="4"/>
        <v>184.80649726501804</v>
      </c>
      <c r="L13" s="136">
        <f t="shared" si="0"/>
        <v>15.906973857568786</v>
      </c>
      <c r="M13" s="136">
        <f t="shared" si="1"/>
        <v>26.256409770065705</v>
      </c>
      <c r="N13" s="136">
        <f t="shared" si="2"/>
        <v>22.479498443854318</v>
      </c>
      <c r="O13" s="584">
        <f t="shared" si="3"/>
        <v>0.70730075421056726</v>
      </c>
      <c r="P13" s="584"/>
    </row>
    <row r="14" spans="1:23">
      <c r="B14" s="180">
        <v>350</v>
      </c>
      <c r="C14" s="605">
        <v>1.0089999999999999</v>
      </c>
      <c r="D14" s="180">
        <v>208.2</v>
      </c>
      <c r="E14" s="606">
        <v>20.92</v>
      </c>
      <c r="F14" s="606">
        <v>30</v>
      </c>
      <c r="G14" s="606">
        <v>29.9</v>
      </c>
      <c r="H14" s="605">
        <v>0.7</v>
      </c>
      <c r="I14" s="584"/>
      <c r="J14" s="584">
        <f t="shared" si="5"/>
        <v>1.008067426179958</v>
      </c>
      <c r="K14" s="593">
        <f t="shared" si="4"/>
        <v>208.17328059162099</v>
      </c>
      <c r="L14" s="136">
        <f t="shared" si="0"/>
        <v>20.885747051889165</v>
      </c>
      <c r="M14" s="136">
        <f t="shared" si="1"/>
        <v>30.130887431319515</v>
      </c>
      <c r="N14" s="136">
        <f t="shared" si="2"/>
        <v>30.08784623730913</v>
      </c>
      <c r="O14" s="584">
        <f t="shared" si="3"/>
        <v>0.69687692376721877</v>
      </c>
      <c r="P14" s="584"/>
      <c r="Q14" s="594" t="s">
        <v>874</v>
      </c>
    </row>
    <row r="15" spans="1:23">
      <c r="B15" s="180">
        <v>400</v>
      </c>
      <c r="C15" s="605">
        <v>1.014</v>
      </c>
      <c r="D15" s="180">
        <v>230.1</v>
      </c>
      <c r="E15" s="606">
        <v>26.41</v>
      </c>
      <c r="F15" s="606">
        <v>33.799999999999997</v>
      </c>
      <c r="G15" s="606">
        <v>38.299999999999997</v>
      </c>
      <c r="H15" s="605">
        <v>0.69</v>
      </c>
      <c r="I15" s="584"/>
      <c r="J15" s="584">
        <f t="shared" si="5"/>
        <v>1.0136450723413974</v>
      </c>
      <c r="K15" s="593">
        <f t="shared" si="4"/>
        <v>230.01784999000645</v>
      </c>
      <c r="L15" s="136">
        <f t="shared" si="0"/>
        <v>26.374320202971948</v>
      </c>
      <c r="M15" s="136">
        <f t="shared" si="1"/>
        <v>33.83537998099176</v>
      </c>
      <c r="N15" s="136">
        <f t="shared" si="2"/>
        <v>38.430430785170309</v>
      </c>
      <c r="O15" s="584">
        <f>$Q$34*B15^4+$R$34*B15^3+$S$34*B15^2+$T$34*B15+$U$34</f>
        <v>0.68959688689288923</v>
      </c>
      <c r="P15" s="584"/>
      <c r="Q15" t="s">
        <v>869</v>
      </c>
      <c r="R15" t="s">
        <v>868</v>
      </c>
      <c r="S15" t="s">
        <v>867</v>
      </c>
      <c r="T15" t="s">
        <v>866</v>
      </c>
      <c r="U15" t="s">
        <v>865</v>
      </c>
    </row>
    <row r="16" spans="1:23">
      <c r="B16" s="180">
        <v>450</v>
      </c>
      <c r="C16" s="605">
        <v>1.0209999999999999</v>
      </c>
      <c r="D16" s="180">
        <v>250.7</v>
      </c>
      <c r="E16" s="606">
        <v>32.39</v>
      </c>
      <c r="F16" s="606">
        <v>37.299999999999997</v>
      </c>
      <c r="G16" s="606">
        <v>47.2</v>
      </c>
      <c r="H16" s="605">
        <v>0.68600000000000005</v>
      </c>
      <c r="I16" s="584"/>
      <c r="J16" s="584">
        <f t="shared" si="5"/>
        <v>1.0212243052411312</v>
      </c>
      <c r="K16" s="593">
        <f t="shared" si="4"/>
        <v>250.54542966344019</v>
      </c>
      <c r="L16" s="136">
        <f t="shared" si="0"/>
        <v>32.335694697683508</v>
      </c>
      <c r="M16" s="136">
        <f t="shared" si="1"/>
        <v>37.361302553057826</v>
      </c>
      <c r="N16" s="136">
        <f t="shared" si="2"/>
        <v>47.374326044126825</v>
      </c>
      <c r="O16" s="584">
        <f>$Q$34*B16^4+$R$34*B16^3+$S$34*B16^2+$T$34*B16+$U$34</f>
        <v>0.68521319195454367</v>
      </c>
      <c r="P16" s="584"/>
      <c r="Q16" s="332">
        <f t="array" ref="Q16:U18">LINEST(E9:E27,B9:B27^{1,2,3,4},TRUE,TRUE)</f>
        <v>2.2585200504167324E-11</v>
      </c>
      <c r="R16" s="332">
        <v>-8.3209284934417669E-8</v>
      </c>
      <c r="S16" s="332">
        <v>1.7267315516179553E-4</v>
      </c>
      <c r="T16" s="332">
        <v>1.0637280178279989E-2</v>
      </c>
      <c r="U16" s="332">
        <v>-0.76108359133128456</v>
      </c>
    </row>
    <row r="17" spans="2:23">
      <c r="B17" s="180">
        <v>500</v>
      </c>
      <c r="C17" s="605">
        <v>1.03</v>
      </c>
      <c r="D17" s="180">
        <v>270.10000000000002</v>
      </c>
      <c r="E17" s="606">
        <v>38.79</v>
      </c>
      <c r="F17" s="606">
        <v>40.700000000000003</v>
      </c>
      <c r="G17" s="606">
        <v>56.7</v>
      </c>
      <c r="H17" s="605">
        <v>0.68400000000000005</v>
      </c>
      <c r="I17" s="584"/>
      <c r="J17" s="584">
        <f t="shared" si="5"/>
        <v>1.0303574729663032</v>
      </c>
      <c r="K17" s="593">
        <f>$Q$10*B17^4+$R$10*B17^3+$S$10*B17^2+$T$10*B17+$U$10</f>
        <v>269.93745681338902</v>
      </c>
      <c r="L17" s="136">
        <f t="shared" si="0"/>
        <v>38.736259702965846</v>
      </c>
      <c r="M17" s="136">
        <f t="shared" si="1"/>
        <v>40.704827926593978</v>
      </c>
      <c r="N17" s="136">
        <f t="shared" si="2"/>
        <v>56.806941266209009</v>
      </c>
      <c r="O17" s="584">
        <f t="shared" si="3"/>
        <v>0.68344712164041843</v>
      </c>
      <c r="P17" s="584"/>
      <c r="Q17" s="771">
        <v>3.4322828413445388E-12</v>
      </c>
      <c r="R17" s="771">
        <v>7.5936199036150618E-9</v>
      </c>
      <c r="S17" s="771">
        <v>5.7323554931770415E-6</v>
      </c>
      <c r="T17" s="771">
        <v>1.6953263779674135E-3</v>
      </c>
      <c r="U17" s="771">
        <v>0.15869137671619982</v>
      </c>
      <c r="V17" s="1913" t="s">
        <v>1158</v>
      </c>
      <c r="W17" s="1913"/>
    </row>
    <row r="18" spans="2:23">
      <c r="B18" s="180">
        <v>550</v>
      </c>
      <c r="C18" s="605">
        <v>1.04</v>
      </c>
      <c r="D18" s="180">
        <v>288.39999999999998</v>
      </c>
      <c r="E18" s="606">
        <v>45.57</v>
      </c>
      <c r="F18" s="606">
        <v>43.9</v>
      </c>
      <c r="G18" s="606">
        <v>66.7</v>
      </c>
      <c r="H18" s="605">
        <v>0.68300000000000005</v>
      </c>
      <c r="I18" s="584"/>
      <c r="J18" s="584">
        <f t="shared" si="5"/>
        <v>1.0406424821644904</v>
      </c>
      <c r="K18" s="593">
        <f t="shared" si="4"/>
        <v>288.35158163952087</v>
      </c>
      <c r="L18" s="136">
        <f t="shared" si="0"/>
        <v>45.545792165836581</v>
      </c>
      <c r="M18" s="136">
        <f t="shared" si="1"/>
        <v>43.866886525777346</v>
      </c>
      <c r="N18" s="136">
        <f t="shared" si="2"/>
        <v>66.636020998788553</v>
      </c>
      <c r="O18" s="584">
        <f t="shared" si="3"/>
        <v>0.68398869296002174</v>
      </c>
      <c r="P18" s="584"/>
      <c r="Q18" s="771">
        <v>0.99999838078633174</v>
      </c>
      <c r="R18" s="771">
        <v>5.5627152578086612E-2</v>
      </c>
      <c r="S18" s="771" t="e">
        <v>#N/A</v>
      </c>
      <c r="T18" s="771" t="e">
        <v>#N/A</v>
      </c>
      <c r="U18" s="771" t="e">
        <v>#N/A</v>
      </c>
      <c r="V18" s="1913"/>
      <c r="W18" s="1913"/>
    </row>
    <row r="19" spans="2:23">
      <c r="B19" s="180">
        <v>600</v>
      </c>
      <c r="C19" s="605">
        <v>1.0509999999999999</v>
      </c>
      <c r="D19" s="180">
        <v>305.8</v>
      </c>
      <c r="E19" s="606">
        <v>52.69</v>
      </c>
      <c r="F19" s="606">
        <v>46.9</v>
      </c>
      <c r="G19" s="606">
        <v>76.900000000000006</v>
      </c>
      <c r="H19" s="605">
        <v>0.68500000000000005</v>
      </c>
      <c r="I19" s="584"/>
      <c r="J19" s="584">
        <f t="shared" si="5"/>
        <v>1.0517227980437025</v>
      </c>
      <c r="K19" s="593">
        <f t="shared" si="4"/>
        <v>305.92166733970487</v>
      </c>
      <c r="L19" s="136">
        <f t="shared" si="0"/>
        <v>52.737456813388967</v>
      </c>
      <c r="M19" s="136">
        <f t="shared" si="1"/>
        <v>46.853166419886023</v>
      </c>
      <c r="N19" s="136">
        <f t="shared" si="2"/>
        <v>76.789645084578467</v>
      </c>
      <c r="O19" s="584">
        <f t="shared" si="3"/>
        <v>0.68649665724413356</v>
      </c>
      <c r="P19" s="584"/>
    </row>
    <row r="20" spans="2:23">
      <c r="B20" s="180">
        <v>650</v>
      </c>
      <c r="C20" s="605">
        <v>1.0629999999999999</v>
      </c>
      <c r="D20" s="180">
        <v>322.5</v>
      </c>
      <c r="E20" s="606">
        <v>60.21</v>
      </c>
      <c r="F20" s="606">
        <v>49.7</v>
      </c>
      <c r="G20" s="606">
        <v>87.3</v>
      </c>
      <c r="H20" s="605">
        <v>0.69</v>
      </c>
      <c r="I20" s="584"/>
      <c r="J20" s="584">
        <f t="shared" si="5"/>
        <v>1.0632874443723817</v>
      </c>
      <c r="K20" s="593">
        <f t="shared" si="4"/>
        <v>322.75779011001123</v>
      </c>
      <c r="L20" s="136">
        <f t="shared" si="0"/>
        <v>60.28780615279188</v>
      </c>
      <c r="M20" s="136">
        <f>$Q$22*B20^4+$R$22*B20^3+$S$22*B20^2+$T$22*B20+$U$22</f>
        <v>49.67411332329894</v>
      </c>
      <c r="N20" s="136">
        <f t="shared" si="2"/>
        <v>87.216228661633181</v>
      </c>
      <c r="O20" s="584">
        <f t="shared" si="3"/>
        <v>0.69059850014480539</v>
      </c>
      <c r="P20" s="584"/>
      <c r="Q20" s="594" t="s">
        <v>873</v>
      </c>
    </row>
    <row r="21" spans="2:23">
      <c r="B21" s="180">
        <v>700</v>
      </c>
      <c r="C21" s="605">
        <v>1.075</v>
      </c>
      <c r="D21" s="180">
        <v>338.8</v>
      </c>
      <c r="E21" s="606">
        <v>68.099999999999994</v>
      </c>
      <c r="F21" s="606">
        <v>52.4</v>
      </c>
      <c r="G21" s="606">
        <v>98</v>
      </c>
      <c r="H21" s="605">
        <v>0.69499999999999995</v>
      </c>
      <c r="I21" s="584"/>
      <c r="J21" s="584">
        <f t="shared" si="5"/>
        <v>1.0750710034794031</v>
      </c>
      <c r="K21" s="593">
        <f t="shared" si="4"/>
        <v>338.94623914471146</v>
      </c>
      <c r="L21" s="136">
        <f t="shared" si="0"/>
        <v>68.176780471289817</v>
      </c>
      <c r="M21" s="136">
        <f t="shared" si="1"/>
        <v>52.344930595495953</v>
      </c>
      <c r="N21" s="136">
        <f>$Q$28*B21^4+$R$28*B21^3+$S$28*B21^2+$T$28*B21+$U$28</f>
        <v>97.884522163348407</v>
      </c>
      <c r="O21" s="584">
        <f t="shared" si="3"/>
        <v>0.6958904416353604</v>
      </c>
      <c r="P21" s="584"/>
      <c r="Q21" t="s">
        <v>869</v>
      </c>
      <c r="R21" t="s">
        <v>868</v>
      </c>
      <c r="S21" t="s">
        <v>867</v>
      </c>
      <c r="T21" t="s">
        <v>866</v>
      </c>
      <c r="U21" t="s">
        <v>865</v>
      </c>
    </row>
    <row r="22" spans="2:23">
      <c r="B22" s="180">
        <v>750</v>
      </c>
      <c r="C22" s="605">
        <v>1.087</v>
      </c>
      <c r="D22" s="180">
        <v>354.6</v>
      </c>
      <c r="E22" s="606">
        <v>76.37</v>
      </c>
      <c r="F22" s="606">
        <v>54.9</v>
      </c>
      <c r="G22" s="606">
        <v>109</v>
      </c>
      <c r="H22" s="605">
        <v>0.70199999999999996</v>
      </c>
      <c r="I22" s="584"/>
      <c r="J22" s="584">
        <f>$Q$4*B22^4+$R$4*B22^3+$S$4*B22^2+$T$4*B22+$U$4</f>
        <v>1.0868536162540738</v>
      </c>
      <c r="K22" s="593">
        <f t="shared" si="4"/>
        <v>354.54951663627816</v>
      </c>
      <c r="L22" s="136">
        <f t="shared" si="0"/>
        <v>76.387707836202921</v>
      </c>
      <c r="M22" s="136">
        <f t="shared" si="1"/>
        <v>54.885579241057769</v>
      </c>
      <c r="N22" s="136">
        <f t="shared" si="2"/>
        <v>108.78361131846128</v>
      </c>
      <c r="O22" s="584">
        <f t="shared" si="3"/>
        <v>0.7019374360103936</v>
      </c>
      <c r="P22" s="584"/>
      <c r="Q22" s="332">
        <f t="array" ref="Q22:U24">LINEST(F9:F27,B9:B27^{1,2,3,4},TRUE,TRUE)</f>
        <v>3.1717634005963577E-11</v>
      </c>
      <c r="R22" s="332">
        <v>-5.9022939041784138E-8</v>
      </c>
      <c r="S22" s="332">
        <v>4.5853085981636459E-6</v>
      </c>
      <c r="T22" s="332">
        <v>8.8867887584962543E-2</v>
      </c>
      <c r="U22" s="332">
        <v>0.52007223942208114</v>
      </c>
    </row>
    <row r="23" spans="2:23">
      <c r="B23" s="180">
        <v>800</v>
      </c>
      <c r="C23" s="605">
        <v>1.099</v>
      </c>
      <c r="D23" s="180">
        <v>369.8</v>
      </c>
      <c r="E23" s="606">
        <v>84.93</v>
      </c>
      <c r="F23" s="606">
        <v>57.3</v>
      </c>
      <c r="G23" s="606">
        <v>120</v>
      </c>
      <c r="H23" s="605">
        <v>0.70899999999999996</v>
      </c>
      <c r="I23" s="584"/>
      <c r="J23" s="584">
        <f t="shared" si="5"/>
        <v>1.0984609821461349</v>
      </c>
      <c r="K23" s="593">
        <f t="shared" si="4"/>
        <v>369.60633777538482</v>
      </c>
      <c r="L23" s="136">
        <f t="shared" si="0"/>
        <v>84.907304094926943</v>
      </c>
      <c r="M23" s="136">
        <f t="shared" si="1"/>
        <v>57.320777909666049</v>
      </c>
      <c r="N23" s="136">
        <f t="shared" si="2"/>
        <v>119.9229171510502</v>
      </c>
      <c r="O23" s="584">
        <f t="shared" si="3"/>
        <v>0.70827317188577121</v>
      </c>
      <c r="P23" s="584"/>
      <c r="Q23" s="771">
        <v>3.7221270580883258E-12</v>
      </c>
      <c r="R23" s="771">
        <v>8.2348744024287879E-9</v>
      </c>
      <c r="S23" s="771">
        <v>6.2164327574406084E-6</v>
      </c>
      <c r="T23" s="771">
        <v>1.8384907291764639E-3</v>
      </c>
      <c r="U23" s="771">
        <v>0.17209230546083823</v>
      </c>
      <c r="V23" s="1913" t="s">
        <v>1158</v>
      </c>
      <c r="W23" s="1913"/>
    </row>
    <row r="24" spans="2:23">
      <c r="B24" s="180">
        <v>850</v>
      </c>
      <c r="C24" s="605">
        <v>1.1100000000000001</v>
      </c>
      <c r="D24" s="180">
        <v>384.3</v>
      </c>
      <c r="E24" s="606">
        <v>93.8</v>
      </c>
      <c r="F24" s="606">
        <v>59.6</v>
      </c>
      <c r="G24" s="606">
        <v>131</v>
      </c>
      <c r="H24" s="605">
        <v>0.71599999999999997</v>
      </c>
      <c r="I24" s="584"/>
      <c r="J24" s="584">
        <f t="shared" si="5"/>
        <v>1.1097643591657589</v>
      </c>
      <c r="K24" s="593">
        <f t="shared" si="4"/>
        <v>384.13163075090665</v>
      </c>
      <c r="L24" s="136">
        <f t="shared" si="0"/>
        <v>93.72567287493321</v>
      </c>
      <c r="M24" s="136">
        <f t="shared" si="1"/>
        <v>59.680002896103318</v>
      </c>
      <c r="N24" s="136">
        <f t="shared" si="2"/>
        <v>131.33219598053495</v>
      </c>
      <c r="O24" s="584">
        <f t="shared" si="3"/>
        <v>0.714400072198632</v>
      </c>
      <c r="P24" s="584"/>
      <c r="Q24" s="771">
        <v>0.99999107992221492</v>
      </c>
      <c r="R24" s="771">
        <v>6.0324670007147523E-2</v>
      </c>
      <c r="S24" s="771" t="e">
        <v>#N/A</v>
      </c>
      <c r="T24" s="771" t="e">
        <v>#N/A</v>
      </c>
      <c r="U24" s="771" t="e">
        <v>#N/A</v>
      </c>
      <c r="V24" s="1913"/>
      <c r="W24" s="1913"/>
    </row>
    <row r="25" spans="2:23">
      <c r="B25" s="180">
        <v>900</v>
      </c>
      <c r="C25" s="605">
        <v>1.121</v>
      </c>
      <c r="D25" s="180">
        <v>398.1</v>
      </c>
      <c r="E25" s="606">
        <v>102.9</v>
      </c>
      <c r="F25" s="606">
        <v>62</v>
      </c>
      <c r="G25" s="606">
        <v>143</v>
      </c>
      <c r="H25" s="605">
        <v>0.72</v>
      </c>
      <c r="I25" s="584"/>
      <c r="J25" s="584">
        <f t="shared" si="5"/>
        <v>1.120680563883552</v>
      </c>
      <c r="K25" s="593">
        <f t="shared" si="4"/>
        <v>398.11653674991948</v>
      </c>
      <c r="L25" s="136">
        <f t="shared" si="0"/>
        <v>102.83630558376879</v>
      </c>
      <c r="M25" s="136">
        <f t="shared" si="1"/>
        <v>61.997488140252997</v>
      </c>
      <c r="N25" s="136">
        <f t="shared" si="2"/>
        <v>143.06153942167671</v>
      </c>
      <c r="O25" s="584">
        <f t="shared" si="3"/>
        <v>0.71978929420738558</v>
      </c>
      <c r="P25" s="584"/>
    </row>
    <row r="26" spans="2:23">
      <c r="B26" s="180">
        <v>950</v>
      </c>
      <c r="C26" s="605">
        <v>1.131</v>
      </c>
      <c r="D26" s="180">
        <v>411.3</v>
      </c>
      <c r="E26" s="606">
        <v>112.2</v>
      </c>
      <c r="F26" s="606">
        <v>64.3</v>
      </c>
      <c r="G26" s="606">
        <v>155</v>
      </c>
      <c r="H26" s="605">
        <v>0.72299999999999998</v>
      </c>
      <c r="I26" s="584"/>
      <c r="J26" s="584">
        <f t="shared" si="5"/>
        <v>1.1311719714305524</v>
      </c>
      <c r="K26" s="593">
        <f t="shared" si="4"/>
        <v>411.5284099577006</v>
      </c>
      <c r="L26" s="136">
        <f t="shared" si="0"/>
        <v>112.23608140905625</v>
      </c>
      <c r="M26" s="136">
        <f t="shared" si="1"/>
        <v>64.312225227099376</v>
      </c>
      <c r="N26" s="136">
        <f t="shared" si="2"/>
        <v>155.18137438457808</v>
      </c>
      <c r="O26" s="584">
        <f t="shared" si="3"/>
        <v>0.72388072949171345</v>
      </c>
      <c r="P26" s="584"/>
      <c r="Q26" s="594" t="s">
        <v>872</v>
      </c>
    </row>
    <row r="27" spans="2:23">
      <c r="B27" s="180">
        <v>1000</v>
      </c>
      <c r="C27" s="605">
        <v>1.141</v>
      </c>
      <c r="D27" s="180">
        <v>424.4</v>
      </c>
      <c r="E27" s="606">
        <v>121.9</v>
      </c>
      <c r="F27" s="606">
        <v>66.7</v>
      </c>
      <c r="G27" s="606">
        <v>168</v>
      </c>
      <c r="H27" s="605">
        <v>0.72599999999999998</v>
      </c>
      <c r="I27" s="584"/>
      <c r="J27" s="584">
        <f t="shared" si="5"/>
        <v>1.1412465154982316</v>
      </c>
      <c r="K27" s="593">
        <f t="shared" si="4"/>
        <v>424.3108175577284</v>
      </c>
      <c r="L27" s="136">
        <f t="shared" si="0"/>
        <v>121.92526731849389</v>
      </c>
      <c r="M27" s="136">
        <f t="shared" si="1"/>
        <v>66.66796338672772</v>
      </c>
      <c r="N27" s="136">
        <f t="shared" si="2"/>
        <v>167.78246307468277</v>
      </c>
      <c r="O27" s="584">
        <f t="shared" si="3"/>
        <v>0.72608300395256919</v>
      </c>
      <c r="P27" s="584"/>
      <c r="Q27" t="s">
        <v>869</v>
      </c>
      <c r="R27" t="s">
        <v>868</v>
      </c>
      <c r="S27" t="s">
        <v>867</v>
      </c>
      <c r="T27" t="s">
        <v>866</v>
      </c>
      <c r="U27" t="s">
        <v>865</v>
      </c>
    </row>
    <row r="28" spans="2:23">
      <c r="Q28" s="332">
        <f t="array" ref="Q28:U30">LINEST(G9:G27,B9:B27^{1,2,3,4},TRUE,TRUE)</f>
        <v>1.3556863560902054E-10</v>
      </c>
      <c r="R28" s="332">
        <v>-3.8058767782822785E-7</v>
      </c>
      <c r="S28" s="332">
        <v>4.46482543839259E-4</v>
      </c>
      <c r="T28" s="332">
        <v>-3.5935527709455684E-2</v>
      </c>
      <c r="U28" s="332">
        <v>2.2544891640867988</v>
      </c>
    </row>
    <row r="29" spans="2:23">
      <c r="B29" s="196" t="s">
        <v>871</v>
      </c>
      <c r="Q29" s="771">
        <v>1.1751447809526765E-11</v>
      </c>
      <c r="R29" s="771">
        <v>2.5999030997037343E-8</v>
      </c>
      <c r="S29" s="771">
        <v>1.9626435092201076E-5</v>
      </c>
      <c r="T29" s="771">
        <v>5.8044573747872679E-3</v>
      </c>
      <c r="U29" s="771">
        <v>0.54332743468539479</v>
      </c>
      <c r="V29" s="1913" t="s">
        <v>1158</v>
      </c>
      <c r="W29" s="1913"/>
    </row>
    <row r="30" spans="2:23">
      <c r="Q30" s="771">
        <v>0.99999016062225266</v>
      </c>
      <c r="R30" s="771">
        <v>0.19045620962224993</v>
      </c>
      <c r="S30" s="771" t="e">
        <v>#N/A</v>
      </c>
      <c r="T30" s="771" t="e">
        <v>#N/A</v>
      </c>
      <c r="U30" s="771" t="e">
        <v>#N/A</v>
      </c>
      <c r="V30" s="1913"/>
      <c r="W30" s="1913"/>
    </row>
    <row r="31" spans="2:23">
      <c r="C31" s="176"/>
    </row>
    <row r="32" spans="2:23">
      <c r="Q32" s="594" t="s">
        <v>870</v>
      </c>
    </row>
    <row r="33" spans="3:23">
      <c r="C33" s="176"/>
      <c r="Q33" t="s">
        <v>869</v>
      </c>
      <c r="R33" t="s">
        <v>868</v>
      </c>
      <c r="S33" t="s">
        <v>867</v>
      </c>
      <c r="T33" t="s">
        <v>866</v>
      </c>
      <c r="U33" t="s">
        <v>865</v>
      </c>
    </row>
    <row r="34" spans="3:23">
      <c r="Q34" s="332">
        <f t="array" ref="Q34:U36">LINEST(H9:H27,B9:B27^{1,2,3,4},TRUE,TRUE)</f>
        <v>-2.0843785818883019E-13</v>
      </c>
      <c r="R34" s="332">
        <v>-1.7278723430301445E-11</v>
      </c>
      <c r="S34" s="332">
        <v>8.0062429381988664E-7</v>
      </c>
      <c r="T34" s="332">
        <v>-6.946059259984442E-4</v>
      </c>
      <c r="U34" s="332">
        <v>0.84578121775025839</v>
      </c>
    </row>
    <row r="35" spans="3:23">
      <c r="Q35" s="771">
        <v>8.6312891387033503E-14</v>
      </c>
      <c r="R35" s="771">
        <v>1.9095958004393081E-10</v>
      </c>
      <c r="S35" s="771">
        <v>1.4415367262700141E-7</v>
      </c>
      <c r="T35" s="771">
        <v>4.2633002083753841E-5</v>
      </c>
      <c r="U35" s="771">
        <v>3.9906709894567422E-3</v>
      </c>
      <c r="V35" s="1913" t="s">
        <v>1158</v>
      </c>
      <c r="W35" s="1913"/>
    </row>
    <row r="36" spans="3:23">
      <c r="Q36" s="771">
        <v>0.99793029043537729</v>
      </c>
      <c r="R36" s="771">
        <v>1.3988766662252946E-3</v>
      </c>
      <c r="S36" s="771" t="e">
        <v>#N/A</v>
      </c>
      <c r="T36" s="771" t="e">
        <v>#N/A</v>
      </c>
      <c r="U36" s="771" t="e">
        <v>#N/A</v>
      </c>
      <c r="V36" s="1913"/>
      <c r="W36" s="1913"/>
    </row>
    <row r="38" spans="3:23">
      <c r="Q38" s="594" t="s">
        <v>1227</v>
      </c>
      <c r="R38" s="793"/>
    </row>
    <row r="39" spans="3:23">
      <c r="Q39" t="s">
        <v>1229</v>
      </c>
    </row>
    <row r="40" spans="3:23">
      <c r="Q40" t="s">
        <v>1230</v>
      </c>
      <c r="R40">
        <v>101.325</v>
      </c>
      <c r="S40" t="s">
        <v>33</v>
      </c>
    </row>
    <row r="41" spans="3:23">
      <c r="Q41" t="s">
        <v>71</v>
      </c>
      <c r="R41">
        <v>28.965</v>
      </c>
      <c r="S41" t="s">
        <v>138</v>
      </c>
    </row>
    <row r="42" spans="3:23">
      <c r="Q42" t="s">
        <v>1231</v>
      </c>
      <c r="R42">
        <v>8.3140000000000001</v>
      </c>
    </row>
    <row r="44" spans="3:23">
      <c r="Q44" t="s">
        <v>1228</v>
      </c>
    </row>
    <row r="45" spans="3:23">
      <c r="Q45" s="332">
        <f>R40*R41/R42</f>
        <v>353.0044052201107</v>
      </c>
    </row>
  </sheetData>
  <mergeCells count="10">
    <mergeCell ref="J6:O6"/>
    <mergeCell ref="C6:H6"/>
    <mergeCell ref="B2:O2"/>
    <mergeCell ref="Q1:U1"/>
    <mergeCell ref="V5:W6"/>
    <mergeCell ref="V11:W12"/>
    <mergeCell ref="V17:W18"/>
    <mergeCell ref="V23:W24"/>
    <mergeCell ref="V29:W30"/>
    <mergeCell ref="V35:W36"/>
  </mergeCells>
  <hyperlinks>
    <hyperlink ref="B3" r:id="rId1" xr:uid="{5B5790BE-EB17-4C77-BDA2-E03889EDEDEA}"/>
  </hyperlinks>
  <pageMargins left="0.25" right="0.25" top="0.75" bottom="0.75" header="0.3" footer="0.3"/>
  <pageSetup paperSize="9" scale="78" orientation="landscape" horizontalDpi="4294967293" verticalDpi="4294967293" r:id="rId2"/>
  <colBreaks count="1" manualBreakCount="1">
    <brk id="15" max="1048575" man="1"/>
  </colBreaks>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24191-7756-4647-8EE5-19B5B5E8C301}">
  <sheetPr codeName="Feuil12">
    <tabColor theme="7" tint="0.79998168889431442"/>
  </sheetPr>
  <dimension ref="A1:X32"/>
  <sheetViews>
    <sheetView workbookViewId="0"/>
  </sheetViews>
  <sheetFormatPr baseColWidth="10" defaultColWidth="9.21875" defaultRowHeight="14.4"/>
  <cols>
    <col min="1" max="1" width="4.21875" customWidth="1"/>
    <col min="5" max="5" width="9.44140625" customWidth="1"/>
    <col min="6" max="6" width="8.77734375" customWidth="1"/>
    <col min="7" max="7" width="12" bestFit="1" customWidth="1"/>
    <col min="8" max="8" width="8" customWidth="1"/>
    <col min="9" max="9" width="9.5546875" customWidth="1"/>
    <col min="10" max="10" width="9.21875" customWidth="1"/>
    <col min="11" max="11" width="11.77734375" bestFit="1" customWidth="1"/>
    <col min="12" max="13" width="12" bestFit="1" customWidth="1"/>
    <col min="14" max="15" width="9.21875" bestFit="1" customWidth="1"/>
    <col min="16" max="17" width="9.21875" customWidth="1"/>
    <col min="18" max="19" width="12.77734375" bestFit="1" customWidth="1"/>
    <col min="20" max="20" width="12.44140625" bestFit="1" customWidth="1"/>
    <col min="21" max="21" width="11" bestFit="1" customWidth="1"/>
    <col min="22" max="22" width="10.5546875" bestFit="1" customWidth="1"/>
    <col min="24" max="24" width="9.21875" bestFit="1" customWidth="1"/>
    <col min="25" max="25" width="12.77734375" bestFit="1" customWidth="1"/>
    <col min="26" max="26" width="12" bestFit="1" customWidth="1"/>
    <col min="27" max="28" width="9.21875" bestFit="1" customWidth="1"/>
  </cols>
  <sheetData>
    <row r="1" spans="1:24">
      <c r="A1" s="583"/>
      <c r="B1" s="584"/>
      <c r="C1" s="584"/>
      <c r="D1" s="584"/>
      <c r="E1" s="584"/>
      <c r="F1" s="584"/>
      <c r="G1" s="584"/>
      <c r="H1" s="176"/>
      <c r="R1" s="1916"/>
      <c r="S1" s="1916"/>
      <c r="T1" s="1916"/>
      <c r="U1" s="1916"/>
      <c r="V1" s="1916"/>
    </row>
    <row r="2" spans="1:24" ht="36.6">
      <c r="A2" s="585"/>
      <c r="B2" s="1915" t="s">
        <v>1153</v>
      </c>
      <c r="C2" s="1915"/>
      <c r="D2" s="1915"/>
      <c r="E2" s="1915"/>
      <c r="F2" s="1915"/>
      <c r="G2" s="1915"/>
      <c r="H2" s="1915"/>
      <c r="I2" s="1915"/>
      <c r="J2" s="1915"/>
      <c r="K2" s="1915"/>
      <c r="L2" s="1915"/>
      <c r="M2" s="1915"/>
      <c r="N2" s="1915"/>
      <c r="O2" s="1915"/>
      <c r="R2" s="607"/>
      <c r="X2" s="594"/>
    </row>
    <row r="3" spans="1:24">
      <c r="A3" s="583"/>
      <c r="B3" s="586" t="s">
        <v>788</v>
      </c>
      <c r="C3" s="584"/>
      <c r="D3" s="584"/>
      <c r="E3" s="584"/>
      <c r="I3" s="587" t="s">
        <v>487</v>
      </c>
      <c r="J3" s="588" t="s">
        <v>884</v>
      </c>
      <c r="K3" s="589"/>
    </row>
    <row r="4" spans="1:24">
      <c r="A4" s="583"/>
      <c r="B4" s="590" t="s">
        <v>789</v>
      </c>
      <c r="C4" s="584"/>
      <c r="D4" s="584"/>
      <c r="E4" s="584"/>
      <c r="I4" s="587" t="s">
        <v>790</v>
      </c>
      <c r="J4" s="591" t="s">
        <v>791</v>
      </c>
      <c r="K4" s="591"/>
    </row>
    <row r="6" spans="1:24">
      <c r="B6" s="3" t="s">
        <v>895</v>
      </c>
    </row>
    <row r="7" spans="1:24">
      <c r="B7" t="s">
        <v>170</v>
      </c>
      <c r="C7" t="s">
        <v>316</v>
      </c>
      <c r="D7" t="s">
        <v>888</v>
      </c>
      <c r="G7" s="594" t="s">
        <v>894</v>
      </c>
      <c r="P7" s="180"/>
      <c r="Q7" s="180"/>
      <c r="R7" s="3"/>
    </row>
    <row r="8" spans="1:24">
      <c r="B8" t="s">
        <v>316</v>
      </c>
      <c r="C8" t="s">
        <v>805</v>
      </c>
      <c r="D8" t="s">
        <v>805</v>
      </c>
      <c r="G8" t="s">
        <v>893</v>
      </c>
      <c r="H8" t="s">
        <v>892</v>
      </c>
      <c r="I8" t="s">
        <v>891</v>
      </c>
      <c r="J8" t="s">
        <v>890</v>
      </c>
      <c r="P8" s="180"/>
      <c r="Q8" s="180"/>
      <c r="R8" s="3"/>
    </row>
    <row r="9" spans="1:24">
      <c r="B9">
        <v>400</v>
      </c>
      <c r="C9">
        <v>58.7</v>
      </c>
      <c r="D9" s="136">
        <f>$G$9*B9^3+$H$9*B9^2+$I$9*B9+$J$9</f>
        <v>58.699999999999989</v>
      </c>
      <c r="G9" s="774">
        <f t="array" ref="G9:J11">LINEST(C9:C12,B9:B12^{1,2,3},TRUE,TRUE)</f>
        <v>2.0833333333331473E-9</v>
      </c>
      <c r="H9" s="774">
        <v>3.6704440637576654E-19</v>
      </c>
      <c r="I9" s="774">
        <v>-5.1083333333333571E-2</v>
      </c>
      <c r="J9" s="332">
        <v>79.000000000000043</v>
      </c>
      <c r="P9" s="584"/>
    </row>
    <row r="10" spans="1:24">
      <c r="B10">
        <v>600</v>
      </c>
      <c r="C10">
        <v>48.8</v>
      </c>
      <c r="D10" s="136">
        <f>$G$9*B10^3+$H$9*B10^2+$I$9*B10+$J$9</f>
        <v>48.8</v>
      </c>
      <c r="G10" s="771">
        <v>0</v>
      </c>
      <c r="H10" s="771">
        <v>0</v>
      </c>
      <c r="I10" s="771">
        <v>0</v>
      </c>
      <c r="J10" s="771">
        <v>0</v>
      </c>
      <c r="K10" s="1917" t="s">
        <v>1158</v>
      </c>
      <c r="L10" s="1917"/>
      <c r="P10" s="584"/>
      <c r="R10" s="597"/>
      <c r="S10" s="597"/>
      <c r="T10" s="597"/>
      <c r="U10" s="597"/>
      <c r="V10" s="597"/>
    </row>
    <row r="11" spans="1:24">
      <c r="B11">
        <v>800</v>
      </c>
      <c r="C11">
        <v>39.200000000000003</v>
      </c>
      <c r="D11" s="136">
        <f>$G$9*B11^3+$H$9*B11^2+$I$9*B11+$J$9</f>
        <v>39.199999999999989</v>
      </c>
      <c r="G11" s="771">
        <v>1</v>
      </c>
      <c r="H11" s="771">
        <v>0</v>
      </c>
      <c r="I11" s="771" t="e">
        <v>#N/A</v>
      </c>
      <c r="J11" s="771" t="e">
        <v>#N/A</v>
      </c>
      <c r="K11" s="1917"/>
      <c r="L11" s="1917"/>
      <c r="P11" s="584"/>
    </row>
    <row r="12" spans="1:24">
      <c r="B12">
        <v>1000</v>
      </c>
      <c r="C12" s="593">
        <v>30</v>
      </c>
      <c r="D12" s="136">
        <f>$G$9*B12^3+$H$9*B12^2+$I$9*B12+$J$9</f>
        <v>29.999999999999986</v>
      </c>
      <c r="P12" s="584"/>
    </row>
    <row r="13" spans="1:24">
      <c r="P13" s="584"/>
    </row>
    <row r="14" spans="1:24">
      <c r="B14" s="3" t="s">
        <v>889</v>
      </c>
      <c r="P14" s="584"/>
      <c r="R14" s="3"/>
    </row>
    <row r="15" spans="1:24">
      <c r="B15" t="s">
        <v>170</v>
      </c>
      <c r="C15" t="s">
        <v>316</v>
      </c>
      <c r="D15" t="s">
        <v>888</v>
      </c>
      <c r="P15" s="584"/>
    </row>
    <row r="16" spans="1:24">
      <c r="B16" t="s">
        <v>316</v>
      </c>
      <c r="C16" t="s">
        <v>805</v>
      </c>
      <c r="D16" t="s">
        <v>805</v>
      </c>
      <c r="G16" s="594" t="s">
        <v>887</v>
      </c>
      <c r="P16" s="584"/>
    </row>
    <row r="17" spans="2:18">
      <c r="B17">
        <v>310</v>
      </c>
      <c r="C17" s="584">
        <v>5.5E-2</v>
      </c>
      <c r="D17" s="595">
        <f t="shared" ref="D17:D22" si="0">$G$18*B17^4+$H$18*B17^3+$I$18*B17^2+$J$18*B17+$K$18</f>
        <v>5.5085129131576156E-2</v>
      </c>
      <c r="G17" t="s">
        <v>869</v>
      </c>
      <c r="H17" t="s">
        <v>868</v>
      </c>
      <c r="I17" t="s">
        <v>867</v>
      </c>
      <c r="J17" t="s">
        <v>866</v>
      </c>
      <c r="K17" t="s">
        <v>865</v>
      </c>
      <c r="P17" s="584"/>
    </row>
    <row r="18" spans="2:18">
      <c r="B18">
        <v>365</v>
      </c>
      <c r="C18" s="584">
        <v>5.8999999999999997E-2</v>
      </c>
      <c r="D18" s="595">
        <f t="shared" si="0"/>
        <v>5.8689597180103234E-2</v>
      </c>
      <c r="G18" s="332">
        <f t="array" ref="G18:K20">LINEST(C17:C22,B17:B22^{1,2,3,4},TRUE,TRUE)</f>
        <v>3.1571145066949835E-13</v>
      </c>
      <c r="H18" s="332">
        <v>-7.4641409880469617E-10</v>
      </c>
      <c r="I18" s="332">
        <v>7.3655470313128447E-7</v>
      </c>
      <c r="J18" s="332">
        <v>-2.2488083011171439E-4</v>
      </c>
      <c r="K18" s="332">
        <v>7.3336040366444422E-2</v>
      </c>
      <c r="P18" s="584"/>
    </row>
    <row r="19" spans="2:18">
      <c r="B19">
        <v>420</v>
      </c>
      <c r="C19" s="584">
        <v>6.3E-2</v>
      </c>
      <c r="D19" s="595">
        <f t="shared" si="0"/>
        <v>6.3337994181665372E-2</v>
      </c>
      <c r="G19" s="771">
        <v>9.1150066721115415E-13</v>
      </c>
      <c r="H19" s="771">
        <v>1.9171639537169332E-9</v>
      </c>
      <c r="I19" s="771">
        <v>1.4673917996666513E-6</v>
      </c>
      <c r="J19" s="771">
        <v>4.8355639788389445E-4</v>
      </c>
      <c r="K19" s="771">
        <v>5.7855679102829828E-2</v>
      </c>
      <c r="L19" s="1917" t="s">
        <v>1158</v>
      </c>
      <c r="M19" s="1917"/>
      <c r="P19" s="584"/>
    </row>
    <row r="20" spans="2:18">
      <c r="B20">
        <v>530</v>
      </c>
      <c r="C20" s="584">
        <v>7.4999999999999997E-2</v>
      </c>
      <c r="D20" s="595">
        <f t="shared" si="0"/>
        <v>7.4834676758967988E-2</v>
      </c>
      <c r="G20" s="771">
        <v>0.99986380049760448</v>
      </c>
      <c r="H20" s="771">
        <v>4.9963085170359441E-4</v>
      </c>
      <c r="I20" s="771" t="e">
        <v>#N/A</v>
      </c>
      <c r="J20" s="771" t="e">
        <v>#N/A</v>
      </c>
      <c r="K20" s="771" t="e">
        <v>#N/A</v>
      </c>
      <c r="L20" s="1917"/>
      <c r="M20" s="1917"/>
      <c r="P20" s="584"/>
      <c r="R20" s="3"/>
    </row>
    <row r="21" spans="2:18">
      <c r="B21">
        <v>645</v>
      </c>
      <c r="C21" s="584">
        <v>8.8999999999999996E-2</v>
      </c>
      <c r="D21" s="595">
        <f t="shared" si="0"/>
        <v>8.906553619851626E-2</v>
      </c>
      <c r="P21" s="584"/>
    </row>
    <row r="22" spans="2:18">
      <c r="B22">
        <v>750</v>
      </c>
      <c r="C22" s="584">
        <v>0.104</v>
      </c>
      <c r="D22" s="595">
        <f t="shared" si="0"/>
        <v>0.10398706654917089</v>
      </c>
      <c r="P22" s="584"/>
    </row>
    <row r="23" spans="2:18">
      <c r="P23" s="584"/>
    </row>
    <row r="24" spans="2:18">
      <c r="P24" s="584"/>
    </row>
    <row r="25" spans="2:18">
      <c r="B25" s="196" t="s">
        <v>871</v>
      </c>
      <c r="P25" s="584"/>
    </row>
    <row r="26" spans="2:18">
      <c r="P26" s="584"/>
      <c r="R26" s="594"/>
    </row>
    <row r="27" spans="2:18">
      <c r="P27" s="584"/>
    </row>
    <row r="32" spans="2:18">
      <c r="R32" s="594"/>
    </row>
  </sheetData>
  <mergeCells count="4">
    <mergeCell ref="R1:V1"/>
    <mergeCell ref="B2:O2"/>
    <mergeCell ref="K10:L11"/>
    <mergeCell ref="L19:M20"/>
  </mergeCells>
  <hyperlinks>
    <hyperlink ref="B3" r:id="rId1" xr:uid="{586E6558-8E4C-4E78-AB3E-AE4E432F4D6B}"/>
  </hyperlinks>
  <pageMargins left="0.25" right="0.25" top="0.75" bottom="0.75" header="0.3" footer="0.3"/>
  <pageSetup paperSize="9" scale="78" orientation="portrait" horizontalDpi="4294967293" verticalDpi="4294967293" r:id="rId2"/>
  <colBreaks count="1" manualBreakCount="1">
    <brk id="15" max="1048575" man="1"/>
  </colBreaks>
  <drawing r:id="rId3"/>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5BE0F-4536-4B4B-AB1E-B81FCBE302D4}">
  <sheetPr codeName="Feuil41">
    <tabColor theme="9" tint="0.79998168889431442"/>
  </sheetPr>
  <dimension ref="B1:L53"/>
  <sheetViews>
    <sheetView topLeftCell="A19" workbookViewId="0">
      <selection activeCell="G47" sqref="G47"/>
    </sheetView>
  </sheetViews>
  <sheetFormatPr baseColWidth="10" defaultColWidth="11.44140625" defaultRowHeight="14.4"/>
  <cols>
    <col min="1" max="1" width="12" customWidth="1"/>
    <col min="2" max="2" width="85.77734375" customWidth="1"/>
    <col min="3" max="3" width="22.5546875" style="129" customWidth="1"/>
    <col min="4" max="6" width="14" customWidth="1"/>
    <col min="7" max="7" width="16.44140625" customWidth="1"/>
    <col min="8" max="8" width="27.77734375" customWidth="1"/>
    <col min="9" max="9" width="30.21875" customWidth="1"/>
    <col min="10" max="10" width="37.21875" customWidth="1"/>
    <col min="11" max="11" width="15.77734375" bestFit="1" customWidth="1"/>
    <col min="12" max="12" width="21.77734375" bestFit="1" customWidth="1"/>
    <col min="13" max="14" width="11.44140625" customWidth="1"/>
    <col min="17" max="17" width="11.44140625" customWidth="1"/>
  </cols>
  <sheetData>
    <row r="1" spans="2:9">
      <c r="B1" s="1895" t="s">
        <v>255</v>
      </c>
      <c r="C1" s="1895"/>
      <c r="D1" s="1895"/>
      <c r="E1" s="1895"/>
      <c r="F1" s="1895"/>
      <c r="G1" s="1895"/>
      <c r="H1" s="1895"/>
    </row>
    <row r="2" spans="2:9" ht="15" customHeight="1">
      <c r="B2" s="4" t="s">
        <v>36</v>
      </c>
      <c r="C2" s="131"/>
      <c r="D2" s="5"/>
      <c r="E2" s="5"/>
      <c r="F2" s="5"/>
      <c r="G2" s="5"/>
      <c r="H2" s="5"/>
    </row>
    <row r="3" spans="2:9" ht="15" customHeight="1">
      <c r="B3" s="180" t="s">
        <v>239</v>
      </c>
      <c r="D3" s="181" t="e">
        <f>IF(D8=0,"ok",IFERROR(IF((D44-'3c. Calculator EEM 2-3'!G24)/'3c. Calculator EEM 2-3'!G24&lt;0.1,"ok","nok"),"nok"))</f>
        <v>#DIV/0!</v>
      </c>
      <c r="E3" s="181" t="e">
        <f>IF(E8=0,"ok",IFERROR(IF((E44-'3c. Calculator EEM 2-3'!I24)/'3c. Calculator EEM 2-3'!I24&lt;0.1,"ok","nok"),"nok"))</f>
        <v>#DIV/0!</v>
      </c>
      <c r="F3" s="181" t="e">
        <f>IF(F8=0,"ok",IFERROR(IF((F44-'3c. Calculator EEM 2-3'!K24)/'3c. Calculator EEM 2-3'!K24&lt;0.1,"ok","nok"),"nok"))</f>
        <v>#DIV/0!</v>
      </c>
      <c r="G3" s="181" t="e">
        <f>IF(G8=0,"ok",IFERROR(IF((G44-'3c. Calculator EEM 2-3'!M24)/'3c. Calculator EEM 2-3'!M24&lt;0.1,"ok","nok"),"nok"))</f>
        <v>#DIV/0!</v>
      </c>
    </row>
    <row r="4" spans="2:9" ht="15" customHeight="1">
      <c r="B4" s="141"/>
      <c r="C4" s="142" t="s">
        <v>37</v>
      </c>
      <c r="D4" s="142" t="s">
        <v>0</v>
      </c>
      <c r="E4" s="142" t="s">
        <v>1</v>
      </c>
      <c r="F4" s="142" t="s">
        <v>2</v>
      </c>
      <c r="G4" s="142" t="s">
        <v>3</v>
      </c>
      <c r="H4" s="141" t="s">
        <v>38</v>
      </c>
      <c r="I4" s="129"/>
    </row>
    <row r="5" spans="2:9" ht="15" customHeight="1">
      <c r="B5" s="1" t="s">
        <v>39</v>
      </c>
      <c r="C5"/>
    </row>
    <row r="6" spans="2:9" ht="15" customHeight="1">
      <c r="B6" s="141" t="s">
        <v>241</v>
      </c>
      <c r="C6" s="141"/>
      <c r="D6" s="142"/>
      <c r="E6" s="142"/>
      <c r="F6" s="142"/>
      <c r="G6" s="142"/>
      <c r="H6" s="141"/>
    </row>
    <row r="7" spans="2:9" ht="15" customHeight="1">
      <c r="B7" t="s">
        <v>746</v>
      </c>
      <c r="C7" s="151">
        <f>'3c. Calculator EEM 2-3'!G24+'3c. Calculator EEM 2-3'!I24+'3c. Calculator EEM 2-3'!K24+'3c. Calculator EEM 2-3'!M24</f>
        <v>0</v>
      </c>
      <c r="D7" s="192"/>
      <c r="E7" s="144"/>
      <c r="F7" s="144"/>
      <c r="G7" s="144"/>
      <c r="H7" s="143" t="s">
        <v>4</v>
      </c>
    </row>
    <row r="8" spans="2:9" ht="15" customHeight="1">
      <c r="B8" s="143" t="s">
        <v>16</v>
      </c>
      <c r="C8" s="144"/>
      <c r="D8" s="193" t="e">
        <f>'3c. Calculator EEM 2-3'!G24/'P opération brûleur - avant MEE'!$C$7</f>
        <v>#DIV/0!</v>
      </c>
      <c r="E8" s="193" t="e">
        <f>'3c. Calculator EEM 2-3'!I24/'P opération brûleur - avant MEE'!$C$7</f>
        <v>#DIV/0!</v>
      </c>
      <c r="F8" s="193" t="e">
        <f>'3c. Calculator EEM 2-3'!K24/'P opération brûleur - avant MEE'!$C$7</f>
        <v>#DIV/0!</v>
      </c>
      <c r="G8" s="193" t="e">
        <f>'3c. Calculator EEM 2-3'!M24/'P opération brûleur - avant MEE'!$C$7</f>
        <v>#DIV/0!</v>
      </c>
      <c r="H8" s="143"/>
    </row>
    <row r="9" spans="2:9" ht="15" customHeight="1">
      <c r="B9" s="194"/>
      <c r="C9" s="144"/>
      <c r="D9" s="143"/>
      <c r="E9" s="143"/>
      <c r="F9" s="143"/>
      <c r="G9" s="143"/>
      <c r="H9" s="156"/>
    </row>
    <row r="10" spans="2:9" ht="15" customHeight="1">
      <c r="C10"/>
    </row>
    <row r="11" spans="2:9" ht="15" customHeight="1">
      <c r="B11" s="141" t="s">
        <v>43</v>
      </c>
      <c r="C11" s="144"/>
      <c r="D11" s="143"/>
      <c r="E11" s="143"/>
      <c r="F11" s="143"/>
      <c r="G11" s="143"/>
      <c r="H11" s="142"/>
      <c r="I11" s="129"/>
    </row>
    <row r="12" spans="2:9" ht="15" customHeight="1">
      <c r="B12" s="145" t="s">
        <v>44</v>
      </c>
      <c r="C12" s="150">
        <f>Hypothèses!D27</f>
        <v>10.889082170509718</v>
      </c>
      <c r="D12" s="143"/>
      <c r="E12" s="143"/>
      <c r="F12" s="143"/>
      <c r="G12" s="143"/>
      <c r="H12" s="143" t="s">
        <v>15</v>
      </c>
      <c r="I12" t="s">
        <v>1378</v>
      </c>
    </row>
    <row r="13" spans="2:9" ht="15" customHeight="1">
      <c r="B13" s="143" t="s">
        <v>40</v>
      </c>
      <c r="C13" s="151">
        <f>Hypothèses!D52</f>
        <v>4.1853360036591161</v>
      </c>
      <c r="D13" s="143"/>
      <c r="E13" s="143"/>
      <c r="F13" s="143"/>
      <c r="G13" s="143"/>
      <c r="H13" s="143" t="s">
        <v>41</v>
      </c>
      <c r="I13" s="129"/>
    </row>
    <row r="14" spans="2:9" ht="15" customHeight="1">
      <c r="B14" s="145" t="s">
        <v>45</v>
      </c>
      <c r="C14" s="151">
        <f>C13*C12</f>
        <v>45.574467655036877</v>
      </c>
      <c r="E14" s="143"/>
      <c r="F14" s="143"/>
      <c r="G14" s="143"/>
      <c r="H14" s="143" t="s">
        <v>42</v>
      </c>
    </row>
    <row r="15" spans="2:9" ht="15" customHeight="1">
      <c r="B15" s="145" t="s">
        <v>46</v>
      </c>
      <c r="C15" s="182">
        <f>SUM(D15:G15)</f>
        <v>0</v>
      </c>
      <c r="D15" s="182">
        <f>'3c. Calculator EEM 2-3'!G24*3600/($C$32-$C$14)</f>
        <v>0</v>
      </c>
      <c r="E15" s="182">
        <f>'3c. Calculator EEM 2-3'!I24*3600/($C$32-$C$14)</f>
        <v>0</v>
      </c>
      <c r="F15" s="182">
        <f>'3c. Calculator EEM 2-3'!K24*3600/($C$32-$C$14)</f>
        <v>0</v>
      </c>
      <c r="G15" s="182">
        <f>'3c. Calculator EEM 2-3'!M24*3600/($C$32-$C$14)</f>
        <v>0</v>
      </c>
      <c r="H15" s="143" t="s">
        <v>47</v>
      </c>
      <c r="I15" s="173" t="s">
        <v>48</v>
      </c>
    </row>
    <row r="16" spans="2:9" ht="15" customHeight="1">
      <c r="B16" s="145"/>
      <c r="C16" s="188"/>
      <c r="D16" s="391">
        <f>D15/'Facteurs conversion'!$C$14</f>
        <v>0</v>
      </c>
      <c r="E16" s="391">
        <f>E15/'Facteurs conversion'!$C$14</f>
        <v>0</v>
      </c>
      <c r="F16" s="391">
        <f>F15/'Facteurs conversion'!$C$14</f>
        <v>0</v>
      </c>
      <c r="G16" s="391">
        <f>G15/'Facteurs conversion'!$C$14</f>
        <v>0</v>
      </c>
      <c r="H16" s="198" t="s">
        <v>49</v>
      </c>
      <c r="I16" s="174" t="s">
        <v>1379</v>
      </c>
    </row>
    <row r="17" spans="2:12" ht="15" customHeight="1">
      <c r="B17" s="145" t="s">
        <v>50</v>
      </c>
      <c r="C17" s="188"/>
      <c r="D17" s="182">
        <f>$C$14*D15/3600</f>
        <v>0</v>
      </c>
      <c r="E17" s="182">
        <f t="shared" ref="E17:G17" si="0">$C$14*E15/3600</f>
        <v>0</v>
      </c>
      <c r="F17" s="182">
        <f t="shared" si="0"/>
        <v>0</v>
      </c>
      <c r="G17" s="182">
        <f t="shared" si="0"/>
        <v>0</v>
      </c>
      <c r="H17" s="143" t="s">
        <v>4</v>
      </c>
      <c r="I17" s="174" t="s">
        <v>1380</v>
      </c>
    </row>
    <row r="18" spans="2:12" ht="15" customHeight="1">
      <c r="C18" s="185"/>
      <c r="D18" s="185"/>
      <c r="E18" s="185"/>
      <c r="F18" s="185"/>
      <c r="G18" s="185"/>
      <c r="I18" s="174" t="s">
        <v>1381</v>
      </c>
    </row>
    <row r="19" spans="2:12" ht="15" customHeight="1">
      <c r="B19" s="141" t="s">
        <v>51</v>
      </c>
      <c r="C19" s="188"/>
      <c r="D19" s="186"/>
      <c r="E19" s="186"/>
      <c r="F19" s="186"/>
      <c r="G19" s="186"/>
      <c r="H19" s="143"/>
    </row>
    <row r="20" spans="2:12" ht="15" customHeight="1">
      <c r="B20" s="143" t="s">
        <v>28</v>
      </c>
      <c r="C20" s="152">
        <f>Hypothèses!D27</f>
        <v>10.889082170509718</v>
      </c>
      <c r="D20" s="143"/>
      <c r="E20" s="143"/>
      <c r="F20" s="143"/>
      <c r="G20" s="143"/>
      <c r="H20" s="143" t="s">
        <v>15</v>
      </c>
    </row>
    <row r="21" spans="2:12" ht="15" customHeight="1">
      <c r="B21" s="145" t="s">
        <v>52</v>
      </c>
      <c r="C21" s="182">
        <f>C13*C20</f>
        <v>45.574467655036877</v>
      </c>
      <c r="D21" s="186"/>
      <c r="E21" s="186"/>
      <c r="F21" s="186"/>
      <c r="G21" s="186"/>
      <c r="H21" s="143" t="s">
        <v>42</v>
      </c>
    </row>
    <row r="22" spans="2:12" ht="15" customHeight="1">
      <c r="C22" s="185"/>
      <c r="D22" s="185"/>
      <c r="E22" s="185"/>
      <c r="F22" s="185"/>
      <c r="G22" s="185"/>
    </row>
    <row r="23" spans="2:12" ht="15" customHeight="1">
      <c r="B23" s="6"/>
      <c r="C23"/>
      <c r="K23" s="6"/>
    </row>
    <row r="24" spans="2:12" ht="15" customHeight="1">
      <c r="B24" s="549" t="s">
        <v>1382</v>
      </c>
      <c r="C24" s="147"/>
      <c r="D24" s="143"/>
      <c r="E24" s="143"/>
      <c r="F24" s="143"/>
      <c r="G24" s="143"/>
      <c r="H24" s="143"/>
      <c r="K24" s="6"/>
    </row>
    <row r="25" spans="2:12" ht="15" customHeight="1">
      <c r="B25" s="550" t="s">
        <v>1383</v>
      </c>
      <c r="C25" s="144"/>
      <c r="D25" s="182">
        <f t="shared" ref="D25:G26" si="1">D15</f>
        <v>0</v>
      </c>
      <c r="E25" s="182">
        <f t="shared" si="1"/>
        <v>0</v>
      </c>
      <c r="F25" s="182">
        <f t="shared" si="1"/>
        <v>0</v>
      </c>
      <c r="G25" s="182">
        <f t="shared" si="1"/>
        <v>0</v>
      </c>
      <c r="H25" s="143" t="s">
        <v>47</v>
      </c>
      <c r="K25" s="6"/>
    </row>
    <row r="26" spans="2:12" ht="15" customHeight="1">
      <c r="B26" s="550"/>
      <c r="C26" s="144"/>
      <c r="D26" s="391">
        <f t="shared" si="1"/>
        <v>0</v>
      </c>
      <c r="E26" s="391">
        <f t="shared" si="1"/>
        <v>0</v>
      </c>
      <c r="F26" s="391">
        <f t="shared" si="1"/>
        <v>0</v>
      </c>
      <c r="G26" s="391">
        <f t="shared" si="1"/>
        <v>0</v>
      </c>
      <c r="H26" s="198" t="s">
        <v>49</v>
      </c>
      <c r="K26" s="6"/>
    </row>
    <row r="27" spans="2:12" ht="15" customHeight="1">
      <c r="B27" s="550" t="s">
        <v>53</v>
      </c>
      <c r="C27" s="144"/>
      <c r="D27" s="182">
        <f>D25</f>
        <v>0</v>
      </c>
      <c r="E27" s="182">
        <f t="shared" ref="E27:G27" si="2">E25</f>
        <v>0</v>
      </c>
      <c r="F27" s="182">
        <f t="shared" si="2"/>
        <v>0</v>
      </c>
      <c r="G27" s="182">
        <f t="shared" si="2"/>
        <v>0</v>
      </c>
      <c r="H27" s="143" t="s">
        <v>47</v>
      </c>
    </row>
    <row r="28" spans="2:12" ht="15" customHeight="1">
      <c r="B28" s="550"/>
      <c r="C28" s="144"/>
      <c r="D28" s="391">
        <f>D26</f>
        <v>0</v>
      </c>
      <c r="E28" s="391">
        <f t="shared" ref="E28:G28" si="3">E26</f>
        <v>0</v>
      </c>
      <c r="F28" s="391">
        <f t="shared" si="3"/>
        <v>0</v>
      </c>
      <c r="G28" s="391">
        <f t="shared" si="3"/>
        <v>0</v>
      </c>
      <c r="H28" s="198" t="s">
        <v>49</v>
      </c>
    </row>
    <row r="29" spans="2:12" ht="15" customHeight="1">
      <c r="B29" s="550" t="s">
        <v>751</v>
      </c>
      <c r="C29" s="144"/>
      <c r="D29" s="182">
        <f>D27*$C$32/3600</f>
        <v>0</v>
      </c>
      <c r="E29" s="182">
        <f>E27*$C$32/3600</f>
        <v>0</v>
      </c>
      <c r="F29" s="182">
        <f>F27*$C$32/3600</f>
        <v>0</v>
      </c>
      <c r="G29" s="182">
        <f>G27*$C$32/3600</f>
        <v>0</v>
      </c>
      <c r="H29" s="143" t="s">
        <v>4</v>
      </c>
    </row>
    <row r="30" spans="2:12" ht="15" customHeight="1">
      <c r="B30" s="6"/>
      <c r="C30"/>
      <c r="L30" s="176"/>
    </row>
    <row r="31" spans="2:12" ht="15" customHeight="1">
      <c r="B31" s="549" t="s">
        <v>54</v>
      </c>
      <c r="C31" s="144"/>
      <c r="D31" s="143"/>
      <c r="E31" s="143"/>
      <c r="F31" s="143"/>
      <c r="G31" s="143"/>
      <c r="H31" s="143"/>
    </row>
    <row r="32" spans="2:12" ht="15" customHeight="1">
      <c r="B32" s="551" t="s">
        <v>1384</v>
      </c>
      <c r="C32" s="151">
        <f>C13*Hypothèses!D36</f>
        <v>334.8268802927293</v>
      </c>
      <c r="D32" s="143"/>
      <c r="E32" s="143"/>
      <c r="F32" s="143"/>
      <c r="G32" s="143"/>
      <c r="H32" s="143" t="s">
        <v>42</v>
      </c>
    </row>
    <row r="33" spans="2:12" ht="15" customHeight="1">
      <c r="B33" s="134"/>
      <c r="C33" s="135"/>
      <c r="D33" s="135"/>
      <c r="E33" s="135"/>
      <c r="F33" s="135"/>
    </row>
    <row r="34" spans="2:12" ht="15" customHeight="1">
      <c r="B34" s="141" t="s">
        <v>10</v>
      </c>
      <c r="C34" s="147"/>
      <c r="D34" s="143"/>
      <c r="E34" s="143"/>
      <c r="F34" s="143"/>
      <c r="G34" s="143"/>
      <c r="H34" s="143"/>
    </row>
    <row r="35" spans="2:12" ht="15" customHeight="1">
      <c r="B35" s="146" t="s">
        <v>249</v>
      </c>
      <c r="C35" s="144"/>
      <c r="D35" s="153">
        <f>Combustion_Chaud1!G2</f>
        <v>1.0044118150193189</v>
      </c>
      <c r="E35" s="153">
        <f>Combustion_Chaud2!G2</f>
        <v>1.0044118150193189</v>
      </c>
      <c r="F35" s="153">
        <f>Combustion_Chaud3!G2</f>
        <v>1.0044118150193189</v>
      </c>
      <c r="G35" s="153">
        <f>Combustion_Chaud4!G2</f>
        <v>1.0044118150193189</v>
      </c>
      <c r="H35" s="143"/>
      <c r="I35" s="177" t="s">
        <v>246</v>
      </c>
    </row>
    <row r="36" spans="2:12" ht="15" customHeight="1">
      <c r="B36" s="146" t="s">
        <v>247</v>
      </c>
      <c r="C36" s="144"/>
      <c r="D36" s="946" t="e">
        <f>Hypothèses!$D$50/'3c. Calculator EEM 2-3'!$G$26</f>
        <v>#DIV/0!</v>
      </c>
      <c r="E36" s="946" t="e">
        <f>Hypothèses!$E$50/'3c. Calculator EEM 2-3'!$I$26</f>
        <v>#DIV/0!</v>
      </c>
      <c r="F36" s="946" t="e">
        <f>Hypothèses!$F$50/'3c. Calculator EEM 2-3'!$K$26</f>
        <v>#DIV/0!</v>
      </c>
      <c r="G36" s="946" t="e">
        <f>Hypothèses!$G$50/'3c. Calculator EEM 2-3'!$M$26</f>
        <v>#DIV/0!</v>
      </c>
      <c r="H36" s="143"/>
    </row>
    <row r="37" spans="2:12" ht="15" customHeight="1">
      <c r="B37" s="146" t="s">
        <v>248</v>
      </c>
      <c r="C37" s="144"/>
      <c r="D37" s="556" t="e">
        <f>D35-D36</f>
        <v>#DIV/0!</v>
      </c>
      <c r="E37" s="556" t="e">
        <f t="shared" ref="E37:G37" si="4">E35-E36</f>
        <v>#DIV/0!</v>
      </c>
      <c r="F37" s="556" t="e">
        <f t="shared" si="4"/>
        <v>#DIV/0!</v>
      </c>
      <c r="G37" s="556" t="e">
        <f t="shared" si="4"/>
        <v>#DIV/0!</v>
      </c>
      <c r="H37" s="143"/>
      <c r="I37" s="178" t="s">
        <v>11</v>
      </c>
    </row>
    <row r="38" spans="2:12" ht="15" customHeight="1">
      <c r="B38" s="134"/>
      <c r="C38" s="135"/>
      <c r="D38" s="135"/>
      <c r="E38" s="135"/>
      <c r="F38" s="135"/>
    </row>
    <row r="39" spans="2:12" ht="15" customHeight="1">
      <c r="B39" s="141"/>
      <c r="C39" s="142" t="s">
        <v>37</v>
      </c>
      <c r="D39" s="142" t="s">
        <v>0</v>
      </c>
      <c r="E39" s="142" t="s">
        <v>1</v>
      </c>
      <c r="F39" s="142" t="s">
        <v>2</v>
      </c>
      <c r="G39" s="142" t="s">
        <v>3</v>
      </c>
      <c r="H39" s="141" t="s">
        <v>38</v>
      </c>
    </row>
    <row r="40" spans="2:12" ht="15" customHeight="1">
      <c r="B40" s="3"/>
      <c r="C40" s="137"/>
      <c r="D40" s="137"/>
      <c r="E40" s="137"/>
      <c r="F40" s="137"/>
      <c r="G40" s="137"/>
      <c r="H40" s="3"/>
    </row>
    <row r="41" spans="2:12" ht="15" customHeight="1">
      <c r="B41" s="141" t="s">
        <v>55</v>
      </c>
      <c r="C41" s="143"/>
      <c r="D41" s="143"/>
      <c r="E41" s="143"/>
      <c r="F41" s="143"/>
      <c r="G41" s="143"/>
      <c r="H41" s="143"/>
    </row>
    <row r="42" spans="2:12" ht="15.6">
      <c r="B42" s="143" t="s">
        <v>56</v>
      </c>
      <c r="C42" s="144"/>
      <c r="D42" s="189">
        <f>D29</f>
        <v>0</v>
      </c>
      <c r="E42" s="189">
        <f>E29</f>
        <v>0</v>
      </c>
      <c r="F42" s="189">
        <f>F29</f>
        <v>0</v>
      </c>
      <c r="G42" s="189">
        <f>G29</f>
        <v>0</v>
      </c>
      <c r="H42" s="154" t="s">
        <v>4</v>
      </c>
      <c r="J42" s="128"/>
    </row>
    <row r="43" spans="2:12" ht="15.6">
      <c r="B43" s="143" t="s">
        <v>57</v>
      </c>
      <c r="C43" s="144"/>
      <c r="D43" s="189">
        <f>D17</f>
        <v>0</v>
      </c>
      <c r="E43" s="189">
        <f>E17</f>
        <v>0</v>
      </c>
      <c r="F43" s="189">
        <f>F17</f>
        <v>0</v>
      </c>
      <c r="G43" s="189">
        <f>G17</f>
        <v>0</v>
      </c>
      <c r="H43" s="154" t="s">
        <v>4</v>
      </c>
      <c r="J43" s="128"/>
      <c r="L43" s="127"/>
    </row>
    <row r="44" spans="2:12" ht="15.6">
      <c r="B44" s="141" t="s">
        <v>58</v>
      </c>
      <c r="C44" s="144"/>
      <c r="D44" s="190">
        <f>D42-D43</f>
        <v>0</v>
      </c>
      <c r="E44" s="190">
        <f>E42-E43</f>
        <v>0</v>
      </c>
      <c r="F44" s="190">
        <f>F42-F43</f>
        <v>0</v>
      </c>
      <c r="G44" s="190">
        <f>G42-G43</f>
        <v>0</v>
      </c>
      <c r="H44" s="154" t="s">
        <v>4</v>
      </c>
      <c r="I44" s="132" t="s">
        <v>59</v>
      </c>
    </row>
    <row r="45" spans="2:12">
      <c r="B45" s="141"/>
      <c r="C45" s="144"/>
      <c r="D45" s="189">
        <f>D44*'Facteurs conversion'!$C$10</f>
        <v>0</v>
      </c>
      <c r="E45" s="189">
        <f>E44*'Facteurs conversion'!$C$10</f>
        <v>0</v>
      </c>
      <c r="F45" s="189">
        <f>F44*'Facteurs conversion'!$C$10</f>
        <v>0</v>
      </c>
      <c r="G45" s="189">
        <f>G44*'Facteurs conversion'!$C$10</f>
        <v>0</v>
      </c>
      <c r="H45" s="154" t="s">
        <v>9</v>
      </c>
    </row>
    <row r="46" spans="2:12" ht="15.6">
      <c r="B46" s="141" t="s">
        <v>60</v>
      </c>
      <c r="C46" s="144"/>
      <c r="D46" s="190">
        <f>IFERROR(D44/D37,0)</f>
        <v>0</v>
      </c>
      <c r="E46" s="190">
        <f>IFERROR(E44/E37,0)</f>
        <v>0</v>
      </c>
      <c r="F46" s="190">
        <f>IFERROR(F44/F37,0)</f>
        <v>0</v>
      </c>
      <c r="G46" s="190">
        <f>IFERROR(G44/G37,0)</f>
        <v>0</v>
      </c>
      <c r="H46" s="154" t="s">
        <v>61</v>
      </c>
    </row>
    <row r="47" spans="2:12">
      <c r="B47" s="141"/>
      <c r="C47" s="144"/>
      <c r="D47" s="188">
        <f>D46*'Facteurs conversion'!$C$10</f>
        <v>0</v>
      </c>
      <c r="E47" s="188">
        <f>E46*'Facteurs conversion'!$C$10</f>
        <v>0</v>
      </c>
      <c r="F47" s="188">
        <f>F46*'Facteurs conversion'!$C$10</f>
        <v>0</v>
      </c>
      <c r="G47" s="188">
        <f>G46*'Facteurs conversion'!$C$10</f>
        <v>0</v>
      </c>
      <c r="H47" s="154" t="s">
        <v>9</v>
      </c>
    </row>
    <row r="48" spans="2:12">
      <c r="B48" s="141"/>
      <c r="C48" s="144"/>
      <c r="D48" s="188">
        <f>D47*10^6/'Facteurs conversion'!$C$11</f>
        <v>0</v>
      </c>
      <c r="E48" s="188">
        <f>E47*10^6/'Facteurs conversion'!$C$11</f>
        <v>0</v>
      </c>
      <c r="F48" s="188">
        <f>F47*10^6/'Facteurs conversion'!$C$11</f>
        <v>0</v>
      </c>
      <c r="G48" s="188">
        <f>G47*10^6/'Facteurs conversion'!$C$11</f>
        <v>0</v>
      </c>
      <c r="H48" s="154" t="s">
        <v>62</v>
      </c>
    </row>
    <row r="49" spans="2:8">
      <c r="B49" s="3"/>
      <c r="C49" s="130"/>
      <c r="D49" s="201"/>
      <c r="E49" s="2"/>
      <c r="F49" s="2"/>
      <c r="G49" s="2"/>
      <c r="H49" s="2"/>
    </row>
    <row r="50" spans="2:8">
      <c r="D50" s="185"/>
      <c r="G50" s="2"/>
    </row>
    <row r="51" spans="2:8">
      <c r="H51" s="2"/>
    </row>
    <row r="52" spans="2:8">
      <c r="D52" s="136"/>
      <c r="E52" s="136"/>
      <c r="F52" s="136"/>
      <c r="G52" s="136"/>
    </row>
    <row r="53" spans="2:8">
      <c r="D53" s="203"/>
    </row>
  </sheetData>
  <mergeCells count="1">
    <mergeCell ref="B1:H1"/>
  </mergeCells>
  <conditionalFormatting sqref="D3:G3">
    <cfRule type="cellIs" dxfId="5" priority="1" operator="equal">
      <formula>"nok"</formula>
    </cfRule>
  </conditionalFormatting>
  <pageMargins left="0.7" right="0.7" top="0.75" bottom="0.75" header="0.3" footer="0.3"/>
  <pageSetup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A497C-FFF5-45C4-8BAD-6CE7F15A08EF}">
  <sheetPr codeName="Feuil61">
    <tabColor rgb="FF00B050"/>
  </sheetPr>
  <dimension ref="B1:N94"/>
  <sheetViews>
    <sheetView workbookViewId="0">
      <selection activeCell="Q15" sqref="Q15"/>
    </sheetView>
  </sheetViews>
  <sheetFormatPr baseColWidth="10" defaultColWidth="11.44140625" defaultRowHeight="14.4"/>
  <cols>
    <col min="1" max="1" width="12" customWidth="1"/>
    <col min="2" max="2" width="85.77734375" customWidth="1"/>
    <col min="3" max="3" width="22.5546875" style="129" customWidth="1"/>
    <col min="4" max="6" width="14" customWidth="1"/>
    <col min="7" max="10" width="17" customWidth="1"/>
    <col min="11" max="11" width="11.44140625" customWidth="1"/>
    <col min="13" max="13" width="18.21875" customWidth="1"/>
    <col min="14" max="14" width="27" customWidth="1"/>
    <col min="15" max="15" width="16.5546875" customWidth="1"/>
    <col min="17" max="17" width="11.44140625" customWidth="1"/>
  </cols>
  <sheetData>
    <row r="1" spans="2:14">
      <c r="B1" s="1895" t="s">
        <v>256</v>
      </c>
      <c r="C1" s="1895"/>
      <c r="D1" s="1895"/>
      <c r="E1" s="1895"/>
      <c r="F1" s="1895"/>
      <c r="G1" s="1895"/>
      <c r="H1" s="1895"/>
    </row>
    <row r="2" spans="2:14" ht="15" customHeight="1">
      <c r="B2" s="4" t="s">
        <v>36</v>
      </c>
      <c r="C2" s="131"/>
      <c r="D2" s="5"/>
      <c r="E2" s="5"/>
      <c r="F2" s="5"/>
      <c r="G2" s="5"/>
      <c r="H2" s="5"/>
    </row>
    <row r="3" spans="2:14" ht="15" customHeight="1">
      <c r="B3" s="180" t="s">
        <v>242</v>
      </c>
      <c r="C3" s="129" t="e">
        <f>IF(AND(C75=TRUE,D75=TRUE,E75=TRUE,F75=TRUE,G75=TRUE),"OK","NOK")</f>
        <v>#DIV/0!</v>
      </c>
      <c r="D3" s="725"/>
      <c r="E3" s="725"/>
      <c r="F3" s="725"/>
      <c r="G3" s="725"/>
    </row>
    <row r="4" spans="2:14" ht="15" customHeight="1">
      <c r="B4" s="141"/>
      <c r="C4" s="142" t="s">
        <v>37</v>
      </c>
      <c r="D4" s="142" t="s">
        <v>0</v>
      </c>
      <c r="E4" s="142" t="s">
        <v>1</v>
      </c>
      <c r="F4" s="142" t="s">
        <v>2</v>
      </c>
      <c r="G4" s="142" t="s">
        <v>3</v>
      </c>
      <c r="H4" s="141" t="s">
        <v>38</v>
      </c>
      <c r="I4" s="129"/>
      <c r="K4" s="132" t="s">
        <v>340</v>
      </c>
      <c r="L4" s="132"/>
      <c r="M4" s="132"/>
      <c r="N4" s="132"/>
    </row>
    <row r="5" spans="2:14" ht="15" customHeight="1">
      <c r="C5"/>
      <c r="J5" s="180">
        <v>0</v>
      </c>
      <c r="K5" s="323" t="s">
        <v>1457</v>
      </c>
      <c r="L5" s="323">
        <v>0</v>
      </c>
      <c r="M5" s="323" t="s">
        <v>1457</v>
      </c>
      <c r="N5" s="323">
        <v>0</v>
      </c>
    </row>
    <row r="6" spans="2:14" ht="15" customHeight="1">
      <c r="B6" s="141" t="s">
        <v>257</v>
      </c>
      <c r="C6" s="141"/>
      <c r="D6" s="142"/>
      <c r="E6" s="142"/>
      <c r="F6" s="142"/>
      <c r="G6" s="142"/>
      <c r="H6" s="141"/>
    </row>
    <row r="7" spans="2:14" ht="38.25" customHeight="1">
      <c r="B7" t="s">
        <v>396</v>
      </c>
      <c r="C7" s="137"/>
      <c r="D7" s="324" t="str">
        <f>'3c. Calculator EEM 2-3'!G48</f>
        <v>&lt; select &gt;</v>
      </c>
      <c r="E7" s="324" t="str">
        <f>'3c. Calculator EEM 2-3'!I48</f>
        <v>&lt; select &gt;</v>
      </c>
      <c r="F7" s="324" t="str">
        <f>'3c. Calculator EEM 2-3'!K48</f>
        <v>&lt; select &gt;</v>
      </c>
      <c r="G7" s="324" t="str">
        <f>'3c. Calculator EEM 2-3'!M48</f>
        <v>&lt; select &gt;</v>
      </c>
      <c r="H7" s="143"/>
      <c r="K7" s="132"/>
      <c r="L7" s="132"/>
      <c r="M7" s="132"/>
      <c r="N7" s="132"/>
    </row>
    <row r="8" spans="2:14" ht="15" customHeight="1">
      <c r="C8" s="141"/>
      <c r="D8" s="333">
        <f>IF(D7&lt;&gt;$K$5,1,0)</f>
        <v>0</v>
      </c>
      <c r="E8" s="333">
        <f>IF(E7&lt;&gt;$K$5,1,0)</f>
        <v>0</v>
      </c>
      <c r="F8" s="333">
        <f>IF(F7&lt;&gt;$K$5,1,0)</f>
        <v>0</v>
      </c>
      <c r="G8" s="333">
        <f>IF(G7&lt;&gt;$K$5,1,0)</f>
        <v>0</v>
      </c>
      <c r="H8" s="141"/>
    </row>
    <row r="9" spans="2:14" ht="15" customHeight="1">
      <c r="B9" s="143"/>
      <c r="C9" s="141"/>
      <c r="D9" s="142"/>
      <c r="E9" s="142"/>
      <c r="F9" s="142"/>
      <c r="G9" s="142"/>
      <c r="H9" s="141"/>
    </row>
    <row r="10" spans="2:14" ht="15" customHeight="1">
      <c r="C10"/>
    </row>
    <row r="11" spans="2:14" ht="15" customHeight="1">
      <c r="B11" s="141" t="s">
        <v>241</v>
      </c>
      <c r="C11" s="141"/>
      <c r="D11" s="142"/>
      <c r="E11" s="142"/>
      <c r="F11" s="142"/>
      <c r="G11" s="142"/>
      <c r="H11" s="141"/>
    </row>
    <row r="12" spans="2:14" ht="15" customHeight="1">
      <c r="B12" s="143" t="s">
        <v>240</v>
      </c>
      <c r="C12" s="151">
        <f>'3c. Calculator EEM 2-3'!G24+'3c. Calculator EEM 2-3'!I24+'3c. Calculator EEM 2-3'!K24+'3c. Calculator EEM 2-3'!M24</f>
        <v>0</v>
      </c>
      <c r="D12" s="192"/>
      <c r="E12" s="144"/>
      <c r="F12" s="144"/>
      <c r="G12" s="144"/>
      <c r="H12" s="143" t="s">
        <v>4</v>
      </c>
    </row>
    <row r="13" spans="2:14" ht="15" customHeight="1">
      <c r="B13" s="143" t="s">
        <v>253</v>
      </c>
      <c r="C13" s="144"/>
      <c r="D13" s="193" t="e">
        <f>'3c. Calculator EEM 2-3'!G24/'P opération brûleur - avant MEE'!$C$7</f>
        <v>#DIV/0!</v>
      </c>
      <c r="E13" s="193" t="e">
        <f>'3c. Calculator EEM 2-3'!I24/'P opération brûleur - avant MEE'!$C$7</f>
        <v>#DIV/0!</v>
      </c>
      <c r="F13" s="193" t="e">
        <f>'3c. Calculator EEM 2-3'!K24/'P opération brûleur - avant MEE'!$C$7</f>
        <v>#DIV/0!</v>
      </c>
      <c r="G13" s="193" t="e">
        <f>'3c. Calculator EEM 2-3'!M24/'P opération brûleur - avant MEE'!$C$7</f>
        <v>#DIV/0!</v>
      </c>
      <c r="H13" s="143"/>
    </row>
    <row r="14" spans="2:14" ht="15" customHeight="1">
      <c r="B14" s="194"/>
      <c r="C14" s="144"/>
      <c r="D14" s="143"/>
      <c r="E14" s="143"/>
      <c r="F14" s="143"/>
      <c r="G14" s="143"/>
      <c r="H14" s="156"/>
    </row>
    <row r="15" spans="2:14" ht="15" customHeight="1">
      <c r="B15" s="141" t="s">
        <v>51</v>
      </c>
      <c r="C15" s="144"/>
      <c r="D15" s="143"/>
      <c r="E15" s="143"/>
      <c r="F15" s="143"/>
      <c r="G15" s="143"/>
      <c r="H15" s="143"/>
    </row>
    <row r="16" spans="2:14" ht="15" customHeight="1">
      <c r="B16" s="204" t="s">
        <v>1386</v>
      </c>
      <c r="C16" s="205">
        <f>Hypothèses!D27</f>
        <v>10.889082170509718</v>
      </c>
      <c r="D16" s="204"/>
      <c r="E16" s="204"/>
      <c r="F16" s="204"/>
      <c r="G16" s="204"/>
      <c r="H16" s="204" t="s">
        <v>13</v>
      </c>
    </row>
    <row r="17" spans="2:13" ht="15" customHeight="1">
      <c r="B17" s="148" t="s">
        <v>1455</v>
      </c>
      <c r="C17" s="210">
        <f>Hypothèses!D52*(C16)</f>
        <v>45.574467655036877</v>
      </c>
      <c r="D17" s="204"/>
      <c r="E17" s="204"/>
      <c r="F17" s="204"/>
      <c r="G17" s="204"/>
      <c r="H17" s="204" t="s">
        <v>42</v>
      </c>
    </row>
    <row r="18" spans="2:13" ht="15" customHeight="1">
      <c r="B18" s="148" t="s">
        <v>1387</v>
      </c>
      <c r="C18" s="372">
        <f>C21</f>
        <v>0</v>
      </c>
      <c r="D18" s="204"/>
      <c r="E18" s="204"/>
      <c r="F18" s="204"/>
      <c r="G18" s="204"/>
      <c r="H18" s="204" t="s">
        <v>47</v>
      </c>
      <c r="I18" t="s">
        <v>1378</v>
      </c>
    </row>
    <row r="19" spans="2:13" ht="15" customHeight="1">
      <c r="C19" s="141"/>
      <c r="D19" s="142"/>
      <c r="E19" s="142"/>
      <c r="F19" s="142"/>
      <c r="G19" s="142"/>
      <c r="H19" s="141"/>
      <c r="J19" s="177"/>
    </row>
    <row r="20" spans="2:13" ht="15" customHeight="1">
      <c r="B20" s="141" t="s">
        <v>43</v>
      </c>
      <c r="C20" s="144"/>
      <c r="D20" s="143"/>
      <c r="E20" s="143"/>
      <c r="F20" s="143"/>
      <c r="G20" s="143"/>
      <c r="H20" s="142"/>
      <c r="I20" s="129"/>
    </row>
    <row r="21" spans="2:13" ht="15" customHeight="1">
      <c r="B21" s="145" t="s">
        <v>1084</v>
      </c>
      <c r="C21" s="182">
        <f>SUM(D21:G21)</f>
        <v>0</v>
      </c>
      <c r="D21" s="182">
        <f>'P opération brûleur - avant MEE'!D15</f>
        <v>0</v>
      </c>
      <c r="E21" s="182">
        <f>'P opération brûleur - avant MEE'!E15</f>
        <v>0</v>
      </c>
      <c r="F21" s="182">
        <f>'P opération brûleur - avant MEE'!F15</f>
        <v>0</v>
      </c>
      <c r="G21" s="182">
        <f>'P opération brûleur - avant MEE'!G15</f>
        <v>0</v>
      </c>
      <c r="H21" s="143" t="s">
        <v>47</v>
      </c>
    </row>
    <row r="22" spans="2:13" ht="15" customHeight="1">
      <c r="B22" s="145"/>
      <c r="C22" s="144"/>
      <c r="D22" s="183">
        <f>D21/'Facteurs conversion'!$C$14</f>
        <v>0</v>
      </c>
      <c r="E22" s="183">
        <f>E21/'Facteurs conversion'!$C$14</f>
        <v>0</v>
      </c>
      <c r="F22" s="183">
        <f>F21/'Facteurs conversion'!$C$14</f>
        <v>0</v>
      </c>
      <c r="G22" s="183">
        <f>G21/'Facteurs conversion'!$C$14</f>
        <v>0</v>
      </c>
      <c r="H22" s="179" t="s">
        <v>49</v>
      </c>
    </row>
    <row r="23" spans="2:13" ht="15" customHeight="1">
      <c r="B23" s="148" t="s">
        <v>1385</v>
      </c>
      <c r="C23" s="889">
        <f>Hypothèses!D27</f>
        <v>10.889082170509718</v>
      </c>
      <c r="D23" s="209"/>
      <c r="E23" s="207"/>
      <c r="F23" s="207"/>
      <c r="G23" s="207"/>
      <c r="H23" s="200" t="s">
        <v>13</v>
      </c>
      <c r="I23" t="s">
        <v>1378</v>
      </c>
    </row>
    <row r="24" spans="2:13" ht="15" customHeight="1">
      <c r="B24" s="143" t="s">
        <v>40</v>
      </c>
      <c r="C24" s="151">
        <f>Hypothèses!D52</f>
        <v>4.1853360036591161</v>
      </c>
      <c r="D24" s="143"/>
      <c r="E24" s="143"/>
      <c r="F24" s="143"/>
      <c r="G24" s="143"/>
      <c r="H24" s="143" t="s">
        <v>41</v>
      </c>
    </row>
    <row r="25" spans="2:13" ht="15" customHeight="1">
      <c r="B25" s="145" t="s">
        <v>45</v>
      </c>
      <c r="C25" s="151">
        <f>C23*C24</f>
        <v>45.574467655036877</v>
      </c>
      <c r="D25" s="188"/>
      <c r="E25" s="188"/>
      <c r="F25" s="188"/>
      <c r="G25" s="188"/>
      <c r="H25" s="143" t="s">
        <v>42</v>
      </c>
    </row>
    <row r="26" spans="2:13" ht="15" customHeight="1">
      <c r="B26" s="145" t="s">
        <v>50</v>
      </c>
      <c r="C26" s="144"/>
      <c r="D26" s="151">
        <f>D21*$C$25/3600</f>
        <v>0</v>
      </c>
      <c r="E26" s="151">
        <f>E21*$C$25/3600</f>
        <v>0</v>
      </c>
      <c r="F26" s="151">
        <f>F21*$C$25/3600</f>
        <v>0</v>
      </c>
      <c r="G26" s="151">
        <f>G21*$C$25/3600</f>
        <v>0</v>
      </c>
      <c r="H26" s="143" t="s">
        <v>4</v>
      </c>
    </row>
    <row r="27" spans="2:13" ht="15" customHeight="1">
      <c r="C27"/>
    </row>
    <row r="28" spans="2:13" ht="15" customHeight="1">
      <c r="B28" s="141" t="s">
        <v>1382</v>
      </c>
      <c r="C28" s="147"/>
      <c r="D28" s="186"/>
      <c r="E28" s="186"/>
      <c r="F28" s="186"/>
      <c r="G28" s="186"/>
      <c r="H28" s="143"/>
    </row>
    <row r="29" spans="2:13" ht="15" customHeight="1">
      <c r="B29" s="146" t="s">
        <v>63</v>
      </c>
      <c r="C29" s="144"/>
      <c r="D29" s="187">
        <f>'P opération brûleur - avant MEE'!D27</f>
        <v>0</v>
      </c>
      <c r="E29" s="187">
        <f>'P opération brûleur - avant MEE'!E27</f>
        <v>0</v>
      </c>
      <c r="F29" s="187">
        <f>'P opération brûleur - avant MEE'!F27</f>
        <v>0</v>
      </c>
      <c r="G29" s="187">
        <f>'P opération brûleur - avant MEE'!G27</f>
        <v>0</v>
      </c>
      <c r="H29" s="143" t="s">
        <v>47</v>
      </c>
      <c r="M29" s="191"/>
    </row>
    <row r="30" spans="2:13" ht="15" customHeight="1">
      <c r="B30" s="146"/>
      <c r="C30" s="144"/>
      <c r="D30" s="184">
        <f>'P opération brûleur - avant MEE'!D28</f>
        <v>0</v>
      </c>
      <c r="E30" s="184">
        <f>'P opération brûleur - avant MEE'!E28</f>
        <v>0</v>
      </c>
      <c r="F30" s="184">
        <f>'P opération brûleur - avant MEE'!F28</f>
        <v>0</v>
      </c>
      <c r="G30" s="184">
        <f>'P opération brûleur - avant MEE'!G28</f>
        <v>0</v>
      </c>
      <c r="H30" s="179" t="s">
        <v>49</v>
      </c>
    </row>
    <row r="31" spans="2:13" ht="15" customHeight="1">
      <c r="B31" s="146" t="s">
        <v>752</v>
      </c>
      <c r="C31" s="144"/>
      <c r="D31" s="182">
        <f>D29*$C$34/3600</f>
        <v>0</v>
      </c>
      <c r="E31" s="182">
        <f>E29*$C$34/3600</f>
        <v>0</v>
      </c>
      <c r="F31" s="182">
        <f>F29*$C$34/3600</f>
        <v>0</v>
      </c>
      <c r="G31" s="182">
        <f>G29*$C$34/3600</f>
        <v>0</v>
      </c>
      <c r="H31" s="143" t="s">
        <v>4</v>
      </c>
    </row>
    <row r="32" spans="2:13" ht="15" customHeight="1">
      <c r="C32"/>
      <c r="D32" s="185"/>
      <c r="E32" s="185"/>
      <c r="F32" s="185"/>
      <c r="G32" s="185"/>
    </row>
    <row r="33" spans="2:12" ht="15" customHeight="1">
      <c r="B33" s="141" t="s">
        <v>54</v>
      </c>
      <c r="C33" s="144"/>
      <c r="D33" s="143"/>
      <c r="E33" s="143"/>
      <c r="F33" s="143"/>
      <c r="G33" s="143"/>
      <c r="H33" s="143"/>
    </row>
    <row r="34" spans="2:12" ht="15" customHeight="1">
      <c r="B34" s="149" t="s">
        <v>1384</v>
      </c>
      <c r="C34" s="151">
        <f>Hypothèses!D52*Hypothèses!D36</f>
        <v>334.8268802927293</v>
      </c>
      <c r="D34" s="143"/>
      <c r="E34" s="143"/>
      <c r="F34" s="143"/>
      <c r="G34" s="143"/>
      <c r="H34" s="143" t="s">
        <v>42</v>
      </c>
    </row>
    <row r="35" spans="2:12" ht="15" customHeight="1">
      <c r="B35" s="134"/>
      <c r="C35" s="135"/>
      <c r="D35" s="135"/>
      <c r="E35" s="135"/>
      <c r="F35" s="135"/>
    </row>
    <row r="36" spans="2:12" ht="15" customHeight="1">
      <c r="B36" s="141" t="s">
        <v>10</v>
      </c>
      <c r="C36" s="147"/>
      <c r="D36" s="143"/>
      <c r="E36" s="143"/>
      <c r="F36" s="143"/>
      <c r="G36" s="143"/>
      <c r="H36" s="143"/>
    </row>
    <row r="37" spans="2:12" ht="15" customHeight="1">
      <c r="B37" s="146" t="s">
        <v>249</v>
      </c>
      <c r="C37" s="144"/>
      <c r="D37" s="153">
        <f>IF(D8=1,'Micromodulation et sonde O2'!D93,'P opération brûleur - avant MEE'!D35)</f>
        <v>1.0044118150193189</v>
      </c>
      <c r="E37" s="153">
        <f>IF(E8=1,'Micromodulation et sonde O2'!E93,'P opération brûleur - avant MEE'!E35)</f>
        <v>1.0044118150193189</v>
      </c>
      <c r="F37" s="153">
        <f>IF(F8=1,'Micromodulation et sonde O2'!F93,'P opération brûleur - avant MEE'!F35)</f>
        <v>1.0044118150193189</v>
      </c>
      <c r="G37" s="153">
        <f>IF(G8=1,'Micromodulation et sonde O2'!G93,'P opération brûleur - avant MEE'!G35)</f>
        <v>1.0044118150193189</v>
      </c>
      <c r="H37" s="143"/>
      <c r="I37" s="177" t="s">
        <v>246</v>
      </c>
    </row>
    <row r="38" spans="2:12" ht="15" customHeight="1">
      <c r="B38" s="146" t="s">
        <v>247</v>
      </c>
      <c r="C38" s="144"/>
      <c r="D38" s="946" t="e">
        <f>Hypothèses!$D$50/'3c. Calculator EEM 2-3'!$G$26</f>
        <v>#DIV/0!</v>
      </c>
      <c r="E38" s="946" t="e">
        <f>Hypothèses!$E$50/'3c. Calculator EEM 2-3'!$I$26</f>
        <v>#DIV/0!</v>
      </c>
      <c r="F38" s="946" t="e">
        <f>Hypothèses!$F$50/'3c. Calculator EEM 2-3'!$K$26</f>
        <v>#DIV/0!</v>
      </c>
      <c r="G38" s="946" t="e">
        <f>Hypothèses!$G$50/'3c. Calculator EEM 2-3'!$M$26</f>
        <v>#DIV/0!</v>
      </c>
      <c r="H38" s="143"/>
    </row>
    <row r="39" spans="2:12" ht="15" customHeight="1">
      <c r="B39" s="146" t="s">
        <v>248</v>
      </c>
      <c r="C39" s="144"/>
      <c r="D39" s="556" t="e">
        <f>D37-D38</f>
        <v>#DIV/0!</v>
      </c>
      <c r="E39" s="556" t="e">
        <f t="shared" ref="E39:G39" si="0">E37-E38</f>
        <v>#DIV/0!</v>
      </c>
      <c r="F39" s="556" t="e">
        <f t="shared" si="0"/>
        <v>#DIV/0!</v>
      </c>
      <c r="G39" s="556" t="e">
        <f t="shared" si="0"/>
        <v>#DIV/0!</v>
      </c>
      <c r="H39" s="143"/>
      <c r="I39" s="178" t="s">
        <v>11</v>
      </c>
    </row>
    <row r="40" spans="2:12" ht="15" customHeight="1">
      <c r="B40" s="134"/>
      <c r="C40" s="135"/>
      <c r="D40" s="135"/>
      <c r="E40" s="135"/>
      <c r="F40" s="135"/>
    </row>
    <row r="41" spans="2:12" ht="15" customHeight="1">
      <c r="B41" s="141"/>
      <c r="C41" s="142" t="s">
        <v>37</v>
      </c>
      <c r="D41" s="142" t="s">
        <v>0</v>
      </c>
      <c r="E41" s="142" t="s">
        <v>1</v>
      </c>
      <c r="F41" s="142" t="s">
        <v>2</v>
      </c>
      <c r="G41" s="142" t="s">
        <v>3</v>
      </c>
      <c r="H41" s="141" t="s">
        <v>38</v>
      </c>
      <c r="I41" s="135"/>
      <c r="J41" s="135"/>
    </row>
    <row r="42" spans="2:12" ht="15" customHeight="1">
      <c r="B42" s="3"/>
      <c r="C42" s="137"/>
      <c r="D42" s="492"/>
      <c r="E42" s="492"/>
      <c r="F42" s="137"/>
      <c r="G42" s="137"/>
      <c r="H42" s="3"/>
      <c r="I42" s="135"/>
      <c r="J42" s="135"/>
    </row>
    <row r="43" spans="2:12" ht="15" customHeight="1">
      <c r="B43" s="490" t="s">
        <v>745</v>
      </c>
      <c r="C43" s="491"/>
      <c r="D43" s="491"/>
      <c r="E43" s="491"/>
      <c r="F43" s="491"/>
      <c r="G43" s="491"/>
      <c r="H43" s="208"/>
    </row>
    <row r="44" spans="2:12" ht="15" customHeight="1">
      <c r="B44" s="1919" t="s">
        <v>56</v>
      </c>
      <c r="C44" s="525"/>
      <c r="D44" s="525">
        <f>'P opération brûleur - avant MEE'!D42</f>
        <v>0</v>
      </c>
      <c r="E44" s="525">
        <f>'P opération brûleur - avant MEE'!E42</f>
        <v>0</v>
      </c>
      <c r="F44" s="525">
        <f>'P opération brûleur - avant MEE'!F42</f>
        <v>0</v>
      </c>
      <c r="G44" s="525">
        <f>'P opération brûleur - avant MEE'!G42</f>
        <v>0</v>
      </c>
      <c r="H44" s="526" t="s">
        <v>4</v>
      </c>
    </row>
    <row r="45" spans="2:12">
      <c r="B45" s="1919"/>
      <c r="C45" s="527"/>
      <c r="D45" s="528">
        <f>D31</f>
        <v>0</v>
      </c>
      <c r="E45" s="528">
        <f>E31</f>
        <v>0</v>
      </c>
      <c r="F45" s="528">
        <f>F31</f>
        <v>0</v>
      </c>
      <c r="G45" s="528">
        <f>G31</f>
        <v>0</v>
      </c>
      <c r="H45" s="529" t="s">
        <v>4</v>
      </c>
      <c r="J45" s="128"/>
    </row>
    <row r="46" spans="2:12" ht="18" customHeight="1">
      <c r="B46" s="1919" t="s">
        <v>57</v>
      </c>
      <c r="C46" s="525"/>
      <c r="D46" s="532">
        <f>'P opération brûleur - avant MEE'!D43</f>
        <v>0</v>
      </c>
      <c r="E46" s="532">
        <f>'P opération brûleur - avant MEE'!E43</f>
        <v>0</v>
      </c>
      <c r="F46" s="532">
        <f>'P opération brûleur - avant MEE'!F43</f>
        <v>0</v>
      </c>
      <c r="G46" s="532">
        <f>'P opération brûleur - avant MEE'!G43</f>
        <v>0</v>
      </c>
      <c r="H46" s="530" t="s">
        <v>4</v>
      </c>
      <c r="J46" s="128"/>
      <c r="L46" s="127"/>
    </row>
    <row r="47" spans="2:12">
      <c r="B47" s="1919"/>
      <c r="C47" s="527"/>
      <c r="D47" s="528">
        <f>D26</f>
        <v>0</v>
      </c>
      <c r="E47" s="528">
        <f>E26</f>
        <v>0</v>
      </c>
      <c r="F47" s="528">
        <f>F26</f>
        <v>0</v>
      </c>
      <c r="G47" s="528">
        <f>G26</f>
        <v>0</v>
      </c>
      <c r="H47" s="529" t="s">
        <v>4</v>
      </c>
      <c r="J47" s="128"/>
      <c r="L47" s="127"/>
    </row>
    <row r="48" spans="2:12" ht="18" customHeight="1">
      <c r="B48" s="1918" t="s">
        <v>58</v>
      </c>
      <c r="C48" s="525"/>
      <c r="D48" s="533">
        <f>'P opération brûleur - avant MEE'!D44</f>
        <v>0</v>
      </c>
      <c r="E48" s="533">
        <f>'P opération brûleur - avant MEE'!E44</f>
        <v>0</v>
      </c>
      <c r="F48" s="533">
        <f>'P opération brûleur - avant MEE'!F44</f>
        <v>0</v>
      </c>
      <c r="G48" s="533">
        <f>'P opération brûleur - avant MEE'!G44</f>
        <v>0</v>
      </c>
      <c r="H48" s="530" t="s">
        <v>4</v>
      </c>
      <c r="J48" s="128"/>
      <c r="L48" s="127"/>
    </row>
    <row r="49" spans="2:9" ht="15.6">
      <c r="B49" s="1918"/>
      <c r="C49" s="527"/>
      <c r="D49" s="534">
        <f>D45-D47</f>
        <v>0</v>
      </c>
      <c r="E49" s="534">
        <f>E45-E47</f>
        <v>0</v>
      </c>
      <c r="F49" s="534">
        <f>F45-F47</f>
        <v>0</v>
      </c>
      <c r="G49" s="534">
        <f>G45-G47</f>
        <v>0</v>
      </c>
      <c r="H49" s="529" t="s">
        <v>4</v>
      </c>
      <c r="I49" s="132" t="s">
        <v>59</v>
      </c>
    </row>
    <row r="50" spans="2:9" ht="18" customHeight="1">
      <c r="B50" s="1918" t="s">
        <v>60</v>
      </c>
      <c r="C50" s="527"/>
      <c r="D50" s="528">
        <f>D49*'Facteurs conversion'!$C$10</f>
        <v>0</v>
      </c>
      <c r="E50" s="528">
        <f>E49*'Facteurs conversion'!$C$10</f>
        <v>0</v>
      </c>
      <c r="F50" s="528">
        <f>F49*'Facteurs conversion'!$C$10</f>
        <v>0</v>
      </c>
      <c r="G50" s="528">
        <f>G49*'Facteurs conversion'!$C$10</f>
        <v>0</v>
      </c>
      <c r="H50" s="529" t="s">
        <v>9</v>
      </c>
    </row>
    <row r="51" spans="2:9" ht="18" customHeight="1">
      <c r="B51" s="1918"/>
      <c r="C51" s="525"/>
      <c r="D51" s="533">
        <f>'P opération brûleur - avant MEE'!D46</f>
        <v>0</v>
      </c>
      <c r="E51" s="535">
        <f>'P opération brûleur - avant MEE'!E46</f>
        <v>0</v>
      </c>
      <c r="F51" s="533">
        <f>'P opération brûleur - avant MEE'!F46</f>
        <v>0</v>
      </c>
      <c r="G51" s="533">
        <f>'P opération brûleur - avant MEE'!G46</f>
        <v>0</v>
      </c>
      <c r="H51" s="530" t="s">
        <v>4</v>
      </c>
    </row>
    <row r="52" spans="2:9">
      <c r="B52" s="1918"/>
      <c r="C52" s="527"/>
      <c r="D52" s="534" t="e">
        <f>D49/D39</f>
        <v>#DIV/0!</v>
      </c>
      <c r="E52" s="534" t="e">
        <f>E49/E39</f>
        <v>#DIV/0!</v>
      </c>
      <c r="F52" s="534" t="e">
        <f>F49/F39</f>
        <v>#DIV/0!</v>
      </c>
      <c r="G52" s="534" t="e">
        <f>G49/G39</f>
        <v>#DIV/0!</v>
      </c>
      <c r="H52" s="529" t="s">
        <v>4</v>
      </c>
    </row>
    <row r="53" spans="2:9">
      <c r="B53" s="1918"/>
      <c r="C53" s="527"/>
      <c r="D53" s="531" t="e">
        <f>D52*'Facteurs conversion'!$C$10</f>
        <v>#DIV/0!</v>
      </c>
      <c r="E53" s="531" t="e">
        <f>E52*'Facteurs conversion'!$C$10</f>
        <v>#DIV/0!</v>
      </c>
      <c r="F53" s="531" t="e">
        <f>F52*'Facteurs conversion'!$C$10</f>
        <v>#DIV/0!</v>
      </c>
      <c r="G53" s="531" t="e">
        <f>G52*'Facteurs conversion'!$C$10</f>
        <v>#DIV/0!</v>
      </c>
      <c r="H53" s="529" t="s">
        <v>9</v>
      </c>
    </row>
    <row r="54" spans="2:9">
      <c r="B54" s="1918"/>
      <c r="C54" s="527"/>
      <c r="D54" s="531" t="e">
        <f>D53*10^6/'Facteurs conversion'!$C$11</f>
        <v>#DIV/0!</v>
      </c>
      <c r="E54" s="531" t="e">
        <f>E53*10^6/'Facteurs conversion'!$C$11</f>
        <v>#DIV/0!</v>
      </c>
      <c r="F54" s="531" t="e">
        <f>F53*10^6/'Facteurs conversion'!$C$11</f>
        <v>#DIV/0!</v>
      </c>
      <c r="G54" s="531" t="e">
        <f>G53*10^6/'Facteurs conversion'!$C$11</f>
        <v>#DIV/0!</v>
      </c>
      <c r="H54" s="529" t="s">
        <v>62</v>
      </c>
    </row>
    <row r="55" spans="2:9">
      <c r="B55" s="3" t="s">
        <v>1289</v>
      </c>
      <c r="C55" s="130"/>
      <c r="D55" s="833" t="e">
        <f>D48/D51</f>
        <v>#DIV/0!</v>
      </c>
      <c r="E55" s="833" t="e">
        <f t="shared" ref="E55:G55" si="1">E48/E51</f>
        <v>#DIV/0!</v>
      </c>
      <c r="F55" s="833" t="e">
        <f t="shared" si="1"/>
        <v>#DIV/0!</v>
      </c>
      <c r="G55" s="833" t="e">
        <f t="shared" si="1"/>
        <v>#DIV/0!</v>
      </c>
      <c r="H55" s="833"/>
    </row>
    <row r="57" spans="2:9">
      <c r="B57" s="4" t="s">
        <v>431</v>
      </c>
      <c r="C57" s="131"/>
      <c r="D57" s="5"/>
      <c r="E57" s="5"/>
      <c r="F57" s="5"/>
      <c r="G57" s="5"/>
      <c r="H57" s="5"/>
    </row>
    <row r="58" spans="2:9">
      <c r="C58" s="142" t="s">
        <v>37</v>
      </c>
      <c r="D58" s="142" t="s">
        <v>0</v>
      </c>
      <c r="E58" s="142" t="s">
        <v>1</v>
      </c>
      <c r="F58" s="142" t="s">
        <v>2</v>
      </c>
      <c r="G58" s="142" t="s">
        <v>3</v>
      </c>
      <c r="H58" s="2"/>
    </row>
    <row r="59" spans="2:9">
      <c r="B59" s="494" t="s">
        <v>731</v>
      </c>
      <c r="C59" s="495"/>
      <c r="D59" s="496"/>
      <c r="E59" s="496"/>
      <c r="F59" s="496"/>
      <c r="G59" s="496"/>
      <c r="H59" s="497"/>
    </row>
    <row r="60" spans="2:9">
      <c r="B60" t="s">
        <v>214</v>
      </c>
      <c r="C60" s="392">
        <f>SUM(D60:G60)</f>
        <v>0</v>
      </c>
      <c r="D60" s="511">
        <f>IF(D8=1,'Micromodulation et sonde O2'!D108,0)</f>
        <v>0</v>
      </c>
      <c r="E60" s="511">
        <f>IF(E8=1,'Micromodulation et sonde O2'!E108,0)</f>
        <v>0</v>
      </c>
      <c r="F60" s="511">
        <f>IF(F8=1,'Micromodulation et sonde O2'!F108,0)</f>
        <v>0</v>
      </c>
      <c r="G60" s="511">
        <f>IF(G8=1,'Micromodulation et sonde O2'!G108,0)</f>
        <v>0</v>
      </c>
      <c r="H60" t="s">
        <v>4</v>
      </c>
      <c r="I60" s="500" t="s">
        <v>743</v>
      </c>
    </row>
    <row r="61" spans="2:9" ht="15.6">
      <c r="B61" t="s">
        <v>738</v>
      </c>
      <c r="C61" s="392">
        <f>SUM(D61:G61)</f>
        <v>0</v>
      </c>
      <c r="D61" s="519">
        <f>IF(D8=1,'Micromodulation et sonde O2'!D109,0)</f>
        <v>0</v>
      </c>
      <c r="E61" s="519">
        <f>IF(E8=1,'Micromodulation et sonde O2'!E109,0)</f>
        <v>0</v>
      </c>
      <c r="F61" s="519">
        <f>IF(F8=1,'Micromodulation et sonde O2'!F109,0)</f>
        <v>0</v>
      </c>
      <c r="G61" s="519">
        <f>IF(G8=1,'Micromodulation et sonde O2'!G109,0)</f>
        <v>0</v>
      </c>
      <c r="H61" t="s">
        <v>4</v>
      </c>
      <c r="I61" s="500" t="s">
        <v>744</v>
      </c>
    </row>
    <row r="62" spans="2:9" s="196" customFormat="1">
      <c r="B62" s="494" t="s">
        <v>732</v>
      </c>
      <c r="C62" s="512"/>
      <c r="D62" s="512"/>
      <c r="E62" s="512"/>
      <c r="F62" s="512"/>
      <c r="G62" s="512"/>
      <c r="H62" s="498"/>
    </row>
    <row r="63" spans="2:9" s="196" customFormat="1">
      <c r="B63" s="499" t="s">
        <v>739</v>
      </c>
      <c r="C63" s="155" t="e">
        <f>SUM(D63:G63)</f>
        <v>#DIV/0!</v>
      </c>
      <c r="D63" s="155" t="e">
        <f>(D48-D49)*(1/'P opération brûleur - avant MEE'!D37-1/('Micromodulation et sonde O2'!D93))*'Micromodulation et sonde O2'!D98</f>
        <v>#DIV/0!</v>
      </c>
      <c r="E63" s="155" t="e">
        <f>(E48-E49)*(1/'P opération brûleur - avant MEE'!E37-1/('Micromodulation et sonde O2'!E93))*'Micromodulation et sonde O2'!E98</f>
        <v>#DIV/0!</v>
      </c>
      <c r="F63" s="155" t="e">
        <f>(F48-F49)*(1/'P opération brûleur - avant MEE'!F37-1/('Micromodulation et sonde O2'!F93))*'Micromodulation et sonde O2'!F98</f>
        <v>#DIV/0!</v>
      </c>
      <c r="G63" s="155" t="e">
        <f>(G48-G49)*(1/'P opération brûleur - avant MEE'!G37-1/('Micromodulation et sonde O2'!G93))*'Micromodulation et sonde O2'!G98</f>
        <v>#DIV/0!</v>
      </c>
      <c r="H63" s="499" t="s">
        <v>4</v>
      </c>
      <c r="I63" s="500" t="s">
        <v>734</v>
      </c>
    </row>
    <row r="64" spans="2:9" s="196" customFormat="1" ht="15.6">
      <c r="B64" s="499" t="s">
        <v>740</v>
      </c>
      <c r="C64" s="155" t="e">
        <f>SUM(D64:G64)</f>
        <v>#DIV/0!</v>
      </c>
      <c r="D64" s="155" t="e">
        <f>(D48-D49)*(1/'P opération brûleur - avant MEE'!D37-1/('Micromodulation et sonde O2'!D93))*'Micromodulation et sonde O2'!D99</f>
        <v>#DIV/0!</v>
      </c>
      <c r="E64" s="155" t="e">
        <f>(E48-E49)*(1/'P opération brûleur - avant MEE'!E37-1/('Micromodulation et sonde O2'!E93))*'Micromodulation et sonde O2'!E99</f>
        <v>#DIV/0!</v>
      </c>
      <c r="F64" s="155" t="e">
        <f>(F48-F49)*(1/'P opération brûleur - avant MEE'!F37-1/('Micromodulation et sonde O2'!F93))*'Micromodulation et sonde O2'!F99</f>
        <v>#DIV/0!</v>
      </c>
      <c r="G64" s="155" t="e">
        <f>(G48-G49)*(1/'P opération brûleur - avant MEE'!G37-1/('Micromodulation et sonde O2'!G93))*'Micromodulation et sonde O2'!G99</f>
        <v>#DIV/0!</v>
      </c>
      <c r="H64" s="499" t="s">
        <v>4</v>
      </c>
      <c r="I64" s="500" t="s">
        <v>734</v>
      </c>
    </row>
    <row r="65" spans="2:12" s="196" customFormat="1">
      <c r="B65" s="494" t="s">
        <v>733</v>
      </c>
      <c r="C65" s="512"/>
      <c r="D65" s="512"/>
      <c r="E65" s="512"/>
      <c r="F65" s="512"/>
      <c r="G65" s="512"/>
      <c r="H65" s="498"/>
      <c r="L65" s="784"/>
    </row>
    <row r="66" spans="2:12">
      <c r="B66" t="s">
        <v>214</v>
      </c>
      <c r="C66" s="392" t="e">
        <f>SUM(D66:G66)</f>
        <v>#DIV/0!</v>
      </c>
      <c r="D66" s="157" t="e">
        <f>D60-D63</f>
        <v>#DIV/0!</v>
      </c>
      <c r="E66" s="157" t="e">
        <f t="shared" ref="D66:G67" si="2">E60-E63</f>
        <v>#DIV/0!</v>
      </c>
      <c r="F66" s="157" t="e">
        <f t="shared" si="2"/>
        <v>#DIV/0!</v>
      </c>
      <c r="G66" s="157" t="e">
        <f t="shared" si="2"/>
        <v>#DIV/0!</v>
      </c>
      <c r="H66" t="s">
        <v>4</v>
      </c>
      <c r="L66" s="784"/>
    </row>
    <row r="67" spans="2:12" ht="15.6">
      <c r="B67" t="s">
        <v>738</v>
      </c>
      <c r="C67" s="392" t="e">
        <f>SUM(D67:G67)</f>
        <v>#DIV/0!</v>
      </c>
      <c r="D67" s="157" t="e">
        <f t="shared" si="2"/>
        <v>#DIV/0!</v>
      </c>
      <c r="E67" s="157" t="e">
        <f t="shared" si="2"/>
        <v>#DIV/0!</v>
      </c>
      <c r="F67" s="157" t="e">
        <f t="shared" si="2"/>
        <v>#DIV/0!</v>
      </c>
      <c r="G67" s="157" t="e">
        <f t="shared" si="2"/>
        <v>#DIV/0!</v>
      </c>
      <c r="H67" s="499" t="s">
        <v>4</v>
      </c>
    </row>
    <row r="68" spans="2:12">
      <c r="B68" s="3" t="s">
        <v>119</v>
      </c>
      <c r="C68" s="514" t="e">
        <f>SUM(C66:C67)</f>
        <v>#DIV/0!</v>
      </c>
      <c r="D68" s="514" t="e">
        <f>SUM(D66:D67)</f>
        <v>#DIV/0!</v>
      </c>
      <c r="E68" s="514" t="e">
        <f>SUM(E66:E67)</f>
        <v>#DIV/0!</v>
      </c>
      <c r="F68" s="514" t="e">
        <f>SUM(F66:F67)</f>
        <v>#DIV/0!</v>
      </c>
      <c r="G68" s="514" t="e">
        <f>SUM(G66:G67)</f>
        <v>#DIV/0!</v>
      </c>
      <c r="H68" s="509" t="s">
        <v>4</v>
      </c>
    </row>
    <row r="69" spans="2:12" s="196" customFormat="1">
      <c r="B69" s="494" t="s">
        <v>730</v>
      </c>
      <c r="C69" s="512"/>
      <c r="D69" s="512"/>
      <c r="E69" s="512"/>
      <c r="F69" s="512"/>
      <c r="G69" s="512"/>
      <c r="H69" s="498"/>
    </row>
    <row r="70" spans="2:12" ht="15.6">
      <c r="B70" t="s">
        <v>1085</v>
      </c>
      <c r="C70" s="392"/>
      <c r="D70" s="202"/>
      <c r="E70" s="202"/>
      <c r="F70" s="202"/>
      <c r="G70" s="202"/>
    </row>
    <row r="71" spans="2:12">
      <c r="B71" s="338" t="s">
        <v>398</v>
      </c>
      <c r="C71" s="392">
        <f>SUM(D71:G71)</f>
        <v>0</v>
      </c>
      <c r="D71" s="155">
        <f t="shared" ref="D71:G72" si="3">D51</f>
        <v>0</v>
      </c>
      <c r="E71" s="155">
        <f t="shared" si="3"/>
        <v>0</v>
      </c>
      <c r="F71" s="155">
        <f t="shared" si="3"/>
        <v>0</v>
      </c>
      <c r="G71" s="155">
        <f t="shared" si="3"/>
        <v>0</v>
      </c>
      <c r="H71" t="s">
        <v>4</v>
      </c>
    </row>
    <row r="72" spans="2:12">
      <c r="B72" s="510" t="s">
        <v>432</v>
      </c>
      <c r="C72" s="393" t="e">
        <f>SUM(D72:G72)</f>
        <v>#DIV/0!</v>
      </c>
      <c r="D72" s="513" t="e">
        <f t="shared" si="3"/>
        <v>#DIV/0!</v>
      </c>
      <c r="E72" s="513" t="e">
        <f t="shared" si="3"/>
        <v>#DIV/0!</v>
      </c>
      <c r="F72" s="513" t="e">
        <f t="shared" si="3"/>
        <v>#DIV/0!</v>
      </c>
      <c r="G72" s="513" t="e">
        <f t="shared" si="3"/>
        <v>#DIV/0!</v>
      </c>
      <c r="H72" s="388" t="s">
        <v>4</v>
      </c>
    </row>
    <row r="73" spans="2:12">
      <c r="B73" s="3" t="s">
        <v>433</v>
      </c>
      <c r="C73" s="514" t="e">
        <f>C71-C72</f>
        <v>#DIV/0!</v>
      </c>
      <c r="D73" s="514" t="e">
        <f>D71-D72</f>
        <v>#DIV/0!</v>
      </c>
      <c r="E73" s="514" t="e">
        <f>E71-E72</f>
        <v>#DIV/0!</v>
      </c>
      <c r="F73" s="514" t="e">
        <f t="shared" ref="F73:G73" si="4">F71-F72</f>
        <v>#DIV/0!</v>
      </c>
      <c r="G73" s="514" t="e">
        <f t="shared" si="4"/>
        <v>#DIV/0!</v>
      </c>
      <c r="H73" s="3" t="s">
        <v>4</v>
      </c>
      <c r="I73" s="195"/>
    </row>
    <row r="74" spans="2:12">
      <c r="C74" s="834"/>
      <c r="D74" s="835"/>
      <c r="E74" s="835"/>
      <c r="F74" s="835"/>
      <c r="G74" s="835"/>
    </row>
    <row r="75" spans="2:12">
      <c r="C75" s="493" t="e">
        <f>ROUND(C68,0)=ROUND(C73,0)</f>
        <v>#DIV/0!</v>
      </c>
      <c r="D75" s="493" t="e">
        <f>ROUND(D68,0)=ROUND(D73,0)</f>
        <v>#DIV/0!</v>
      </c>
      <c r="E75" s="493" t="e">
        <f>ROUND(E68,0)=ROUND(E73,0)</f>
        <v>#DIV/0!</v>
      </c>
      <c r="F75" s="493" t="e">
        <f>ROUND(F68,0)=ROUND(F73,0)</f>
        <v>#DIV/0!</v>
      </c>
      <c r="G75" s="493" t="e">
        <f>ROUND(G68,0)=ROUND(G73,0)</f>
        <v>#DIV/0!</v>
      </c>
      <c r="H75" s="493"/>
    </row>
    <row r="76" spans="2:12">
      <c r="B76" s="202"/>
    </row>
    <row r="77" spans="2:12">
      <c r="C77" s="185"/>
      <c r="D77" s="185"/>
      <c r="E77" s="185"/>
      <c r="F77" s="185"/>
      <c r="G77" s="185"/>
    </row>
    <row r="78" spans="2:12">
      <c r="D78" s="558"/>
      <c r="E78" s="558"/>
      <c r="F78" s="558"/>
      <c r="G78" s="558"/>
    </row>
    <row r="79" spans="2:12">
      <c r="D79" s="129"/>
      <c r="E79" s="558"/>
      <c r="F79" s="558"/>
      <c r="G79" s="558"/>
    </row>
    <row r="80" spans="2:12">
      <c r="D80" s="558"/>
      <c r="E80" s="558"/>
      <c r="F80" s="558"/>
      <c r="G80" s="558"/>
    </row>
    <row r="81" spans="4:7">
      <c r="D81" s="558"/>
      <c r="E81" s="558"/>
      <c r="F81" s="558"/>
      <c r="G81" s="558"/>
    </row>
    <row r="82" spans="4:7">
      <c r="D82" s="558"/>
      <c r="E82" s="558"/>
      <c r="F82" s="558"/>
      <c r="G82" s="558"/>
    </row>
    <row r="83" spans="4:7">
      <c r="D83" s="558"/>
      <c r="E83" s="558"/>
      <c r="F83" s="558"/>
      <c r="G83" s="558"/>
    </row>
    <row r="84" spans="4:7">
      <c r="D84" s="558"/>
      <c r="E84" s="558"/>
      <c r="F84" s="558"/>
      <c r="G84" s="558"/>
    </row>
    <row r="85" spans="4:7">
      <c r="D85" s="558"/>
      <c r="E85" s="558"/>
      <c r="F85" s="558"/>
      <c r="G85" s="558"/>
    </row>
    <row r="86" spans="4:7">
      <c r="D86" s="195"/>
      <c r="E86" s="195"/>
      <c r="F86" s="195"/>
      <c r="G86" s="195"/>
    </row>
    <row r="87" spans="4:7">
      <c r="D87" s="195"/>
      <c r="E87" s="195"/>
      <c r="F87" s="195"/>
      <c r="G87" s="195"/>
    </row>
    <row r="88" spans="4:7">
      <c r="D88" s="195"/>
      <c r="E88" s="195"/>
      <c r="F88" s="195"/>
      <c r="G88" s="195"/>
    </row>
    <row r="89" spans="4:7">
      <c r="D89" s="195"/>
      <c r="E89" s="195"/>
      <c r="F89" s="195"/>
      <c r="G89" s="195"/>
    </row>
    <row r="90" spans="4:7">
      <c r="D90" s="202"/>
      <c r="E90" s="202"/>
      <c r="F90" s="202"/>
      <c r="G90" s="202"/>
    </row>
    <row r="91" spans="4:7">
      <c r="D91" s="202"/>
      <c r="E91" s="202"/>
      <c r="F91" s="202"/>
      <c r="G91" s="202"/>
    </row>
    <row r="92" spans="4:7">
      <c r="D92" s="202"/>
      <c r="E92" s="202"/>
      <c r="F92" s="202"/>
      <c r="G92" s="202"/>
    </row>
    <row r="93" spans="4:7">
      <c r="D93" s="202"/>
      <c r="E93" s="202"/>
      <c r="F93" s="202"/>
      <c r="G93" s="202"/>
    </row>
    <row r="94" spans="4:7">
      <c r="D94" s="202"/>
      <c r="E94" s="202"/>
      <c r="F94" s="202"/>
      <c r="G94" s="202"/>
    </row>
  </sheetData>
  <mergeCells count="5">
    <mergeCell ref="B50:B54"/>
    <mergeCell ref="B44:B45"/>
    <mergeCell ref="B46:B47"/>
    <mergeCell ref="B48:B49"/>
    <mergeCell ref="B1:H1"/>
  </mergeCells>
  <phoneticPr fontId="65" type="noConversion"/>
  <conditionalFormatting sqref="C3">
    <cfRule type="expression" dxfId="4" priority="1">
      <formula>$C$3="NOK"</formula>
    </cfRule>
    <cfRule type="expression" dxfId="3" priority="2">
      <formula>$C$3="OK"</formula>
    </cfRule>
  </conditionalFormatting>
  <conditionalFormatting sqref="C75:G75">
    <cfRule type="cellIs" dxfId="2" priority="4" operator="equal">
      <formula>TRUE</formula>
    </cfRule>
    <cfRule type="cellIs" dxfId="1" priority="5" operator="equal">
      <formula>FALSE</formula>
    </cfRule>
  </conditionalFormatting>
  <conditionalFormatting sqref="D3:G3">
    <cfRule type="cellIs" dxfId="0" priority="6" operator="equal">
      <formula>"nok"</formula>
    </cfRule>
  </conditionalFormatting>
  <pageMargins left="0.7" right="0.7" top="0.75" bottom="0.75" header="0.3" footer="0.3"/>
  <pageSetup orientation="portrait" horizontalDpi="4294967293"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9637-B748-4621-9F77-5E5D5B510132}">
  <sheetPr codeName="Feuil22">
    <tabColor rgb="FFFFC000"/>
  </sheetPr>
  <dimension ref="A2:X355"/>
  <sheetViews>
    <sheetView topLeftCell="A77" workbookViewId="0"/>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16384" width="11.44140625" style="19"/>
  </cols>
  <sheetData>
    <row r="2" spans="1:24">
      <c r="E2" s="20" t="s">
        <v>64</v>
      </c>
      <c r="F2" s="21" t="s">
        <v>16</v>
      </c>
      <c r="G2" s="22">
        <f>1-(G4/(G5+ABS(L27)))</f>
        <v>1.0044118150193189</v>
      </c>
    </row>
    <row r="4" spans="1:24">
      <c r="E4" s="23" t="s">
        <v>65</v>
      </c>
      <c r="F4" s="23" t="s">
        <v>66</v>
      </c>
      <c r="G4" s="255">
        <f>V27</f>
        <v>-3903.8528152104623</v>
      </c>
      <c r="H4" s="25"/>
    </row>
    <row r="5" spans="1:24">
      <c r="A5" s="26" t="s">
        <v>67</v>
      </c>
      <c r="E5" s="23" t="s">
        <v>68</v>
      </c>
      <c r="F5" s="23" t="s">
        <v>66</v>
      </c>
      <c r="G5" s="255">
        <f>P27+S27</f>
        <v>1864.5674656378285</v>
      </c>
      <c r="J5" s="1941" t="s">
        <v>339</v>
      </c>
      <c r="K5" s="1942"/>
      <c r="L5" s="1942"/>
      <c r="M5" s="1943"/>
      <c r="N5" s="1938" t="s">
        <v>69</v>
      </c>
      <c r="O5" s="1939"/>
      <c r="P5" s="1939"/>
      <c r="Q5" s="1939"/>
      <c r="R5" s="1939"/>
      <c r="S5" s="1939"/>
      <c r="T5" s="1939"/>
      <c r="U5" s="1939"/>
      <c r="V5" s="1940"/>
    </row>
    <row r="6" spans="1:24">
      <c r="A6" s="300" t="s">
        <v>338</v>
      </c>
      <c r="J6" s="1944" t="s">
        <v>337</v>
      </c>
      <c r="K6" s="1945"/>
      <c r="L6" s="1945"/>
      <c r="M6" s="1946"/>
      <c r="N6" s="1926" t="s">
        <v>336</v>
      </c>
      <c r="O6" s="1927"/>
      <c r="P6" s="1928"/>
      <c r="Q6" s="1926" t="s">
        <v>70</v>
      </c>
      <c r="R6" s="1927"/>
      <c r="S6" s="1928"/>
      <c r="T6" s="1926" t="s">
        <v>123</v>
      </c>
      <c r="U6" s="1927"/>
      <c r="V6" s="1928"/>
    </row>
    <row r="7" spans="1:24" ht="14.25" customHeight="1">
      <c r="C7" s="1935" t="s">
        <v>335</v>
      </c>
      <c r="D7" s="1920" t="s">
        <v>334</v>
      </c>
      <c r="E7" s="1937"/>
      <c r="F7" s="1920" t="s">
        <v>333</v>
      </c>
      <c r="G7" s="1921"/>
      <c r="H7" s="1921"/>
      <c r="I7" s="1921"/>
      <c r="J7" s="28" t="s">
        <v>71</v>
      </c>
      <c r="K7" s="29" t="s">
        <v>72</v>
      </c>
      <c r="L7" s="29" t="s">
        <v>332</v>
      </c>
      <c r="M7" s="1947" t="s">
        <v>331</v>
      </c>
      <c r="N7" s="30" t="s">
        <v>73</v>
      </c>
      <c r="O7" s="31">
        <f>'3c. Calculator EEM 2-3'!G34</f>
        <v>20</v>
      </c>
      <c r="P7" s="32"/>
      <c r="Q7" s="33" t="s">
        <v>73</v>
      </c>
      <c r="R7" s="34">
        <f>'3c. Calculator EEM 2-3'!G33</f>
        <v>20</v>
      </c>
      <c r="S7" s="32"/>
      <c r="T7" s="33" t="s">
        <v>73</v>
      </c>
      <c r="U7" s="34">
        <f>'3c. Calculator EEM 2-3'!G32</f>
        <v>0</v>
      </c>
      <c r="V7" s="32"/>
    </row>
    <row r="8" spans="1:24" ht="42">
      <c r="C8" s="1936"/>
      <c r="D8" s="312" t="s">
        <v>330</v>
      </c>
      <c r="E8" s="313" t="s">
        <v>329</v>
      </c>
      <c r="F8" s="1923" t="s">
        <v>74</v>
      </c>
      <c r="G8" s="1924"/>
      <c r="H8" s="1924"/>
      <c r="I8" s="1924"/>
      <c r="J8" s="35" t="s">
        <v>75</v>
      </c>
      <c r="K8" s="37" t="s">
        <v>75</v>
      </c>
      <c r="L8" s="37"/>
      <c r="M8" s="1948"/>
      <c r="N8" s="37" t="s">
        <v>76</v>
      </c>
      <c r="O8" s="37" t="s">
        <v>77</v>
      </c>
      <c r="P8" s="36" t="s">
        <v>78</v>
      </c>
      <c r="Q8" s="35" t="s">
        <v>76</v>
      </c>
      <c r="R8" s="37" t="s">
        <v>77</v>
      </c>
      <c r="S8" s="36" t="s">
        <v>78</v>
      </c>
      <c r="T8" s="35" t="s">
        <v>76</v>
      </c>
      <c r="U8" s="37" t="s">
        <v>77</v>
      </c>
      <c r="V8" s="36" t="s">
        <v>78</v>
      </c>
    </row>
    <row r="9" spans="1:24" ht="20.399999999999999">
      <c r="B9" s="19" t="s">
        <v>35</v>
      </c>
      <c r="C9" s="247" t="s">
        <v>328</v>
      </c>
      <c r="D9" s="1952" t="s">
        <v>328</v>
      </c>
      <c r="E9" s="1953"/>
      <c r="F9" s="1932" t="s">
        <v>111</v>
      </c>
      <c r="G9" s="1933"/>
      <c r="H9" s="1933"/>
      <c r="I9" s="1934"/>
      <c r="J9" s="35"/>
      <c r="K9" s="37"/>
      <c r="L9" s="37"/>
      <c r="M9" s="297" t="s">
        <v>327</v>
      </c>
      <c r="N9" s="37"/>
      <c r="O9" s="37"/>
      <c r="P9" s="36"/>
      <c r="Q9" s="37"/>
      <c r="R9" s="37"/>
      <c r="S9" s="36"/>
      <c r="T9" s="37"/>
      <c r="U9" s="37"/>
      <c r="V9" s="36"/>
    </row>
    <row r="10" spans="1:24" ht="2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row>
    <row r="11" spans="1:24" ht="15.6">
      <c r="A11" s="44" t="s">
        <v>88</v>
      </c>
      <c r="B11" s="45" t="s">
        <v>89</v>
      </c>
      <c r="C11" s="290">
        <v>31.998799999999999</v>
      </c>
      <c r="D11" s="307">
        <v>0</v>
      </c>
      <c r="E11" s="308">
        <v>0</v>
      </c>
      <c r="F11" s="47">
        <v>29.1</v>
      </c>
      <c r="G11" s="48">
        <v>1.1579999999999999</v>
      </c>
      <c r="H11" s="48">
        <v>-0.60760000000000003</v>
      </c>
      <c r="I11" s="48">
        <v>1.3109999999999999</v>
      </c>
      <c r="J11" s="49">
        <f t="shared" ref="J11:J26" si="0">N11*C11</f>
        <v>0</v>
      </c>
      <c r="K11" s="48">
        <f t="shared" ref="K11:K26" si="1">($E$29*(C11/1000))/($B$32*$B$29)*N11</f>
        <v>0</v>
      </c>
      <c r="L11" s="255">
        <f t="shared" ref="L11:L26" si="2">N11*E11</f>
        <v>0</v>
      </c>
      <c r="M11" s="279">
        <f t="shared" ref="M11:M26" si="3">N11*D11/2*$W$15</f>
        <v>0</v>
      </c>
      <c r="N11" s="51">
        <f>Combustion_Chaud1!C53/100</f>
        <v>0</v>
      </c>
      <c r="O11" s="50">
        <f t="shared" ref="O11:O26" si="4">AVERAGE($F11+$G11/100*O$7+$H11/100000*O$7^2+$I11/1000000000*O$7^3,$F11+$G11/100*$B$28+$H11/100000*$B$28^2+$I11/1000000000*$B$28^3)</f>
        <v>29.303892412703927</v>
      </c>
      <c r="P11" s="52">
        <f>N11*O11*(O$7-$B$28)</f>
        <v>0</v>
      </c>
      <c r="Q11" s="51">
        <f>Combustion_Chaud1!G88</f>
        <v>1.9809999999999999</v>
      </c>
      <c r="R11" s="50">
        <f t="shared" ref="R11:R26" si="5">AVERAGE($F11+$G11/100*R$7+$H11/100000*R$7^2+$I11/1000000000*R$7^3,$F11+$G11/100*$B$28+$H11/100000*$B$28^2+$I11/1000000000*$B$28^3)</f>
        <v>29.303892412703927</v>
      </c>
      <c r="S11" s="282">
        <f>Q11*R11*(R$7-$B$28)</f>
        <v>258.32699836957079</v>
      </c>
      <c r="T11" s="51">
        <f>Combustion_Chaud1!L79</f>
        <v>0</v>
      </c>
      <c r="U11" s="50">
        <f t="shared" ref="U11:U26" si="6">AVERAGE($F11+$G11/100*U$7+$H11/100000*U$7^2+$I11/1000000000*U$7^3,$F11+$G11/100*$B$28+$H11/100000*$B$28^2+$I11/1000000000*$B$28^3)</f>
        <v>29.189302368703927</v>
      </c>
      <c r="V11" s="282">
        <f>T11*U11*(U$7-$B$28)</f>
        <v>0</v>
      </c>
    </row>
    <row r="12" spans="1:24">
      <c r="A12" s="53" t="s">
        <v>299</v>
      </c>
      <c r="B12" s="19" t="s">
        <v>90</v>
      </c>
      <c r="C12" s="284">
        <v>28.010100000000001</v>
      </c>
      <c r="D12" s="307">
        <v>0</v>
      </c>
      <c r="E12" s="308">
        <v>-282910</v>
      </c>
      <c r="F12" s="51">
        <v>28.95</v>
      </c>
      <c r="G12" s="50">
        <v>0.41099999999999998</v>
      </c>
      <c r="H12" s="50">
        <v>0.3548</v>
      </c>
      <c r="I12" s="50">
        <v>-2.2200000000000002</v>
      </c>
      <c r="J12" s="49">
        <f t="shared" si="0"/>
        <v>0</v>
      </c>
      <c r="K12" s="50">
        <f t="shared" si="1"/>
        <v>0</v>
      </c>
      <c r="L12" s="255">
        <f t="shared" si="2"/>
        <v>0</v>
      </c>
      <c r="M12" s="279">
        <f t="shared" si="3"/>
        <v>0</v>
      </c>
      <c r="N12" s="51">
        <f>Combustion_Chaud1!C54/100</f>
        <v>0</v>
      </c>
      <c r="O12" s="50">
        <f t="shared" si="4"/>
        <v>29.024180754002948</v>
      </c>
      <c r="P12" s="52">
        <f>N12*O12*(O$7-$B$28)</f>
        <v>0</v>
      </c>
      <c r="Q12" s="285"/>
      <c r="R12" s="50">
        <f t="shared" si="5"/>
        <v>29.024180754002948</v>
      </c>
      <c r="S12" s="282">
        <f>Q12*R12*(R$7-$B$28)</f>
        <v>0</v>
      </c>
      <c r="T12" s="285"/>
      <c r="U12" s="50">
        <f t="shared" si="6"/>
        <v>28.982380034002947</v>
      </c>
      <c r="V12" s="282">
        <f>T12*U12*(U$7-$B$28)</f>
        <v>0</v>
      </c>
    </row>
    <row r="13" spans="1:24" ht="15.6">
      <c r="A13" s="53" t="s">
        <v>284</v>
      </c>
      <c r="B13" s="19" t="s">
        <v>91</v>
      </c>
      <c r="C13" s="284">
        <v>44.009500000000003</v>
      </c>
      <c r="D13" s="307">
        <v>0</v>
      </c>
      <c r="E13" s="308">
        <v>0</v>
      </c>
      <c r="F13" s="51">
        <v>36.11</v>
      </c>
      <c r="G13" s="50">
        <v>4.2329999999999997</v>
      </c>
      <c r="H13" s="50">
        <v>-2.887</v>
      </c>
      <c r="I13" s="50">
        <v>7.4640000000000004</v>
      </c>
      <c r="J13" s="49">
        <f t="shared" si="0"/>
        <v>0.28166080000000004</v>
      </c>
      <c r="K13" s="50">
        <f t="shared" si="1"/>
        <v>1.1916985502539782E-2</v>
      </c>
      <c r="L13" s="255">
        <f t="shared" si="2"/>
        <v>0</v>
      </c>
      <c r="M13" s="279">
        <f t="shared" si="3"/>
        <v>0</v>
      </c>
      <c r="N13" s="51">
        <f>Combustion_Chaud1!C55/100</f>
        <v>6.4000000000000003E-3</v>
      </c>
      <c r="O13" s="50">
        <f t="shared" si="4"/>
        <v>36.853195219340265</v>
      </c>
      <c r="P13" s="52">
        <f>N13*O13*(O$7-$B$28)</f>
        <v>1.0495789998468106</v>
      </c>
      <c r="Q13" s="285"/>
      <c r="R13" s="50">
        <f t="shared" si="5"/>
        <v>36.853195219340265</v>
      </c>
      <c r="S13" s="282">
        <f>Q13*R13*(R$7-$B$28)</f>
        <v>0</v>
      </c>
      <c r="T13" s="51">
        <f>Combustion_Chaud1!L78</f>
        <v>1.0020999999999998</v>
      </c>
      <c r="U13" s="50">
        <f t="shared" si="6"/>
        <v>36.435639363340258</v>
      </c>
      <c r="V13" s="282">
        <f>T13*U13*(U$7-$B$28)</f>
        <v>-567.76399790335086</v>
      </c>
    </row>
    <row r="14" spans="1:24" ht="15.6">
      <c r="A14" s="53" t="s">
        <v>92</v>
      </c>
      <c r="B14" s="19" t="s">
        <v>93</v>
      </c>
      <c r="C14" s="284">
        <v>2.0158800000000001</v>
      </c>
      <c r="D14" s="307">
        <v>2</v>
      </c>
      <c r="E14" s="308">
        <v>-286130</v>
      </c>
      <c r="F14" s="51">
        <v>28.84</v>
      </c>
      <c r="G14" s="50">
        <v>7.6499999999999997E-3</v>
      </c>
      <c r="H14" s="50">
        <v>0.32879999999999998</v>
      </c>
      <c r="I14" s="50">
        <v>-0.86980000000000002</v>
      </c>
      <c r="J14" s="49">
        <f t="shared" si="0"/>
        <v>0</v>
      </c>
      <c r="K14" s="50">
        <f t="shared" si="1"/>
        <v>0</v>
      </c>
      <c r="L14" s="255">
        <f t="shared" si="2"/>
        <v>0</v>
      </c>
      <c r="M14" s="279">
        <f t="shared" si="3"/>
        <v>0</v>
      </c>
      <c r="N14" s="51">
        <f>Combustion_Chaud1!C56/100</f>
        <v>0</v>
      </c>
      <c r="O14" s="50">
        <f t="shared" si="4"/>
        <v>28.842409796373442</v>
      </c>
      <c r="P14" s="52">
        <f>N14*O14*(O$7-$B$28)</f>
        <v>0</v>
      </c>
      <c r="Q14" s="285"/>
      <c r="R14" s="50">
        <f t="shared" si="5"/>
        <v>28.842409796373442</v>
      </c>
      <c r="S14" s="282">
        <f>Q14*R14*(R$7-$B$28)</f>
        <v>0</v>
      </c>
      <c r="T14" s="285"/>
      <c r="U14" s="50">
        <f t="shared" si="6"/>
        <v>28.840990675573444</v>
      </c>
      <c r="V14" s="282">
        <f>T14*U14*(U$7-$B$28)</f>
        <v>0</v>
      </c>
    </row>
    <row r="15" spans="1:24" ht="15.6">
      <c r="A15" s="53" t="s">
        <v>94</v>
      </c>
      <c r="B15" s="19" t="s">
        <v>298</v>
      </c>
      <c r="C15" s="284">
        <v>18.015280000000001</v>
      </c>
      <c r="D15" s="307">
        <v>2</v>
      </c>
      <c r="E15" s="308">
        <v>0</v>
      </c>
      <c r="F15" s="51">
        <v>33.46</v>
      </c>
      <c r="G15" s="50">
        <v>0.68799999999999994</v>
      </c>
      <c r="H15" s="50">
        <v>0.76039999999999996</v>
      </c>
      <c r="I15" s="50">
        <v>-3.593</v>
      </c>
      <c r="J15" s="49">
        <f t="shared" si="0"/>
        <v>0</v>
      </c>
      <c r="K15" s="50">
        <f t="shared" si="1"/>
        <v>0</v>
      </c>
      <c r="L15" s="255">
        <f t="shared" si="2"/>
        <v>0</v>
      </c>
      <c r="M15" s="279">
        <f t="shared" si="3"/>
        <v>0</v>
      </c>
      <c r="N15" s="51">
        <f>Combustion_Chaud1!C57/100</f>
        <v>0</v>
      </c>
      <c r="O15" s="50">
        <f t="shared" si="4"/>
        <v>33.584711006213126</v>
      </c>
      <c r="P15" s="52">
        <f>N15*(W15+O15*(O$7-$B$28))</f>
        <v>0</v>
      </c>
      <c r="Q15" s="51">
        <f>Combustion_Chaud1!G89</f>
        <v>1.089247024450259E-2</v>
      </c>
      <c r="R15" s="50">
        <f t="shared" si="5"/>
        <v>33.584711006213126</v>
      </c>
      <c r="S15" s="282">
        <f>Q15*(W15+R15*(R$7-$B$28))</f>
        <v>485.34071968848002</v>
      </c>
      <c r="T15" s="51">
        <f>Combustion_Chaud1!L81-T16</f>
        <v>6.2864878118927603E-2</v>
      </c>
      <c r="U15" s="50">
        <f t="shared" si="6"/>
        <v>33.514404578213124</v>
      </c>
      <c r="V15" s="308">
        <f>((T15-G89)*$W$15)+(T15*U15*(U$7-$B$28))</f>
        <v>2275.2287210744284</v>
      </c>
      <c r="W15" s="257">
        <v>44408</v>
      </c>
      <c r="X15" s="19" t="s">
        <v>95</v>
      </c>
    </row>
    <row r="16" spans="1:24" ht="15.6">
      <c r="A16" s="53" t="s">
        <v>96</v>
      </c>
      <c r="B16" s="19" t="s">
        <v>324</v>
      </c>
      <c r="C16" s="284">
        <f>C15</f>
        <v>18.015280000000001</v>
      </c>
      <c r="D16" s="307">
        <v>2</v>
      </c>
      <c r="E16" s="308">
        <v>0</v>
      </c>
      <c r="F16" s="51">
        <v>75.400000000000006</v>
      </c>
      <c r="G16" s="50">
        <v>0</v>
      </c>
      <c r="H16" s="50">
        <v>0</v>
      </c>
      <c r="I16" s="50">
        <v>0</v>
      </c>
      <c r="J16" s="49">
        <f t="shared" si="0"/>
        <v>0</v>
      </c>
      <c r="K16" s="50">
        <f t="shared" si="1"/>
        <v>0</v>
      </c>
      <c r="L16" s="255">
        <f t="shared" si="2"/>
        <v>0</v>
      </c>
      <c r="M16" s="279">
        <f t="shared" si="3"/>
        <v>0</v>
      </c>
      <c r="N16" s="51">
        <v>0</v>
      </c>
      <c r="O16" s="50">
        <f t="shared" si="4"/>
        <v>75.400000000000006</v>
      </c>
      <c r="P16" s="52">
        <f t="shared" ref="P16:P26" si="7">N16*O16*(O$7-$B$28)</f>
        <v>0</v>
      </c>
      <c r="Q16" s="285"/>
      <c r="R16" s="50">
        <f t="shared" si="5"/>
        <v>75.400000000000006</v>
      </c>
      <c r="S16" s="282">
        <f t="shared" ref="S16:S26" si="8">Q16*R16*(R$7-$B$28)</f>
        <v>0</v>
      </c>
      <c r="T16" s="51">
        <f>Combustion_Chaud1!L92</f>
        <v>1.9186275921255749</v>
      </c>
      <c r="U16" s="50">
        <f t="shared" si="6"/>
        <v>75.400000000000006</v>
      </c>
      <c r="V16" s="308">
        <f t="shared" ref="V16:V26" si="9">T16*U16*(U$7-$B$28)</f>
        <v>-2249.5332929394731</v>
      </c>
    </row>
    <row r="17" spans="1:22" ht="15.6">
      <c r="A17" s="53" t="s">
        <v>97</v>
      </c>
      <c r="B17" s="19" t="s">
        <v>98</v>
      </c>
      <c r="C17" s="284">
        <v>16.042459999999998</v>
      </c>
      <c r="D17" s="307">
        <v>4</v>
      </c>
      <c r="E17" s="308">
        <v>-891460</v>
      </c>
      <c r="F17" s="51">
        <v>34.31</v>
      </c>
      <c r="G17" s="50">
        <v>5.4690000000000003</v>
      </c>
      <c r="H17" s="50">
        <v>0.36609999999999998</v>
      </c>
      <c r="I17" s="50">
        <v>-11</v>
      </c>
      <c r="J17" s="49">
        <f t="shared" si="0"/>
        <v>15.347821481999999</v>
      </c>
      <c r="K17" s="50">
        <f t="shared" si="1"/>
        <v>0.6493618071686319</v>
      </c>
      <c r="L17" s="255">
        <f t="shared" si="2"/>
        <v>-852859.78200000001</v>
      </c>
      <c r="M17" s="279">
        <f t="shared" si="3"/>
        <v>84970.267200000002</v>
      </c>
      <c r="N17" s="51">
        <f>Combustion_Chaud1!C58/100</f>
        <v>0.95669999999999999</v>
      </c>
      <c r="O17" s="50">
        <f t="shared" si="4"/>
        <v>35.283224889317438</v>
      </c>
      <c r="P17" s="52">
        <f t="shared" si="7"/>
        <v>150.21180256966446</v>
      </c>
      <c r="Q17" s="285"/>
      <c r="R17" s="50">
        <f t="shared" si="5"/>
        <v>35.283224889317438</v>
      </c>
      <c r="S17" s="282">
        <f t="shared" si="8"/>
        <v>0</v>
      </c>
      <c r="T17" s="285"/>
      <c r="U17" s="50">
        <f t="shared" si="6"/>
        <v>34.735636689317438</v>
      </c>
      <c r="V17" s="282">
        <f t="shared" si="9"/>
        <v>0</v>
      </c>
    </row>
    <row r="18" spans="1:22" ht="15.6">
      <c r="A18" s="53" t="s">
        <v>99</v>
      </c>
      <c r="B18" s="19" t="s">
        <v>297</v>
      </c>
      <c r="C18" s="284">
        <v>30.09562</v>
      </c>
      <c r="D18" s="307">
        <v>6</v>
      </c>
      <c r="E18" s="308">
        <v>-1562060</v>
      </c>
      <c r="F18" s="51">
        <v>49.37</v>
      </c>
      <c r="G18" s="50">
        <v>13.92</v>
      </c>
      <c r="H18" s="50">
        <v>-5.8159999999999998</v>
      </c>
      <c r="I18" s="50">
        <v>7.28</v>
      </c>
      <c r="J18" s="49">
        <f t="shared" si="0"/>
        <v>0.4875490440000001</v>
      </c>
      <c r="K18" s="50">
        <f t="shared" si="1"/>
        <v>2.0628056474756629E-2</v>
      </c>
      <c r="L18" s="255">
        <f t="shared" si="2"/>
        <v>-25305.372000000003</v>
      </c>
      <c r="M18" s="279">
        <f t="shared" si="3"/>
        <v>2158.2288000000003</v>
      </c>
      <c r="N18" s="51">
        <f>Combustion_Chaud1!C59/100</f>
        <v>1.6200000000000003E-2</v>
      </c>
      <c r="O18" s="50">
        <f t="shared" si="4"/>
        <v>51.825659189805108</v>
      </c>
      <c r="P18" s="52">
        <f t="shared" si="7"/>
        <v>3.73611177099305</v>
      </c>
      <c r="Q18" s="285"/>
      <c r="R18" s="50">
        <f t="shared" si="5"/>
        <v>51.825659189805108</v>
      </c>
      <c r="S18" s="282">
        <f t="shared" si="8"/>
        <v>0</v>
      </c>
      <c r="T18" s="285"/>
      <c r="U18" s="50">
        <f t="shared" si="6"/>
        <v>50.445262069805104</v>
      </c>
      <c r="V18" s="282">
        <f t="shared" si="9"/>
        <v>0</v>
      </c>
    </row>
    <row r="19" spans="1:22" ht="15.6">
      <c r="A19" s="53" t="s">
        <v>100</v>
      </c>
      <c r="B19" s="19" t="s">
        <v>296</v>
      </c>
      <c r="C19" s="284">
        <v>44.095619999999997</v>
      </c>
      <c r="D19" s="307">
        <v>8</v>
      </c>
      <c r="E19" s="308">
        <v>-2220990</v>
      </c>
      <c r="F19" s="51">
        <v>68.031999999999996</v>
      </c>
      <c r="G19" s="50">
        <v>22.59</v>
      </c>
      <c r="H19" s="50">
        <v>-13.11</v>
      </c>
      <c r="I19" s="50">
        <v>31.71</v>
      </c>
      <c r="J19" s="49">
        <f t="shared" si="0"/>
        <v>6.1733868000000004E-2</v>
      </c>
      <c r="K19" s="50">
        <f t="shared" si="1"/>
        <v>2.611941775254862E-3</v>
      </c>
      <c r="L19" s="255">
        <f t="shared" si="2"/>
        <v>-3109.3860000000004</v>
      </c>
      <c r="M19" s="279">
        <f t="shared" si="3"/>
        <v>248.68480000000002</v>
      </c>
      <c r="N19" s="51">
        <f>Combustion_Chaud1!C60/100</f>
        <v>1.4000000000000002E-3</v>
      </c>
      <c r="O19" s="50">
        <f t="shared" si="4"/>
        <v>72.005488801382796</v>
      </c>
      <c r="P19" s="52">
        <f t="shared" si="7"/>
        <v>0.44859419523261485</v>
      </c>
      <c r="Q19" s="285"/>
      <c r="R19" s="50">
        <f t="shared" si="5"/>
        <v>72.005488801382796</v>
      </c>
      <c r="S19" s="282">
        <f t="shared" si="8"/>
        <v>0</v>
      </c>
      <c r="T19" s="285"/>
      <c r="U19" s="50">
        <f t="shared" si="6"/>
        <v>69.772581961382798</v>
      </c>
      <c r="V19" s="282">
        <f t="shared" si="9"/>
        <v>0</v>
      </c>
    </row>
    <row r="20" spans="1:22" ht="15.6">
      <c r="A20" s="53" t="s">
        <v>323</v>
      </c>
      <c r="B20" s="19" t="s">
        <v>322</v>
      </c>
      <c r="C20" s="284">
        <v>58.122199999999999</v>
      </c>
      <c r="D20" s="307">
        <v>10</v>
      </c>
      <c r="E20" s="308">
        <v>-2870450</v>
      </c>
      <c r="F20" s="51">
        <v>89.46</v>
      </c>
      <c r="G20" s="50">
        <v>30.13</v>
      </c>
      <c r="H20" s="50">
        <v>-18.91</v>
      </c>
      <c r="I20" s="50">
        <v>49.87</v>
      </c>
      <c r="J20" s="49">
        <f t="shared" si="0"/>
        <v>2.324888E-2</v>
      </c>
      <c r="K20" s="50">
        <f t="shared" si="1"/>
        <v>9.8365326630573758E-4</v>
      </c>
      <c r="L20" s="255">
        <f t="shared" si="2"/>
        <v>-1148.18</v>
      </c>
      <c r="M20" s="279">
        <f t="shared" si="3"/>
        <v>88.816000000000003</v>
      </c>
      <c r="N20" s="51">
        <f>Combustion_Chaud1!C61/100</f>
        <v>4.0000000000000002E-4</v>
      </c>
      <c r="O20" s="50">
        <f t="shared" si="4"/>
        <v>94.755218309944979</v>
      </c>
      <c r="P20" s="52">
        <f t="shared" si="7"/>
        <v>0.16866428859170204</v>
      </c>
      <c r="Q20" s="285"/>
      <c r="R20" s="50">
        <f t="shared" si="5"/>
        <v>94.755218309944979</v>
      </c>
      <c r="S20" s="282">
        <f t="shared" si="8"/>
        <v>0</v>
      </c>
      <c r="T20" s="285"/>
      <c r="U20" s="50">
        <f t="shared" si="6"/>
        <v>91.779838829944993</v>
      </c>
      <c r="V20" s="282">
        <f t="shared" si="9"/>
        <v>0</v>
      </c>
    </row>
    <row r="21" spans="1:22" ht="15.6">
      <c r="A21" s="53" t="s">
        <v>101</v>
      </c>
      <c r="B21" s="19" t="s">
        <v>321</v>
      </c>
      <c r="C21" s="284">
        <f>C20</f>
        <v>58.122199999999999</v>
      </c>
      <c r="D21" s="307">
        <v>10</v>
      </c>
      <c r="E21" s="309">
        <v>-2879630</v>
      </c>
      <c r="F21" s="51">
        <v>92.3</v>
      </c>
      <c r="G21" s="50">
        <v>27.88</v>
      </c>
      <c r="H21" s="50">
        <v>-15.47</v>
      </c>
      <c r="I21" s="50">
        <v>34.979999999999997</v>
      </c>
      <c r="J21" s="49">
        <f t="shared" si="0"/>
        <v>1.162444E-2</v>
      </c>
      <c r="K21" s="50">
        <f t="shared" si="1"/>
        <v>4.9182663315286879E-4</v>
      </c>
      <c r="L21" s="255">
        <f t="shared" si="2"/>
        <v>-575.92600000000004</v>
      </c>
      <c r="M21" s="279">
        <f t="shared" si="3"/>
        <v>44.408000000000001</v>
      </c>
      <c r="N21" s="51">
        <f>Combustion_Chaud1!C62/100</f>
        <v>2.0000000000000001E-4</v>
      </c>
      <c r="O21" s="50">
        <f t="shared" si="4"/>
        <v>97.206232259530026</v>
      </c>
      <c r="P21" s="52">
        <f t="shared" si="7"/>
        <v>8.6513546710981701E-2</v>
      </c>
      <c r="Q21" s="285"/>
      <c r="R21" s="50">
        <f t="shared" si="5"/>
        <v>97.206232259530026</v>
      </c>
      <c r="S21" s="282">
        <f t="shared" si="8"/>
        <v>0</v>
      </c>
      <c r="T21" s="285"/>
      <c r="U21" s="50">
        <f t="shared" si="6"/>
        <v>94.449032339530021</v>
      </c>
      <c r="V21" s="282">
        <f t="shared" si="9"/>
        <v>0</v>
      </c>
    </row>
    <row r="22" spans="1:22" ht="15.6">
      <c r="A22" s="53" t="s">
        <v>320</v>
      </c>
      <c r="B22" s="19" t="s">
        <v>292</v>
      </c>
      <c r="C22" s="284">
        <v>72.148780000000002</v>
      </c>
      <c r="D22" s="307">
        <v>12</v>
      </c>
      <c r="E22" s="308">
        <v>-3531520</v>
      </c>
      <c r="F22" s="288">
        <f>F23</f>
        <v>114.8</v>
      </c>
      <c r="G22" s="287">
        <f>G23</f>
        <v>34.090000000000003</v>
      </c>
      <c r="H22" s="287">
        <f>H23</f>
        <v>-18.989999999999998</v>
      </c>
      <c r="I22" s="287">
        <f>I23</f>
        <v>42.26</v>
      </c>
      <c r="J22" s="49">
        <f t="shared" si="0"/>
        <v>0</v>
      </c>
      <c r="K22" s="50">
        <f t="shared" si="1"/>
        <v>0</v>
      </c>
      <c r="L22" s="255">
        <f t="shared" si="2"/>
        <v>0</v>
      </c>
      <c r="M22" s="279">
        <f t="shared" si="3"/>
        <v>0</v>
      </c>
      <c r="N22" s="51">
        <f>Combustion_Chaud1!C63/100</f>
        <v>0</v>
      </c>
      <c r="O22" s="50">
        <f t="shared" si="4"/>
        <v>120.79880684203513</v>
      </c>
      <c r="P22" s="52">
        <f t="shared" si="7"/>
        <v>0</v>
      </c>
      <c r="Q22" s="285"/>
      <c r="R22" s="50">
        <f t="shared" si="5"/>
        <v>120.79880684203513</v>
      </c>
      <c r="S22" s="282">
        <f t="shared" si="8"/>
        <v>0</v>
      </c>
      <c r="T22" s="285"/>
      <c r="U22" s="50">
        <f t="shared" si="6"/>
        <v>117.42761780203513</v>
      </c>
      <c r="V22" s="282">
        <f t="shared" si="9"/>
        <v>0</v>
      </c>
    </row>
    <row r="23" spans="1:22" ht="15.6">
      <c r="A23" s="53" t="s">
        <v>291</v>
      </c>
      <c r="B23" s="19" t="s">
        <v>290</v>
      </c>
      <c r="C23" s="284">
        <f>C22</f>
        <v>72.148780000000002</v>
      </c>
      <c r="D23" s="307">
        <v>12</v>
      </c>
      <c r="E23" s="308">
        <v>-3538450</v>
      </c>
      <c r="F23" s="51">
        <v>114.8</v>
      </c>
      <c r="G23" s="50">
        <v>34.090000000000003</v>
      </c>
      <c r="H23" s="50">
        <v>-18.989999999999998</v>
      </c>
      <c r="I23" s="50">
        <v>42.26</v>
      </c>
      <c r="J23" s="49">
        <f t="shared" si="0"/>
        <v>0</v>
      </c>
      <c r="K23" s="50">
        <f t="shared" si="1"/>
        <v>0</v>
      </c>
      <c r="L23" s="255">
        <f t="shared" si="2"/>
        <v>0</v>
      </c>
      <c r="M23" s="279">
        <f t="shared" si="3"/>
        <v>0</v>
      </c>
      <c r="N23" s="51">
        <f>Combustion_Chaud1!C64/100</f>
        <v>0</v>
      </c>
      <c r="O23" s="50">
        <f t="shared" si="4"/>
        <v>120.79880684203513</v>
      </c>
      <c r="P23" s="52">
        <f t="shared" si="7"/>
        <v>0</v>
      </c>
      <c r="Q23" s="285"/>
      <c r="R23" s="50">
        <f t="shared" si="5"/>
        <v>120.79880684203513</v>
      </c>
      <c r="S23" s="282">
        <f t="shared" si="8"/>
        <v>0</v>
      </c>
      <c r="T23" s="285"/>
      <c r="U23" s="50">
        <f t="shared" si="6"/>
        <v>117.42761780203513</v>
      </c>
      <c r="V23" s="282">
        <f t="shared" si="9"/>
        <v>0</v>
      </c>
    </row>
    <row r="24" spans="1:22" ht="15.6">
      <c r="A24" s="53" t="s">
        <v>289</v>
      </c>
      <c r="B24" s="19" t="s">
        <v>288</v>
      </c>
      <c r="C24" s="284">
        <v>86.175359999999998</v>
      </c>
      <c r="D24" s="307">
        <v>14</v>
      </c>
      <c r="E24" s="308">
        <v>-4198060</v>
      </c>
      <c r="F24" s="51">
        <v>137.44</v>
      </c>
      <c r="G24" s="50">
        <v>40.85</v>
      </c>
      <c r="H24" s="50">
        <v>-23.92</v>
      </c>
      <c r="I24" s="50">
        <v>57.66</v>
      </c>
      <c r="J24" s="49">
        <f t="shared" si="0"/>
        <v>0</v>
      </c>
      <c r="K24" s="50">
        <f t="shared" si="1"/>
        <v>0</v>
      </c>
      <c r="L24" s="255">
        <f t="shared" si="2"/>
        <v>0</v>
      </c>
      <c r="M24" s="279">
        <f t="shared" si="3"/>
        <v>0</v>
      </c>
      <c r="N24" s="51">
        <f>Combustion_Chaud1!C65/100</f>
        <v>0</v>
      </c>
      <c r="O24" s="50">
        <f t="shared" si="4"/>
        <v>144.62466696263243</v>
      </c>
      <c r="P24" s="52">
        <f t="shared" si="7"/>
        <v>0</v>
      </c>
      <c r="Q24" s="285"/>
      <c r="R24" s="50">
        <f t="shared" si="5"/>
        <v>144.62466696263243</v>
      </c>
      <c r="S24" s="282">
        <f t="shared" si="8"/>
        <v>0</v>
      </c>
      <c r="T24" s="285"/>
      <c r="U24" s="50">
        <f t="shared" si="6"/>
        <v>140.58727632263245</v>
      </c>
      <c r="V24" s="282">
        <f t="shared" si="9"/>
        <v>0</v>
      </c>
    </row>
    <row r="25" spans="1:22" ht="15.6">
      <c r="A25" s="53" t="s">
        <v>102</v>
      </c>
      <c r="B25" s="19" t="s">
        <v>103</v>
      </c>
      <c r="C25" s="284">
        <v>28.013400000000001</v>
      </c>
      <c r="D25" s="307">
        <v>0</v>
      </c>
      <c r="E25" s="308">
        <v>0</v>
      </c>
      <c r="F25" s="51">
        <v>29</v>
      </c>
      <c r="G25" s="50">
        <v>0.21990000000000001</v>
      </c>
      <c r="H25" s="50">
        <v>0.57230000000000003</v>
      </c>
      <c r="I25" s="50">
        <v>-2.871</v>
      </c>
      <c r="J25" s="49">
        <f t="shared" si="0"/>
        <v>0.51544656</v>
      </c>
      <c r="K25" s="50">
        <f t="shared" si="1"/>
        <v>2.1808392161259224E-2</v>
      </c>
      <c r="L25" s="255">
        <f t="shared" si="2"/>
        <v>0</v>
      </c>
      <c r="M25" s="279">
        <f t="shared" si="3"/>
        <v>0</v>
      </c>
      <c r="N25" s="51">
        <f>Combustion_Chaud1!C66/100</f>
        <v>1.84E-2</v>
      </c>
      <c r="O25" s="50">
        <f t="shared" si="4"/>
        <v>29.040906861332303</v>
      </c>
      <c r="P25" s="52">
        <f t="shared" si="7"/>
        <v>2.3778694538058889</v>
      </c>
      <c r="Q25" s="51">
        <f>Combustion_Chaud1!G87</f>
        <v>7.4501097253831423</v>
      </c>
      <c r="R25" s="50">
        <f t="shared" si="5"/>
        <v>29.040906861332303</v>
      </c>
      <c r="S25" s="282">
        <f t="shared" si="8"/>
        <v>962.79284475493216</v>
      </c>
      <c r="T25" s="51">
        <f>Combustion_Chaud1!L77</f>
        <v>7.4501097253831423</v>
      </c>
      <c r="U25" s="50">
        <f t="shared" si="6"/>
        <v>29.017783745332302</v>
      </c>
      <c r="V25" s="282">
        <f t="shared" si="9"/>
        <v>-3361.6872134420669</v>
      </c>
    </row>
    <row r="26" spans="1:22">
      <c r="A26" s="55" t="s">
        <v>104</v>
      </c>
      <c r="B26" s="56" t="s">
        <v>105</v>
      </c>
      <c r="C26" s="281">
        <v>4.0026020000000004</v>
      </c>
      <c r="D26" s="310">
        <v>0</v>
      </c>
      <c r="E26" s="311">
        <v>0</v>
      </c>
      <c r="F26" s="59">
        <v>20.8</v>
      </c>
      <c r="G26" s="60">
        <v>0</v>
      </c>
      <c r="H26" s="60">
        <v>0</v>
      </c>
      <c r="I26" s="60">
        <v>0</v>
      </c>
      <c r="J26" s="61">
        <f t="shared" si="0"/>
        <v>1.2007806E-3</v>
      </c>
      <c r="K26" s="60">
        <f t="shared" si="1"/>
        <v>5.0804673571654341E-5</v>
      </c>
      <c r="L26" s="252">
        <f t="shared" si="2"/>
        <v>0</v>
      </c>
      <c r="M26" s="279">
        <f t="shared" si="3"/>
        <v>0</v>
      </c>
      <c r="N26" s="59">
        <f>Combustion_Chaud1!C67/100</f>
        <v>2.9999999999999997E-4</v>
      </c>
      <c r="O26" s="60">
        <f t="shared" si="4"/>
        <v>20.8</v>
      </c>
      <c r="P26" s="278">
        <f t="shared" si="7"/>
        <v>2.7767999999999994E-2</v>
      </c>
      <c r="Q26" s="277"/>
      <c r="R26" s="60">
        <f t="shared" si="5"/>
        <v>20.8</v>
      </c>
      <c r="S26" s="275">
        <f t="shared" si="8"/>
        <v>0</v>
      </c>
      <c r="T26" s="276">
        <f>L80</f>
        <v>2.9999999999999997E-4</v>
      </c>
      <c r="U26" s="60">
        <f t="shared" si="6"/>
        <v>20.8</v>
      </c>
      <c r="V26" s="275">
        <f t="shared" si="9"/>
        <v>-9.7032000000000007E-2</v>
      </c>
    </row>
    <row r="27" spans="1:22">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f>SUM(Q11:Q26)</f>
        <v>9.4420021956276443</v>
      </c>
      <c r="R27" s="63"/>
      <c r="S27" s="269">
        <f>SUM(S11:S26)</f>
        <v>1706.460562812983</v>
      </c>
      <c r="T27" s="64">
        <f>SUM(T11:T26)</f>
        <v>10.434002195627643</v>
      </c>
      <c r="U27" s="63"/>
      <c r="V27" s="269">
        <f>SUM(V11:V26)</f>
        <v>-3903.8528152104623</v>
      </c>
    </row>
    <row r="28" spans="1:22">
      <c r="A28" s="38" t="s">
        <v>319</v>
      </c>
      <c r="B28" s="268">
        <v>15.55</v>
      </c>
      <c r="C28" s="38" t="s">
        <v>318</v>
      </c>
      <c r="D28" s="38" t="s">
        <v>195</v>
      </c>
      <c r="E28" s="268">
        <v>14.73</v>
      </c>
      <c r="F28" s="19" t="s">
        <v>317</v>
      </c>
    </row>
    <row r="29" spans="1:22">
      <c r="A29" s="38"/>
      <c r="B29" s="267">
        <f>B28+273.15</f>
        <v>288.7</v>
      </c>
      <c r="C29" s="38" t="s">
        <v>316</v>
      </c>
      <c r="D29" s="38"/>
      <c r="E29" s="266">
        <f>E28/0.145038*1000</f>
        <v>101559.59127952674</v>
      </c>
      <c r="F29" s="19" t="s">
        <v>155</v>
      </c>
      <c r="J29" s="1949" t="s">
        <v>315</v>
      </c>
      <c r="K29" s="1950"/>
      <c r="L29" s="1951"/>
    </row>
    <row r="30" spans="1:22">
      <c r="A30" s="38" t="s">
        <v>314</v>
      </c>
      <c r="J30" s="265" t="s">
        <v>313</v>
      </c>
      <c r="K30" s="264" t="s">
        <v>312</v>
      </c>
      <c r="L30" s="263"/>
      <c r="N30" s="23"/>
      <c r="U30" s="24"/>
      <c r="V30" s="24"/>
    </row>
    <row r="31" spans="1:22">
      <c r="D31" s="23"/>
      <c r="J31" s="262">
        <f>K31-M27/1000</f>
        <v>795.48824120000018</v>
      </c>
      <c r="K31" s="261">
        <f>ABS(L27/1000)</f>
        <v>882.99864600000012</v>
      </c>
      <c r="L31" s="66" t="s">
        <v>107</v>
      </c>
    </row>
    <row r="32" spans="1:22">
      <c r="A32" s="38" t="s">
        <v>311</v>
      </c>
      <c r="B32" s="37">
        <v>8.3144621000000001</v>
      </c>
      <c r="C32" s="19" t="s">
        <v>310</v>
      </c>
      <c r="J32" s="256">
        <f>J31/(J27/1000)</f>
        <v>47547.797336725132</v>
      </c>
      <c r="K32" s="255">
        <f>K31/(J27/1000)</f>
        <v>52778.455411580377</v>
      </c>
      <c r="L32" s="67" t="s">
        <v>108</v>
      </c>
    </row>
    <row r="33" spans="1:13" ht="15.6">
      <c r="F33" s="24"/>
      <c r="I33" s="23"/>
      <c r="J33" s="260">
        <f>(J32/1000)*K27</f>
        <v>33.656873224180529</v>
      </c>
      <c r="K33" s="259">
        <f>(K32/1000)*K27</f>
        <v>37.359412680586914</v>
      </c>
      <c r="L33" s="67" t="s">
        <v>109</v>
      </c>
      <c r="M33" s="19" t="s">
        <v>303</v>
      </c>
    </row>
    <row r="34" spans="1:13">
      <c r="A34" s="26" t="s">
        <v>309</v>
      </c>
      <c r="F34" s="24"/>
      <c r="I34" s="23"/>
      <c r="J34" s="258"/>
      <c r="K34" s="257"/>
      <c r="L34" s="67"/>
    </row>
    <row r="35" spans="1:13" ht="15.6">
      <c r="A35" s="254" t="s">
        <v>308</v>
      </c>
      <c r="F35" s="24"/>
      <c r="I35" s="24"/>
      <c r="J35" s="256">
        <f>(J33*1000)/1.055056*0.02831685</f>
        <v>903.32326488654292</v>
      </c>
      <c r="K35" s="255">
        <f>(K33*1000)/1.055056*0.02831685</f>
        <v>1002.696430297802</v>
      </c>
      <c r="L35" s="67" t="s">
        <v>307</v>
      </c>
      <c r="M35" s="19" t="s">
        <v>303</v>
      </c>
    </row>
    <row r="36" spans="1:13" ht="15.6">
      <c r="A36" s="254" t="s">
        <v>306</v>
      </c>
      <c r="J36" s="256">
        <f>(J32/1.055056)*0.4535924</f>
        <v>20441.871814082628</v>
      </c>
      <c r="K36" s="255">
        <f>(K32/1.055056)*0.4535924</f>
        <v>22690.649840796821</v>
      </c>
      <c r="L36" s="67" t="s">
        <v>305</v>
      </c>
    </row>
    <row r="37" spans="1:13">
      <c r="A37" s="254"/>
      <c r="J37" s="253">
        <f>J35/7.480519</f>
        <v>120.75676365323621</v>
      </c>
      <c r="K37" s="252">
        <f>K35/7.480519</f>
        <v>134.04102446605668</v>
      </c>
      <c r="L37" s="70" t="s">
        <v>304</v>
      </c>
      <c r="M37" s="19" t="s">
        <v>303</v>
      </c>
    </row>
    <row r="39" spans="1:13">
      <c r="B39" s="23"/>
      <c r="F39" s="38"/>
      <c r="H39" s="71"/>
    </row>
    <row r="40" spans="1:13">
      <c r="B40" s="23"/>
      <c r="F40" s="72" t="s">
        <v>112</v>
      </c>
      <c r="H40" s="38"/>
    </row>
    <row r="41" spans="1:13">
      <c r="B41" s="23"/>
      <c r="E41" s="73" t="s">
        <v>102</v>
      </c>
      <c r="F41" s="251">
        <v>0.78995048751598307</v>
      </c>
      <c r="H41" s="38"/>
    </row>
    <row r="42" spans="1:13">
      <c r="B42" s="23"/>
      <c r="E42" s="73" t="s">
        <v>88</v>
      </c>
      <c r="F42" s="251">
        <f>1-F41</f>
        <v>0.21004951248401693</v>
      </c>
      <c r="G42" s="74"/>
      <c r="H42" s="38"/>
    </row>
    <row r="43" spans="1:13">
      <c r="A43" s="26" t="s">
        <v>113</v>
      </c>
      <c r="B43" s="23"/>
      <c r="E43" s="73" t="s">
        <v>114</v>
      </c>
      <c r="F43" s="251">
        <v>0</v>
      </c>
      <c r="G43" s="74"/>
      <c r="H43" s="38"/>
    </row>
    <row r="44" spans="1:13">
      <c r="B44" s="23"/>
      <c r="F44" s="74"/>
      <c r="G44" s="74"/>
      <c r="H44" s="75"/>
    </row>
    <row r="45" spans="1:13" ht="16.2" thickBot="1">
      <c r="B45" s="23"/>
      <c r="G45" s="68"/>
      <c r="H45" s="76"/>
    </row>
    <row r="46" spans="1:13">
      <c r="A46" s="1929" t="s">
        <v>302</v>
      </c>
      <c r="B46" s="1930"/>
      <c r="C46" s="1930"/>
      <c r="D46" s="1930"/>
      <c r="E46" s="1930"/>
      <c r="F46" s="1930"/>
      <c r="G46" s="1930"/>
      <c r="H46" s="1930"/>
      <c r="I46" s="1930"/>
      <c r="J46" s="250"/>
    </row>
    <row r="47" spans="1:13">
      <c r="A47" s="77"/>
      <c r="B47" s="37"/>
      <c r="C47" s="37"/>
      <c r="D47" s="37"/>
      <c r="E47" s="37"/>
      <c r="J47" s="314"/>
    </row>
    <row r="48" spans="1:13">
      <c r="A48" s="79"/>
      <c r="B48" s="24"/>
      <c r="C48" s="27" t="s">
        <v>115</v>
      </c>
      <c r="D48" s="1920" t="s">
        <v>301</v>
      </c>
      <c r="E48" s="1921"/>
      <c r="F48" s="1921"/>
      <c r="G48" s="1921"/>
      <c r="H48" s="1937"/>
      <c r="I48" s="249" t="s">
        <v>287</v>
      </c>
      <c r="J48" s="314"/>
    </row>
    <row r="49" spans="1:9" ht="15.6">
      <c r="A49" s="79"/>
      <c r="B49" s="24"/>
      <c r="C49" s="247" t="s">
        <v>300</v>
      </c>
      <c r="D49" s="35" t="s">
        <v>116</v>
      </c>
      <c r="E49" s="37" t="s">
        <v>117</v>
      </c>
      <c r="F49" s="37" t="s">
        <v>105</v>
      </c>
      <c r="G49" s="37" t="s">
        <v>118</v>
      </c>
      <c r="H49" s="36" t="s">
        <v>119</v>
      </c>
      <c r="I49" s="80" t="s">
        <v>120</v>
      </c>
    </row>
    <row r="50" spans="1:9">
      <c r="A50" s="81" t="s">
        <v>121</v>
      </c>
      <c r="B50" s="23"/>
      <c r="C50" s="82"/>
      <c r="D50" s="35"/>
      <c r="E50" s="37"/>
      <c r="F50" s="37"/>
      <c r="G50" s="37"/>
      <c r="H50" s="36"/>
      <c r="I50" s="83"/>
    </row>
    <row r="51" spans="1:9">
      <c r="A51" s="81"/>
      <c r="B51" s="84" t="s">
        <v>119</v>
      </c>
      <c r="C51" s="85">
        <f t="shared" ref="C51:H51" si="10">SUM(C53:C67)</f>
        <v>100.00000000000001</v>
      </c>
      <c r="D51" s="86">
        <f>SUM(D53:D67)</f>
        <v>1.0020999999999998</v>
      </c>
      <c r="E51" s="87">
        <f t="shared" si="10"/>
        <v>1.9705999999999999</v>
      </c>
      <c r="F51" s="87">
        <f t="shared" si="10"/>
        <v>2.9999999999999997E-4</v>
      </c>
      <c r="G51" s="87">
        <f t="shared" si="10"/>
        <v>1.84E-2</v>
      </c>
      <c r="H51" s="88">
        <f t="shared" si="10"/>
        <v>2.9914000000000001</v>
      </c>
      <c r="I51" s="89">
        <f>SUM(I53:I67)</f>
        <v>1.9809999999999999</v>
      </c>
    </row>
    <row r="52" spans="1:9">
      <c r="A52" s="79"/>
      <c r="B52" s="23"/>
      <c r="H52" s="50"/>
      <c r="I52" s="78"/>
    </row>
    <row r="53" spans="1:9" ht="15.6">
      <c r="A53" s="79" t="s">
        <v>88</v>
      </c>
      <c r="B53" s="19" t="s">
        <v>89</v>
      </c>
      <c r="C53" s="305">
        <v>0</v>
      </c>
      <c r="D53" s="90"/>
      <c r="E53" s="90"/>
      <c r="F53" s="90"/>
      <c r="G53" s="90"/>
      <c r="H53" s="50">
        <f t="shared" ref="H53:H67" si="11">SUM(D53:G53)</f>
        <v>0</v>
      </c>
      <c r="I53" s="91">
        <f>-C53/100</f>
        <v>0</v>
      </c>
    </row>
    <row r="54" spans="1:9">
      <c r="A54" s="79" t="s">
        <v>299</v>
      </c>
      <c r="B54" s="19" t="s">
        <v>90</v>
      </c>
      <c r="C54" s="305">
        <v>0</v>
      </c>
      <c r="D54" s="90">
        <f>C54/100</f>
        <v>0</v>
      </c>
      <c r="E54" s="90"/>
      <c r="F54" s="90"/>
      <c r="G54" s="90"/>
      <c r="H54" s="50">
        <f t="shared" si="11"/>
        <v>0</v>
      </c>
      <c r="I54" s="246">
        <f>D54+E54/2</f>
        <v>0</v>
      </c>
    </row>
    <row r="55" spans="1:9" ht="15.6">
      <c r="A55" s="79" t="s">
        <v>284</v>
      </c>
      <c r="B55" s="19" t="s">
        <v>91</v>
      </c>
      <c r="C55" s="305">
        <v>0.64</v>
      </c>
      <c r="D55" s="90">
        <f>C55/100</f>
        <v>6.4000000000000003E-3</v>
      </c>
      <c r="E55" s="90"/>
      <c r="F55" s="90"/>
      <c r="G55" s="90"/>
      <c r="H55" s="50">
        <f t="shared" si="11"/>
        <v>6.4000000000000003E-3</v>
      </c>
      <c r="I55" s="91">
        <v>0</v>
      </c>
    </row>
    <row r="56" spans="1:9" ht="15.6">
      <c r="A56" s="79" t="s">
        <v>92</v>
      </c>
      <c r="B56" s="19" t="s">
        <v>93</v>
      </c>
      <c r="C56" s="305">
        <v>0</v>
      </c>
      <c r="D56" s="90"/>
      <c r="E56" s="90">
        <f>C56/100</f>
        <v>0</v>
      </c>
      <c r="F56" s="90"/>
      <c r="G56" s="90"/>
      <c r="H56" s="50">
        <f t="shared" si="11"/>
        <v>0</v>
      </c>
      <c r="I56" s="91">
        <f>D56+E56/2</f>
        <v>0</v>
      </c>
    </row>
    <row r="57" spans="1:9" ht="15.6">
      <c r="A57" s="79" t="s">
        <v>94</v>
      </c>
      <c r="B57" s="19" t="s">
        <v>298</v>
      </c>
      <c r="C57" s="305">
        <v>0</v>
      </c>
      <c r="D57" s="90"/>
      <c r="E57" s="90">
        <f>C57/100</f>
        <v>0</v>
      </c>
      <c r="F57" s="90"/>
      <c r="G57" s="90"/>
      <c r="H57" s="50">
        <f t="shared" si="11"/>
        <v>0</v>
      </c>
      <c r="I57" s="246">
        <v>0</v>
      </c>
    </row>
    <row r="58" spans="1:9" ht="15.6">
      <c r="A58" s="79" t="s">
        <v>97</v>
      </c>
      <c r="B58" s="19" t="s">
        <v>98</v>
      </c>
      <c r="C58" s="305">
        <v>95.67</v>
      </c>
      <c r="D58" s="90">
        <f>C58/100</f>
        <v>0.95669999999999999</v>
      </c>
      <c r="E58" s="90">
        <f>C58/100*2</f>
        <v>1.9134</v>
      </c>
      <c r="F58" s="90"/>
      <c r="G58" s="90"/>
      <c r="H58" s="50">
        <f t="shared" si="11"/>
        <v>2.8700999999999999</v>
      </c>
      <c r="I58" s="91">
        <f>D58+E58/2</f>
        <v>1.9134</v>
      </c>
    </row>
    <row r="59" spans="1:9" ht="15.6">
      <c r="A59" s="79" t="s">
        <v>99</v>
      </c>
      <c r="B59" s="19" t="s">
        <v>297</v>
      </c>
      <c r="C59" s="305">
        <v>1.62</v>
      </c>
      <c r="D59" s="90">
        <f>C59*2/100</f>
        <v>3.2400000000000005E-2</v>
      </c>
      <c r="E59" s="90">
        <f>C59/100*3</f>
        <v>4.8600000000000004E-2</v>
      </c>
      <c r="F59" s="90"/>
      <c r="G59" s="90"/>
      <c r="H59" s="50">
        <f t="shared" si="11"/>
        <v>8.1000000000000016E-2</v>
      </c>
      <c r="I59" s="91">
        <f t="shared" ref="I59:I65" si="12">D59+E59/2</f>
        <v>5.6700000000000007E-2</v>
      </c>
    </row>
    <row r="60" spans="1:9" ht="15.6">
      <c r="A60" s="79" t="s">
        <v>100</v>
      </c>
      <c r="B60" s="19" t="s">
        <v>296</v>
      </c>
      <c r="C60" s="305">
        <v>0.14000000000000001</v>
      </c>
      <c r="D60" s="90">
        <f>C60*3/100</f>
        <v>4.2000000000000006E-3</v>
      </c>
      <c r="E60" s="90">
        <f>C60/100*4</f>
        <v>5.6000000000000008E-3</v>
      </c>
      <c r="F60" s="90"/>
      <c r="G60" s="90"/>
      <c r="H60" s="50">
        <f t="shared" si="11"/>
        <v>9.8000000000000014E-3</v>
      </c>
      <c r="I60" s="91">
        <f t="shared" si="12"/>
        <v>7.000000000000001E-3</v>
      </c>
    </row>
    <row r="61" spans="1:9" ht="15.6">
      <c r="A61" s="79" t="s">
        <v>295</v>
      </c>
      <c r="B61" s="19" t="s">
        <v>294</v>
      </c>
      <c r="C61" s="305">
        <v>0.04</v>
      </c>
      <c r="D61" s="90">
        <f>C61*4/100</f>
        <v>1.6000000000000001E-3</v>
      </c>
      <c r="E61" s="90">
        <f>C61/100*5</f>
        <v>2E-3</v>
      </c>
      <c r="F61" s="90"/>
      <c r="G61" s="90"/>
      <c r="H61" s="50">
        <f t="shared" si="11"/>
        <v>3.5999999999999999E-3</v>
      </c>
      <c r="I61" s="91">
        <f t="shared" si="12"/>
        <v>2.5999999999999999E-3</v>
      </c>
    </row>
    <row r="62" spans="1:9" ht="15.6">
      <c r="A62" s="79" t="s">
        <v>101</v>
      </c>
      <c r="B62" s="19" t="s">
        <v>294</v>
      </c>
      <c r="C62" s="305">
        <v>0.02</v>
      </c>
      <c r="D62" s="90">
        <f>C62*4/100</f>
        <v>8.0000000000000004E-4</v>
      </c>
      <c r="E62" s="90">
        <f>C62/100*5</f>
        <v>1E-3</v>
      </c>
      <c r="F62" s="90"/>
      <c r="G62" s="90"/>
      <c r="H62" s="50">
        <f t="shared" si="11"/>
        <v>1.8E-3</v>
      </c>
      <c r="I62" s="91">
        <f t="shared" si="12"/>
        <v>1.2999999999999999E-3</v>
      </c>
    </row>
    <row r="63" spans="1:9" ht="15.6">
      <c r="A63" s="53" t="s">
        <v>293</v>
      </c>
      <c r="B63" s="19" t="s">
        <v>292</v>
      </c>
      <c r="C63" s="305">
        <v>0</v>
      </c>
      <c r="D63" s="90">
        <f>C63*5/100</f>
        <v>0</v>
      </c>
      <c r="E63" s="90">
        <f>C63/100*6</f>
        <v>0</v>
      </c>
      <c r="F63" s="90"/>
      <c r="G63" s="90"/>
      <c r="H63" s="50">
        <f t="shared" si="11"/>
        <v>0</v>
      </c>
      <c r="I63" s="91">
        <f t="shared" si="12"/>
        <v>0</v>
      </c>
    </row>
    <row r="64" spans="1:9" ht="15.6">
      <c r="A64" s="53" t="s">
        <v>291</v>
      </c>
      <c r="B64" s="19" t="s">
        <v>290</v>
      </c>
      <c r="C64" s="305">
        <v>0</v>
      </c>
      <c r="D64" s="90">
        <f>C64*5/100</f>
        <v>0</v>
      </c>
      <c r="E64" s="90">
        <f>C64/100*6</f>
        <v>0</v>
      </c>
      <c r="F64" s="90"/>
      <c r="G64" s="90"/>
      <c r="H64" s="50">
        <f t="shared" si="11"/>
        <v>0</v>
      </c>
      <c r="I64" s="91">
        <f t="shared" si="12"/>
        <v>0</v>
      </c>
    </row>
    <row r="65" spans="1:14" ht="15.6">
      <c r="A65" s="53" t="s">
        <v>289</v>
      </c>
      <c r="B65" s="19" t="s">
        <v>288</v>
      </c>
      <c r="C65" s="305">
        <v>0</v>
      </c>
      <c r="D65" s="90">
        <f>C65*6/100</f>
        <v>0</v>
      </c>
      <c r="E65" s="90">
        <f>C65/100*7</f>
        <v>0</v>
      </c>
      <c r="F65" s="90"/>
      <c r="G65" s="90"/>
      <c r="H65" s="50">
        <f t="shared" si="11"/>
        <v>0</v>
      </c>
      <c r="I65" s="91">
        <f t="shared" si="12"/>
        <v>0</v>
      </c>
    </row>
    <row r="66" spans="1:14" ht="15.6">
      <c r="A66" s="79" t="s">
        <v>102</v>
      </c>
      <c r="B66" s="19" t="s">
        <v>103</v>
      </c>
      <c r="C66" s="305">
        <v>1.84</v>
      </c>
      <c r="D66" s="90"/>
      <c r="E66" s="90"/>
      <c r="G66" s="90">
        <f>C66/100</f>
        <v>1.84E-2</v>
      </c>
      <c r="H66" s="50">
        <f t="shared" si="11"/>
        <v>1.84E-2</v>
      </c>
      <c r="I66" s="91">
        <v>0</v>
      </c>
    </row>
    <row r="67" spans="1:14" ht="13.8" thickBot="1">
      <c r="A67" s="92" t="s">
        <v>104</v>
      </c>
      <c r="B67" s="93" t="s">
        <v>105</v>
      </c>
      <c r="C67" s="306">
        <v>0.03</v>
      </c>
      <c r="D67" s="95"/>
      <c r="E67" s="95"/>
      <c r="F67" s="95">
        <f>C67/100</f>
        <v>2.9999999999999997E-4</v>
      </c>
      <c r="G67" s="93"/>
      <c r="H67" s="96">
        <f t="shared" si="11"/>
        <v>2.9999999999999997E-4</v>
      </c>
      <c r="I67" s="97">
        <v>0</v>
      </c>
    </row>
    <row r="68" spans="1:14">
      <c r="B68" s="23"/>
    </row>
    <row r="69" spans="1:14" ht="13.8" thickBot="1">
      <c r="B69" s="23"/>
      <c r="D69" s="37"/>
      <c r="E69" s="98"/>
      <c r="F69" s="98"/>
      <c r="G69" s="98"/>
      <c r="H69" s="98"/>
      <c r="I69" s="98"/>
      <c r="J69" s="98"/>
    </row>
    <row r="70" spans="1:14">
      <c r="A70" s="1929" t="s">
        <v>122</v>
      </c>
      <c r="B70" s="1930"/>
      <c r="C70" s="1930"/>
      <c r="D70" s="1930"/>
      <c r="E70" s="1930"/>
      <c r="F70" s="1930"/>
      <c r="G70" s="1931"/>
      <c r="H70" s="98"/>
      <c r="I70" s="1929" t="s">
        <v>123</v>
      </c>
      <c r="J70" s="1930"/>
      <c r="K70" s="1930"/>
      <c r="L70" s="1930"/>
      <c r="M70" s="1930"/>
      <c r="N70" s="1931"/>
    </row>
    <row r="71" spans="1:14">
      <c r="A71" s="99"/>
      <c r="C71" s="37"/>
      <c r="D71" s="1920" t="s">
        <v>124</v>
      </c>
      <c r="E71" s="1921"/>
      <c r="F71" s="1921"/>
      <c r="G71" s="1922"/>
      <c r="H71" s="98"/>
      <c r="I71" s="79"/>
      <c r="K71" s="37"/>
      <c r="L71" s="1923" t="s">
        <v>124</v>
      </c>
      <c r="M71" s="1924"/>
      <c r="N71" s="1925"/>
    </row>
    <row r="72" spans="1:14" ht="15.6">
      <c r="A72" s="99"/>
      <c r="C72" s="23"/>
      <c r="D72" s="35" t="s">
        <v>125</v>
      </c>
      <c r="E72" s="37" t="s">
        <v>126</v>
      </c>
      <c r="F72" s="37" t="s">
        <v>127</v>
      </c>
      <c r="G72" s="100" t="s">
        <v>128</v>
      </c>
      <c r="H72" s="90"/>
      <c r="I72" s="79"/>
      <c r="K72" s="37"/>
      <c r="L72" s="53"/>
      <c r="M72" s="1924" t="s">
        <v>129</v>
      </c>
      <c r="N72" s="1925"/>
    </row>
    <row r="73" spans="1:14" ht="26.4">
      <c r="A73" s="79"/>
      <c r="C73" s="23"/>
      <c r="D73" s="55"/>
      <c r="E73" s="304" t="b">
        <v>1</v>
      </c>
      <c r="F73" s="56"/>
      <c r="G73" s="101"/>
      <c r="H73" s="90"/>
      <c r="I73" s="77"/>
      <c r="K73" s="37"/>
      <c r="L73" s="245" t="s">
        <v>287</v>
      </c>
      <c r="M73" s="40" t="s">
        <v>130</v>
      </c>
      <c r="N73" s="102" t="s">
        <v>131</v>
      </c>
    </row>
    <row r="74" spans="1:14">
      <c r="A74" s="79"/>
      <c r="C74" s="23"/>
      <c r="D74" s="65" t="str">
        <f>IF(D73,1,"-")</f>
        <v>-</v>
      </c>
      <c r="E74" s="65">
        <f>IF(E73,2,"-")</f>
        <v>2</v>
      </c>
      <c r="F74" s="65" t="str">
        <f>IF(F73,3,"-")</f>
        <v>-</v>
      </c>
      <c r="G74" s="103">
        <f>AVERAGE(D74:F74)</f>
        <v>2</v>
      </c>
      <c r="H74" s="90"/>
      <c r="I74" s="77"/>
      <c r="K74" s="37"/>
      <c r="L74" s="37"/>
      <c r="N74" s="78"/>
    </row>
    <row r="75" spans="1:14">
      <c r="A75" s="81" t="s">
        <v>132</v>
      </c>
      <c r="C75" s="23"/>
      <c r="D75" s="244">
        <f>D83/D80</f>
        <v>0</v>
      </c>
      <c r="E75" s="104">
        <f>'3c. Calculator EEM 2-3'!G30</f>
        <v>0</v>
      </c>
      <c r="F75" s="244" t="e">
        <f>F82/F79</f>
        <v>#DIV/0!</v>
      </c>
      <c r="G75" s="238">
        <f>INDEX(D75:F75,G$74)</f>
        <v>0</v>
      </c>
      <c r="H75" s="244"/>
      <c r="I75" s="81" t="s">
        <v>119</v>
      </c>
      <c r="K75" s="239" t="s">
        <v>286</v>
      </c>
      <c r="L75" s="105">
        <f>SUM(L77:L81)</f>
        <v>10.434002195627643</v>
      </c>
      <c r="M75" s="243">
        <f>SUM(M77:M81)</f>
        <v>1.0000000000000002</v>
      </c>
      <c r="N75" s="242">
        <f>SUM(N77:N81)</f>
        <v>1</v>
      </c>
    </row>
    <row r="76" spans="1:14" ht="14.4">
      <c r="A76" s="79" t="s">
        <v>133</v>
      </c>
      <c r="C76" s="23"/>
      <c r="D76" s="318"/>
      <c r="E76" s="222">
        <f>E82/(E79*($F$41/$F$42)+H51-E51+E82/$F$42)</f>
        <v>0</v>
      </c>
      <c r="F76" s="241" t="e">
        <f>F82/(F79*($F$41/$F$42)+H51-E51+F82/$F$42)</f>
        <v>#DIV/0!</v>
      </c>
      <c r="G76" s="240">
        <f>INDEX(D76:F76,G$74)</f>
        <v>0</v>
      </c>
      <c r="H76" s="106"/>
      <c r="I76" s="77"/>
      <c r="K76" s="239"/>
      <c r="L76" s="37"/>
      <c r="N76" s="78"/>
    </row>
    <row r="77" spans="1:14" ht="14.4">
      <c r="A77" s="79" t="s">
        <v>285</v>
      </c>
      <c r="C77" s="23"/>
      <c r="D77" s="222">
        <f>$N$78</f>
        <v>0.11855650363709885</v>
      </c>
      <c r="E77" s="222">
        <f>N78</f>
        <v>0.11855650363709885</v>
      </c>
      <c r="F77" s="319"/>
      <c r="G77" s="238">
        <f>INDEX(D77:F77,G$74)</f>
        <v>0.11855650363709885</v>
      </c>
      <c r="H77" s="222"/>
      <c r="I77" s="79" t="s">
        <v>102</v>
      </c>
      <c r="K77" s="237" t="s">
        <v>276</v>
      </c>
      <c r="L77" s="50">
        <f>G87</f>
        <v>7.4501097253831423</v>
      </c>
      <c r="M77" s="222">
        <f t="shared" ref="M77:M82" si="13">L77/$L$75</f>
        <v>0.71402225011080622</v>
      </c>
      <c r="N77" s="236">
        <f>L77/($L$75-$L$81)</f>
        <v>0.88140800394588581</v>
      </c>
    </row>
    <row r="78" spans="1:14" ht="14.4">
      <c r="A78" s="79"/>
      <c r="C78" s="23"/>
      <c r="F78" s="37"/>
      <c r="G78" s="107"/>
      <c r="H78" s="106"/>
      <c r="I78" s="79" t="s">
        <v>284</v>
      </c>
      <c r="K78" s="237" t="s">
        <v>276</v>
      </c>
      <c r="L78" s="50">
        <f>D51</f>
        <v>1.0020999999999998</v>
      </c>
      <c r="M78" s="222">
        <f t="shared" si="13"/>
        <v>9.6041766257240063E-2</v>
      </c>
      <c r="N78" s="236">
        <f>L78/($L$75-$L$81)</f>
        <v>0.11855650363709885</v>
      </c>
    </row>
    <row r="79" spans="1:14"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f>G82</f>
        <v>0</v>
      </c>
      <c r="M79" s="222">
        <f t="shared" si="13"/>
        <v>0</v>
      </c>
      <c r="N79" s="236">
        <f>L79/($L$75-$L$81)</f>
        <v>0</v>
      </c>
    </row>
    <row r="80" spans="1:14"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f t="shared" si="13"/>
        <v>2.8752150361413057E-5</v>
      </c>
      <c r="N80" s="236">
        <f>L80/($L$75-$L$81)</f>
        <v>3.5492417015397323E-5</v>
      </c>
    </row>
    <row r="81" spans="1:15" ht="14.4">
      <c r="A81" s="79"/>
      <c r="C81" s="23"/>
      <c r="D81" s="50"/>
      <c r="E81" s="108"/>
      <c r="F81" s="105"/>
      <c r="G81" s="109"/>
      <c r="H81" s="50"/>
      <c r="I81" s="79" t="s">
        <v>135</v>
      </c>
      <c r="K81" s="237" t="s">
        <v>276</v>
      </c>
      <c r="L81" s="50">
        <f>G89+E51</f>
        <v>1.9814924702445025</v>
      </c>
      <c r="M81" s="222">
        <f t="shared" si="13"/>
        <v>0.18990723148159241</v>
      </c>
      <c r="N81" s="236">
        <v>0</v>
      </c>
    </row>
    <row r="82" spans="1:15" ht="14.4">
      <c r="A82" s="79" t="s">
        <v>134</v>
      </c>
      <c r="C82" s="23" t="s">
        <v>276</v>
      </c>
      <c r="D82" s="50">
        <f>D76/(1-D76/$F$42)*(($H$51-$E$51)+D79*$F$41/$F$42)</f>
        <v>0</v>
      </c>
      <c r="E82" s="50">
        <f>E79*$E$75</f>
        <v>0</v>
      </c>
      <c r="F82" s="90" t="e">
        <f>(D51/F77-(H51-E51)-F79*(F41/F42))/(1+F41/F42)</f>
        <v>#DIV/0!</v>
      </c>
      <c r="G82" s="230">
        <f>INDEX(D82:F82,G$74)</f>
        <v>0</v>
      </c>
      <c r="H82" s="50"/>
      <c r="I82" s="110" t="s">
        <v>137</v>
      </c>
      <c r="J82" s="111"/>
      <c r="K82" s="235" t="s">
        <v>276</v>
      </c>
      <c r="L82" s="112">
        <f>L92</f>
        <v>1.9186275921255749</v>
      </c>
      <c r="M82" s="234">
        <f t="shared" si="13"/>
        <v>0.18388223005450138</v>
      </c>
      <c r="N82" s="233">
        <v>1</v>
      </c>
    </row>
    <row r="83" spans="1:15" ht="14.4">
      <c r="A83" s="79" t="s">
        <v>136</v>
      </c>
      <c r="C83" s="23" t="s">
        <v>276</v>
      </c>
      <c r="D83" s="50">
        <f>D82/F42</f>
        <v>0</v>
      </c>
      <c r="E83" s="50">
        <f>E80*$E$75</f>
        <v>0</v>
      </c>
      <c r="F83" s="50" t="e">
        <f>F82/F42</f>
        <v>#DIV/0!</v>
      </c>
      <c r="G83" s="230">
        <f>INDEX(D83:F83,G$74)</f>
        <v>0</v>
      </c>
      <c r="H83" s="50"/>
      <c r="I83" s="79" t="s">
        <v>281</v>
      </c>
      <c r="K83" s="23" t="s">
        <v>138</v>
      </c>
      <c r="L83" s="50"/>
      <c r="M83" s="50">
        <f>M77*$C$12+M78*$C$13+M79*$C$11+M80*$C$26+M81*$C$15</f>
        <v>27.647931772506944</v>
      </c>
      <c r="N83" s="78"/>
      <c r="O83" s="113"/>
    </row>
    <row r="84" spans="1:15">
      <c r="A84" s="79"/>
      <c r="C84" s="23"/>
      <c r="F84" s="37"/>
      <c r="G84" s="109"/>
      <c r="I84" s="79"/>
      <c r="N84" s="78"/>
    </row>
    <row r="85" spans="1:15">
      <c r="A85" s="81" t="s">
        <v>139</v>
      </c>
      <c r="C85" s="37" t="s">
        <v>276</v>
      </c>
      <c r="D85" s="105">
        <f>SUM(D87:D89)</f>
        <v>9.4420021956276443</v>
      </c>
      <c r="E85" s="105">
        <f>SUM(E87:E89)</f>
        <v>9.4420021956276443</v>
      </c>
      <c r="F85" s="105" t="e">
        <f>SUM(F87:F89)</f>
        <v>#DIV/0!</v>
      </c>
      <c r="G85" s="230">
        <f>INDEX(D85:F85,G$74)</f>
        <v>9.4420021956276443</v>
      </c>
      <c r="H85" s="105"/>
      <c r="I85" s="81" t="s">
        <v>140</v>
      </c>
      <c r="K85" s="23"/>
      <c r="L85" s="37" t="str">
        <f>IF(L87&lt;L88,"VRAI","FAUX")</f>
        <v>VRAI</v>
      </c>
      <c r="N85" s="78"/>
    </row>
    <row r="86" spans="1:15">
      <c r="A86" s="79"/>
      <c r="G86" s="114"/>
      <c r="I86" s="79" t="s">
        <v>141</v>
      </c>
      <c r="K86" s="23" t="s">
        <v>142</v>
      </c>
      <c r="L86" s="50">
        <f>E51+G89</f>
        <v>1.9814924702445025</v>
      </c>
      <c r="N86" s="78"/>
    </row>
    <row r="87" spans="1:15" ht="15.6">
      <c r="A87" s="225" t="s">
        <v>102</v>
      </c>
      <c r="C87" s="228" t="s">
        <v>276</v>
      </c>
      <c r="D87" s="232">
        <f>D88*($F$41/$F$42)</f>
        <v>7.4501097253831423</v>
      </c>
      <c r="E87" s="232">
        <f>E88*($F$41/$F$42)</f>
        <v>7.4501097253831423</v>
      </c>
      <c r="F87" s="232" t="e">
        <f>F88*($F$41/$F$42)</f>
        <v>#DIV/0!</v>
      </c>
      <c r="G87" s="230">
        <f>INDEX(D87:F87,G$74)</f>
        <v>7.4501097253831423</v>
      </c>
      <c r="H87" s="50"/>
      <c r="I87" s="79" t="s">
        <v>143</v>
      </c>
      <c r="K87" s="116" t="s">
        <v>264</v>
      </c>
      <c r="L87" s="117">
        <f>U7</f>
        <v>0</v>
      </c>
      <c r="M87" s="24"/>
      <c r="N87" s="78"/>
    </row>
    <row r="88" spans="1:15" ht="15.6">
      <c r="A88" s="225" t="s">
        <v>88</v>
      </c>
      <c r="C88" s="228" t="s">
        <v>276</v>
      </c>
      <c r="D88" s="232">
        <f>D79+D82</f>
        <v>1.9809999999999999</v>
      </c>
      <c r="E88" s="232">
        <f>E79+E82</f>
        <v>1.9809999999999999</v>
      </c>
      <c r="F88" s="231" t="e">
        <f>F79+F82</f>
        <v>#DIV/0!</v>
      </c>
      <c r="G88" s="230">
        <f>INDEX(D88:F88,G$74)</f>
        <v>1.9809999999999999</v>
      </c>
      <c r="H88" s="50"/>
      <c r="I88" s="79" t="s">
        <v>144</v>
      </c>
      <c r="K88" s="116" t="s">
        <v>264</v>
      </c>
      <c r="L88" s="229">
        <f>Combustion_Chaud1!C136</f>
        <v>59.1942344830736</v>
      </c>
      <c r="N88" s="78"/>
    </row>
    <row r="89" spans="1:15" ht="15.6">
      <c r="A89" s="225" t="s">
        <v>145</v>
      </c>
      <c r="C89" s="228" t="s">
        <v>276</v>
      </c>
      <c r="D89" s="227">
        <f>Combustion_Chaud1!$C$115*(Combustion_Chaud1!D80+Combustion_Chaud1!D83)</f>
        <v>1.089247024450259E-2</v>
      </c>
      <c r="E89" s="227">
        <f>Combustion_Chaud1!$C$115*Combustion_Chaud1!E80</f>
        <v>1.089247024450259E-2</v>
      </c>
      <c r="F89" s="227">
        <f>Combustion_Chaud1!$C$115*Combustion_Chaud1!F80</f>
        <v>1.089247024450259E-2</v>
      </c>
      <c r="G89" s="226">
        <f>INDEX(D89:F89,G$74)</f>
        <v>1.089247024450259E-2</v>
      </c>
      <c r="H89" s="50"/>
      <c r="I89" s="79" t="s">
        <v>280</v>
      </c>
      <c r="K89" s="23" t="s">
        <v>279</v>
      </c>
      <c r="L89" s="50">
        <f>($E$29*(M83/1000))/($B$32*(L87+273.15))</f>
        <v>1.2363693512022826</v>
      </c>
      <c r="N89" s="118"/>
    </row>
    <row r="90" spans="1:15" ht="15.6">
      <c r="A90" s="225"/>
      <c r="C90" s="23"/>
      <c r="D90" s="50"/>
      <c r="F90" s="37"/>
      <c r="G90" s="119"/>
      <c r="H90" s="50"/>
      <c r="I90" s="79" t="s">
        <v>278</v>
      </c>
      <c r="K90" s="23" t="s">
        <v>142</v>
      </c>
      <c r="L90" s="224">
        <f>Combustion_Chaud1!C129</f>
        <v>0.23442652355595889</v>
      </c>
      <c r="M90" s="19" t="s">
        <v>146</v>
      </c>
      <c r="N90" s="118"/>
    </row>
    <row r="91" spans="1:15">
      <c r="A91" s="81" t="s">
        <v>147</v>
      </c>
      <c r="C91" s="23"/>
      <c r="D91" s="50"/>
      <c r="F91" s="37"/>
      <c r="G91" s="119"/>
      <c r="H91" s="50"/>
      <c r="I91" s="79" t="s">
        <v>148</v>
      </c>
      <c r="K91" s="23" t="s">
        <v>142</v>
      </c>
      <c r="L91" s="224">
        <f>Combustion_Chaud1!C140</f>
        <v>0.18388223005450138</v>
      </c>
      <c r="M91" s="19" t="s">
        <v>277</v>
      </c>
      <c r="N91" s="118"/>
    </row>
    <row r="92" spans="1:15" ht="15" thickBot="1">
      <c r="A92" s="79" t="s">
        <v>149</v>
      </c>
      <c r="C92" s="23"/>
      <c r="D92" s="223">
        <f>Hypothèses!D26</f>
        <v>0.05</v>
      </c>
      <c r="E92" s="222"/>
      <c r="F92" s="222"/>
      <c r="G92" s="119"/>
      <c r="H92" s="222"/>
      <c r="I92" s="92"/>
      <c r="J92" s="93"/>
      <c r="K92" s="221" t="s">
        <v>276</v>
      </c>
      <c r="L92" s="220">
        <f>Combustion_Chaud1!C141</f>
        <v>1.9186275921255749</v>
      </c>
      <c r="M92" s="93"/>
      <c r="N92" s="94"/>
    </row>
    <row r="93" spans="1:15" ht="16.8" thickBot="1">
      <c r="A93" s="92" t="s">
        <v>144</v>
      </c>
      <c r="B93" s="93"/>
      <c r="C93" s="120" t="s">
        <v>264</v>
      </c>
      <c r="D93" s="219" t="e">
        <f>IF(D92&lt;&gt;0,Combustion_Chaud1!$C$119,"-")</f>
        <v>#N/A</v>
      </c>
      <c r="E93" s="218"/>
      <c r="F93" s="218"/>
      <c r="G93" s="121"/>
      <c r="H93" s="90"/>
    </row>
    <row r="94" spans="1:15" ht="16.2">
      <c r="A94" s="19" t="s">
        <v>275</v>
      </c>
      <c r="B94" s="116"/>
      <c r="C94" s="217">
        <v>28.96546</v>
      </c>
      <c r="D94" s="215" t="s">
        <v>138</v>
      </c>
      <c r="E94" s="216"/>
      <c r="F94" s="122"/>
      <c r="G94" s="98"/>
      <c r="H94" s="98"/>
    </row>
    <row r="95" spans="1:15">
      <c r="G95" s="98"/>
    </row>
    <row r="96" spans="1:15">
      <c r="G96" s="98"/>
    </row>
    <row r="97" spans="1:8">
      <c r="G97" s="98"/>
    </row>
    <row r="98" spans="1:8">
      <c r="G98" s="98"/>
    </row>
    <row r="99" spans="1:8">
      <c r="G99" s="98"/>
    </row>
    <row r="100" spans="1:8">
      <c r="G100" s="98"/>
    </row>
    <row r="101" spans="1:8">
      <c r="A101" s="26" t="s">
        <v>274</v>
      </c>
      <c r="G101" s="98"/>
    </row>
    <row r="102" spans="1:8">
      <c r="G102" s="98"/>
    </row>
    <row r="103" spans="1:8">
      <c r="A103" s="123" t="s">
        <v>150</v>
      </c>
      <c r="B103" s="57"/>
      <c r="C103" s="57"/>
      <c r="D103" s="57"/>
      <c r="E103" s="23"/>
      <c r="F103" s="26" t="s">
        <v>151</v>
      </c>
      <c r="G103" s="26"/>
    </row>
    <row r="104" spans="1:8" ht="15.6">
      <c r="A104" s="19" t="s">
        <v>152</v>
      </c>
      <c r="B104" s="23" t="s">
        <v>273</v>
      </c>
      <c r="C104" s="320">
        <v>0</v>
      </c>
      <c r="D104" s="315" t="s">
        <v>272</v>
      </c>
      <c r="E104" s="23"/>
      <c r="F104" s="37" t="s">
        <v>153</v>
      </c>
      <c r="G104" s="37" t="s">
        <v>154</v>
      </c>
      <c r="H104" s="37" t="s">
        <v>153</v>
      </c>
    </row>
    <row r="105" spans="1:8">
      <c r="A105" s="19" t="s">
        <v>271</v>
      </c>
      <c r="B105" s="23" t="s">
        <v>155</v>
      </c>
      <c r="C105" s="321">
        <v>101325</v>
      </c>
      <c r="D105" s="317"/>
      <c r="E105" s="23"/>
      <c r="F105" s="23">
        <v>0</v>
      </c>
      <c r="G105" s="24">
        <v>610.48326959999986</v>
      </c>
      <c r="H105" s="23">
        <f t="shared" ref="H105:H136" si="14">F105</f>
        <v>0</v>
      </c>
    </row>
    <row r="106" spans="1:8">
      <c r="A106" s="19" t="s">
        <v>270</v>
      </c>
      <c r="B106" s="23" t="s">
        <v>155</v>
      </c>
      <c r="C106" s="316">
        <f>C105*EXP(-Combustion_Chaud1!C94/1000*9.80665/Combustion_Chaud1!B32/Combustion_Chaud1!B29*C104)</f>
        <v>101325</v>
      </c>
      <c r="D106" s="316"/>
      <c r="E106" s="213"/>
      <c r="F106" s="23">
        <v>2</v>
      </c>
      <c r="G106" s="24">
        <v>705.80878559999985</v>
      </c>
      <c r="H106" s="23">
        <f t="shared" si="14"/>
        <v>2</v>
      </c>
    </row>
    <row r="107" spans="1:8">
      <c r="B107" s="23"/>
      <c r="C107" s="317"/>
      <c r="D107" s="316"/>
      <c r="E107" s="23"/>
      <c r="F107" s="23">
        <v>4</v>
      </c>
      <c r="G107" s="24">
        <v>813.39996239999994</v>
      </c>
      <c r="H107" s="23">
        <f t="shared" si="14"/>
        <v>4</v>
      </c>
    </row>
    <row r="108" spans="1:8">
      <c r="A108" s="123" t="s">
        <v>122</v>
      </c>
      <c r="B108" s="57"/>
      <c r="C108" s="57"/>
      <c r="D108" s="57"/>
      <c r="E108" s="23"/>
      <c r="F108" s="23">
        <v>6</v>
      </c>
      <c r="G108" s="24">
        <v>934.98999119999985</v>
      </c>
      <c r="H108" s="23">
        <f t="shared" si="14"/>
        <v>6</v>
      </c>
    </row>
    <row r="109" spans="1:8" ht="15.6">
      <c r="A109" s="19" t="s">
        <v>156</v>
      </c>
      <c r="B109" s="116" t="s">
        <v>264</v>
      </c>
      <c r="C109" s="212">
        <f>R7</f>
        <v>20</v>
      </c>
      <c r="D109" s="23"/>
      <c r="E109" s="23"/>
      <c r="F109" s="23">
        <v>8</v>
      </c>
      <c r="G109" s="24">
        <v>1072.5787079999998</v>
      </c>
      <c r="H109" s="23">
        <f t="shared" si="14"/>
        <v>8</v>
      </c>
    </row>
    <row r="110" spans="1:8">
      <c r="A110" s="19" t="s">
        <v>149</v>
      </c>
      <c r="B110" s="23"/>
      <c r="C110" s="211">
        <f>D92</f>
        <v>0.05</v>
      </c>
      <c r="D110" s="23"/>
      <c r="E110" s="23"/>
      <c r="F110" s="23">
        <v>10</v>
      </c>
      <c r="G110" s="24">
        <v>1227.7659815999998</v>
      </c>
      <c r="H110" s="23">
        <f t="shared" si="14"/>
        <v>10</v>
      </c>
    </row>
    <row r="111" spans="1:8">
      <c r="B111" s="23"/>
      <c r="C111" s="23"/>
      <c r="D111" s="23"/>
      <c r="E111" s="23"/>
      <c r="F111" s="23">
        <v>12</v>
      </c>
      <c r="G111" s="24">
        <v>1402.2850031999999</v>
      </c>
      <c r="H111" s="23">
        <f t="shared" si="14"/>
        <v>12</v>
      </c>
    </row>
    <row r="112" spans="1:8">
      <c r="A112" s="19" t="s">
        <v>157</v>
      </c>
      <c r="B112" s="23" t="s">
        <v>155</v>
      </c>
      <c r="C112" s="24">
        <f>IF(C109&lt;0,0.09*6895,G197)</f>
        <v>2337.8082839999997</v>
      </c>
      <c r="D112" s="23"/>
      <c r="E112" s="23"/>
      <c r="F112" s="23">
        <v>14</v>
      </c>
      <c r="G112" s="24">
        <v>1598.1356087999998</v>
      </c>
      <c r="H112" s="23">
        <f t="shared" si="14"/>
        <v>14</v>
      </c>
    </row>
    <row r="113" spans="1:8">
      <c r="A113" s="19" t="s">
        <v>158</v>
      </c>
      <c r="B113" s="23" t="s">
        <v>155</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159</v>
      </c>
      <c r="B115" s="23" t="s">
        <v>160</v>
      </c>
      <c r="C115" s="50">
        <f>C113/(C106-C113)</f>
        <v>1.1549510674429225E-3</v>
      </c>
      <c r="D115" s="23"/>
      <c r="E115" s="23"/>
      <c r="F115" s="23">
        <v>20</v>
      </c>
      <c r="G115" s="24">
        <v>2337.8082839999997</v>
      </c>
      <c r="H115" s="23">
        <f t="shared" si="14"/>
        <v>20</v>
      </c>
    </row>
    <row r="116" spans="1:8">
      <c r="A116" s="19" t="s">
        <v>159</v>
      </c>
      <c r="B116" s="23" t="s">
        <v>161</v>
      </c>
      <c r="C116" s="50">
        <f>C115*Combustion_Chaud1!$C$15/Combustion_Chaud1!$C$94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162</v>
      </c>
      <c r="B118" s="23" t="s">
        <v>160</v>
      </c>
      <c r="C118" s="50">
        <f>C113/C106</f>
        <v>1.153618694300518E-3</v>
      </c>
      <c r="D118" s="23"/>
      <c r="E118" s="23"/>
      <c r="F118" s="23">
        <v>26</v>
      </c>
      <c r="G118" s="24">
        <v>3360.9243815999998</v>
      </c>
      <c r="H118" s="23">
        <f t="shared" si="14"/>
        <v>26</v>
      </c>
    </row>
    <row r="119" spans="1:8" ht="15.6">
      <c r="A119" s="19" t="s">
        <v>163</v>
      </c>
      <c r="B119" s="116" t="s">
        <v>264</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123</v>
      </c>
      <c r="B121" s="57"/>
      <c r="C121" s="57"/>
      <c r="D121" s="57"/>
      <c r="E121" s="23"/>
      <c r="F121" s="23">
        <v>32</v>
      </c>
      <c r="G121" s="24">
        <v>4754.6767511999988</v>
      </c>
      <c r="H121" s="23">
        <f t="shared" si="14"/>
        <v>32</v>
      </c>
    </row>
    <row r="122" spans="1:8" ht="15.6">
      <c r="A122" s="19" t="s">
        <v>156</v>
      </c>
      <c r="B122" s="116" t="s">
        <v>264</v>
      </c>
      <c r="C122" s="117">
        <f>U7</f>
        <v>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164</v>
      </c>
      <c r="B124" s="23" t="s">
        <v>86</v>
      </c>
      <c r="C124" s="301">
        <f>Combustion_Chaud1!L75</f>
        <v>10.434002195627643</v>
      </c>
      <c r="D124" s="23"/>
      <c r="E124" s="23"/>
      <c r="F124" s="23">
        <v>38</v>
      </c>
      <c r="G124" s="24">
        <v>6625.0567007999998</v>
      </c>
      <c r="H124" s="23">
        <f t="shared" si="14"/>
        <v>38</v>
      </c>
    </row>
    <row r="125" spans="1:8" ht="15.6">
      <c r="A125" s="19" t="s">
        <v>269</v>
      </c>
      <c r="B125" s="23" t="s">
        <v>86</v>
      </c>
      <c r="C125" s="302">
        <f>Combustion_Chaud1!L86</f>
        <v>1.9814924702445025</v>
      </c>
      <c r="D125" s="124" t="s">
        <v>165</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166</v>
      </c>
      <c r="B127" s="23" t="s">
        <v>155</v>
      </c>
      <c r="C127" s="24">
        <f>C132*C106</f>
        <v>19242.350229872351</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267</v>
      </c>
      <c r="B129" s="23" t="s">
        <v>160</v>
      </c>
      <c r="C129" s="50">
        <f>C125/(C124-C125)</f>
        <v>0.23442652355595889</v>
      </c>
      <c r="D129" s="37" t="s">
        <v>268</v>
      </c>
      <c r="E129" s="23"/>
      <c r="F129" s="23">
        <v>48</v>
      </c>
      <c r="G129" s="24">
        <v>11160.418103999998</v>
      </c>
      <c r="H129" s="23">
        <f t="shared" si="14"/>
        <v>48</v>
      </c>
    </row>
    <row r="130" spans="1:8">
      <c r="A130" s="19" t="s">
        <v>267</v>
      </c>
      <c r="B130" s="23" t="s">
        <v>161</v>
      </c>
      <c r="C130" s="50">
        <f>C129*Combustion_Chaud1!$C$15/D130</f>
        <v>0.17430557114648773</v>
      </c>
      <c r="D130" s="125">
        <f>(Combustion_Chaud1!M77*Combustion_Chaud1!$C$25+Combustion_Chaud1!M78*Combustion_Chaud1!$C$13+Combustion_Chaud1!M79*Combustion_Chaud1!$C$11+Combustion_Chaud1!M80*Combustion_Chaud1!$C$26)</f>
        <v>24.229056096766609</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266</v>
      </c>
      <c r="B132" s="23" t="s">
        <v>160</v>
      </c>
      <c r="C132" s="50">
        <f>C125/C124</f>
        <v>0.18990723148159241</v>
      </c>
      <c r="D132" s="23"/>
      <c r="E132" s="23"/>
      <c r="F132" s="23">
        <v>60</v>
      </c>
      <c r="G132" s="24">
        <v>19915.700111999999</v>
      </c>
      <c r="H132" s="23">
        <f t="shared" si="14"/>
        <v>60</v>
      </c>
    </row>
    <row r="133" spans="1:8">
      <c r="A133" s="19" t="s">
        <v>265</v>
      </c>
      <c r="B133" s="23" t="s">
        <v>160</v>
      </c>
      <c r="C133" s="115">
        <f>C132*C124</f>
        <v>1.9814924702445025</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148</v>
      </c>
      <c r="B135" s="23"/>
      <c r="C135" s="37" t="str">
        <f>IF(C136&gt;C122,"VRAI","FAUX")</f>
        <v>VRAI</v>
      </c>
      <c r="D135" s="23"/>
      <c r="E135" s="23"/>
      <c r="F135" s="23">
        <v>75</v>
      </c>
      <c r="G135" s="24">
        <v>38543.505839999998</v>
      </c>
      <c r="H135" s="23">
        <f t="shared" si="14"/>
        <v>75</v>
      </c>
    </row>
    <row r="136" spans="1:8" ht="15.6">
      <c r="A136" s="19" t="s">
        <v>144</v>
      </c>
      <c r="B136" s="116" t="s">
        <v>264</v>
      </c>
      <c r="C136" s="115">
        <f>F209</f>
        <v>59.1942344830736</v>
      </c>
      <c r="D136" s="23"/>
      <c r="E136" s="23"/>
      <c r="F136" s="23">
        <v>80</v>
      </c>
      <c r="G136" s="24">
        <v>47342.784240000001</v>
      </c>
      <c r="H136" s="23">
        <f t="shared" si="14"/>
        <v>80</v>
      </c>
    </row>
    <row r="137" spans="1:8">
      <c r="B137" s="23"/>
      <c r="C137" s="23"/>
      <c r="D137" s="23"/>
      <c r="E137" s="23"/>
      <c r="F137" s="23">
        <v>85</v>
      </c>
      <c r="G137" s="24">
        <v>57808.592639999995</v>
      </c>
      <c r="H137" s="23">
        <f t="shared" ref="H137:H168" si="15">F137</f>
        <v>85</v>
      </c>
    </row>
    <row r="138" spans="1:8">
      <c r="A138" s="124" t="s">
        <v>157</v>
      </c>
      <c r="B138" s="23" t="s">
        <v>155</v>
      </c>
      <c r="C138" s="24">
        <f>G215</f>
        <v>610.48326959999986</v>
      </c>
      <c r="D138" s="23"/>
      <c r="E138" s="23"/>
      <c r="F138" s="23">
        <v>90</v>
      </c>
      <c r="G138" s="24">
        <v>70095.585023999985</v>
      </c>
      <c r="H138" s="23">
        <f t="shared" si="15"/>
        <v>90</v>
      </c>
    </row>
    <row r="139" spans="1:8">
      <c r="A139" s="23" t="s">
        <v>167</v>
      </c>
      <c r="B139" s="23" t="s">
        <v>263</v>
      </c>
      <c r="C139" s="50">
        <f>IF(C135,C138/C106,"-")</f>
        <v>6.0250014270910425E-3</v>
      </c>
      <c r="D139" s="23"/>
      <c r="E139" s="23"/>
      <c r="F139" s="23">
        <v>91</v>
      </c>
      <c r="G139" s="24">
        <v>72800.696519999983</v>
      </c>
      <c r="H139" s="23">
        <f t="shared" si="15"/>
        <v>91</v>
      </c>
    </row>
    <row r="140" spans="1:8">
      <c r="A140" s="23" t="s">
        <v>148</v>
      </c>
      <c r="B140" s="23" t="s">
        <v>263</v>
      </c>
      <c r="C140" s="50">
        <f>IF(C135,C132-C139,0)</f>
        <v>0.18388223005450138</v>
      </c>
      <c r="D140" s="23"/>
      <c r="E140" s="23"/>
      <c r="F140" s="23">
        <v>92</v>
      </c>
      <c r="G140" s="24">
        <v>75592.467575999995</v>
      </c>
      <c r="H140" s="23">
        <f t="shared" si="15"/>
        <v>92</v>
      </c>
    </row>
    <row r="141" spans="1:8">
      <c r="A141" s="23" t="s">
        <v>148</v>
      </c>
      <c r="B141" s="23" t="s">
        <v>86</v>
      </c>
      <c r="C141" s="50">
        <f>IF(C135,C140*C124,0)</f>
        <v>1.9186275921255749</v>
      </c>
      <c r="D141" s="23"/>
      <c r="E141" s="23"/>
      <c r="F141" s="23">
        <v>93</v>
      </c>
      <c r="G141" s="24">
        <v>78473.564639999997</v>
      </c>
      <c r="H141" s="23">
        <f t="shared" si="15"/>
        <v>93</v>
      </c>
    </row>
    <row r="142" spans="1:8">
      <c r="A142" s="23" t="s">
        <v>148</v>
      </c>
      <c r="B142" s="23" t="s">
        <v>168</v>
      </c>
      <c r="C142" s="68">
        <f>IF(C135,C141*Combustion_Chaud1!$C$15,0)</f>
        <v>34.564613287868028</v>
      </c>
      <c r="D142" s="23"/>
      <c r="E142" s="23"/>
      <c r="F142" s="23">
        <v>94</v>
      </c>
      <c r="G142" s="24">
        <v>81446.654159999991</v>
      </c>
      <c r="H142" s="23">
        <f t="shared" si="15"/>
        <v>94</v>
      </c>
    </row>
    <row r="143" spans="1:8">
      <c r="B143" s="23"/>
      <c r="C143" s="23"/>
      <c r="D143" s="23"/>
      <c r="E143" s="23"/>
      <c r="F143" s="23">
        <v>95</v>
      </c>
      <c r="G143" s="24">
        <v>84513.069359999994</v>
      </c>
      <c r="H143" s="23">
        <f t="shared" si="15"/>
        <v>95</v>
      </c>
    </row>
    <row r="144" spans="1:8" ht="14.4">
      <c r="A144" s="19" t="s">
        <v>262</v>
      </c>
      <c r="B144" s="23"/>
      <c r="C144" s="126">
        <f>IF(C135,1,IF(C122&lt;100,C127/C138,"N / A"))</f>
        <v>1</v>
      </c>
      <c r="D144" s="23"/>
      <c r="E144" s="23"/>
      <c r="F144" s="23">
        <v>96</v>
      </c>
      <c r="G144" s="24">
        <v>87675.476687999995</v>
      </c>
      <c r="H144" s="23">
        <f t="shared" si="15"/>
        <v>96</v>
      </c>
    </row>
    <row r="145" spans="2:8">
      <c r="B145" s="23"/>
      <c r="C145" s="23"/>
      <c r="D145" s="23"/>
      <c r="E145" s="23"/>
      <c r="F145" s="23">
        <v>97</v>
      </c>
      <c r="G145" s="24">
        <v>90935.209367999996</v>
      </c>
      <c r="H145" s="23">
        <f t="shared" si="15"/>
        <v>97</v>
      </c>
    </row>
    <row r="146" spans="2:8">
      <c r="B146" s="23"/>
      <c r="C146" s="23"/>
      <c r="D146" s="23"/>
      <c r="E146" s="23"/>
      <c r="F146" s="23">
        <v>98</v>
      </c>
      <c r="G146" s="24">
        <v>94294.933847999986</v>
      </c>
      <c r="H146" s="23">
        <f t="shared" si="15"/>
        <v>98</v>
      </c>
    </row>
    <row r="147" spans="2:8">
      <c r="B147" s="23"/>
      <c r="C147" s="23"/>
      <c r="D147" s="23"/>
      <c r="E147" s="23"/>
      <c r="F147" s="23">
        <v>99</v>
      </c>
      <c r="G147" s="24">
        <v>97757.316575999997</v>
      </c>
      <c r="H147" s="23">
        <f t="shared" si="15"/>
        <v>99</v>
      </c>
    </row>
    <row r="148" spans="2:8">
      <c r="B148" s="23"/>
      <c r="C148" s="23"/>
      <c r="D148" s="23"/>
      <c r="E148" s="23"/>
      <c r="F148" s="23">
        <v>100</v>
      </c>
      <c r="G148" s="24">
        <v>101325.02399999999</v>
      </c>
      <c r="H148" s="23">
        <f t="shared" si="15"/>
        <v>100</v>
      </c>
    </row>
    <row r="149" spans="2:8">
      <c r="B149" s="23"/>
      <c r="C149" s="23"/>
      <c r="D149" s="23"/>
      <c r="E149" s="23"/>
      <c r="F149" s="23">
        <v>105</v>
      </c>
      <c r="G149" s="24">
        <v>120820</v>
      </c>
      <c r="H149" s="23">
        <f t="shared" si="15"/>
        <v>105</v>
      </c>
    </row>
    <row r="150" spans="2:8">
      <c r="B150" s="23"/>
      <c r="C150" s="23"/>
      <c r="D150" s="23"/>
      <c r="E150" s="23"/>
      <c r="F150" s="23">
        <v>110</v>
      </c>
      <c r="G150" s="24">
        <v>143270</v>
      </c>
      <c r="H150" s="23">
        <f t="shared" si="15"/>
        <v>110</v>
      </c>
    </row>
    <row r="151" spans="2:8">
      <c r="B151" s="23"/>
      <c r="C151" s="23"/>
      <c r="D151" s="23"/>
      <c r="E151" s="23"/>
      <c r="F151" s="23">
        <v>115</v>
      </c>
      <c r="G151" s="24">
        <v>169060</v>
      </c>
      <c r="H151" s="23">
        <f t="shared" si="15"/>
        <v>115</v>
      </c>
    </row>
    <row r="152" spans="2:8">
      <c r="B152" s="23"/>
      <c r="C152" s="23"/>
      <c r="D152" s="23"/>
      <c r="E152" s="23"/>
      <c r="F152" s="23">
        <v>120</v>
      </c>
      <c r="G152" s="24">
        <v>198530</v>
      </c>
      <c r="H152" s="23">
        <f t="shared" si="15"/>
        <v>120</v>
      </c>
    </row>
    <row r="153" spans="2:8">
      <c r="B153" s="23"/>
      <c r="C153" s="23"/>
      <c r="D153" s="23"/>
      <c r="E153" s="23"/>
      <c r="F153" s="23">
        <v>125</v>
      </c>
      <c r="G153" s="24">
        <v>232100</v>
      </c>
      <c r="H153" s="23">
        <f t="shared" si="15"/>
        <v>125</v>
      </c>
    </row>
    <row r="154" spans="2:8">
      <c r="B154" s="23"/>
      <c r="C154" s="23"/>
      <c r="D154" s="23"/>
      <c r="E154" s="23"/>
      <c r="F154" s="23">
        <v>130</v>
      </c>
      <c r="G154" s="24">
        <v>270100</v>
      </c>
      <c r="H154" s="23">
        <f t="shared" si="15"/>
        <v>130</v>
      </c>
    </row>
    <row r="155" spans="2:8">
      <c r="B155" s="23"/>
      <c r="C155" s="23"/>
      <c r="D155" s="23"/>
      <c r="E155" s="23"/>
      <c r="F155" s="23">
        <v>135</v>
      </c>
      <c r="G155" s="24">
        <v>313000</v>
      </c>
      <c r="H155" s="23">
        <f t="shared" si="15"/>
        <v>135</v>
      </c>
    </row>
    <row r="156" spans="2:8">
      <c r="B156" s="23"/>
      <c r="C156" s="23"/>
      <c r="D156" s="23"/>
      <c r="E156" s="23"/>
      <c r="F156" s="23">
        <v>140</v>
      </c>
      <c r="G156" s="24">
        <v>361300</v>
      </c>
      <c r="H156" s="23">
        <f t="shared" si="15"/>
        <v>140</v>
      </c>
    </row>
    <row r="157" spans="2:8">
      <c r="B157" s="23"/>
      <c r="C157" s="23"/>
      <c r="D157" s="23"/>
      <c r="E157" s="23"/>
      <c r="F157" s="23">
        <v>145</v>
      </c>
      <c r="G157" s="24">
        <v>415400</v>
      </c>
      <c r="H157" s="23">
        <f t="shared" si="15"/>
        <v>145</v>
      </c>
    </row>
    <row r="158" spans="2:8">
      <c r="B158" s="23"/>
      <c r="C158" s="23"/>
      <c r="D158" s="23"/>
      <c r="E158" s="23"/>
      <c r="F158" s="23">
        <v>150</v>
      </c>
      <c r="G158" s="24">
        <v>475800</v>
      </c>
      <c r="H158" s="23">
        <f t="shared" si="15"/>
        <v>150</v>
      </c>
    </row>
    <row r="159" spans="2:8">
      <c r="B159" s="23"/>
      <c r="C159" s="23"/>
      <c r="D159" s="23"/>
      <c r="E159" s="23"/>
      <c r="F159" s="23">
        <v>155</v>
      </c>
      <c r="G159" s="24">
        <v>543100</v>
      </c>
      <c r="H159" s="23">
        <f t="shared" si="15"/>
        <v>155</v>
      </c>
    </row>
    <row r="160" spans="2:8">
      <c r="B160" s="23"/>
      <c r="C160" s="23"/>
      <c r="D160" s="23"/>
      <c r="E160" s="23"/>
      <c r="F160" s="23">
        <v>160</v>
      </c>
      <c r="G160" s="24">
        <v>617800</v>
      </c>
      <c r="H160" s="23">
        <f t="shared" si="15"/>
        <v>160</v>
      </c>
    </row>
    <row r="161" spans="2:8">
      <c r="B161" s="23"/>
      <c r="C161" s="23"/>
      <c r="D161" s="23"/>
      <c r="E161" s="23"/>
      <c r="F161" s="23">
        <v>165</v>
      </c>
      <c r="G161" s="24">
        <v>700500</v>
      </c>
      <c r="H161" s="23">
        <f t="shared" si="15"/>
        <v>165</v>
      </c>
    </row>
    <row r="162" spans="2:8">
      <c r="B162" s="23"/>
      <c r="C162" s="23"/>
      <c r="D162" s="23"/>
      <c r="E162" s="23"/>
      <c r="F162" s="23">
        <v>170</v>
      </c>
      <c r="G162" s="24">
        <v>791700</v>
      </c>
      <c r="H162" s="23">
        <f t="shared" si="15"/>
        <v>170</v>
      </c>
    </row>
    <row r="163" spans="2:8">
      <c r="B163" s="23"/>
      <c r="C163" s="23"/>
      <c r="D163" s="23"/>
      <c r="E163" s="23"/>
      <c r="F163" s="23">
        <v>175</v>
      </c>
      <c r="G163" s="24">
        <v>892000</v>
      </c>
      <c r="H163" s="23">
        <f t="shared" si="15"/>
        <v>175</v>
      </c>
    </row>
    <row r="164" spans="2:8">
      <c r="B164" s="23"/>
      <c r="C164" s="23"/>
      <c r="D164" s="23"/>
      <c r="E164" s="23"/>
      <c r="F164" s="23">
        <v>180</v>
      </c>
      <c r="G164" s="24">
        <v>1002100</v>
      </c>
      <c r="H164" s="23">
        <f t="shared" si="15"/>
        <v>180</v>
      </c>
    </row>
    <row r="165" spans="2:8">
      <c r="B165" s="23"/>
      <c r="C165" s="23"/>
      <c r="D165" s="23"/>
      <c r="E165" s="23"/>
      <c r="F165" s="23">
        <v>185</v>
      </c>
      <c r="G165" s="24">
        <v>1122700</v>
      </c>
      <c r="H165" s="23">
        <f t="shared" si="15"/>
        <v>185</v>
      </c>
    </row>
    <row r="166" spans="2:8">
      <c r="B166" s="23"/>
      <c r="C166" s="23"/>
      <c r="D166" s="23"/>
      <c r="E166" s="23"/>
      <c r="F166" s="23">
        <v>190</v>
      </c>
      <c r="G166" s="24">
        <v>1254400</v>
      </c>
      <c r="H166" s="23">
        <f t="shared" si="15"/>
        <v>190</v>
      </c>
    </row>
    <row r="167" spans="2:8">
      <c r="B167" s="23"/>
      <c r="C167" s="23"/>
      <c r="D167" s="23"/>
      <c r="E167" s="23"/>
      <c r="F167" s="23">
        <v>195</v>
      </c>
      <c r="G167" s="24">
        <v>1397800</v>
      </c>
      <c r="H167" s="23">
        <f t="shared" si="15"/>
        <v>195</v>
      </c>
    </row>
    <row r="168" spans="2:8">
      <c r="B168" s="23"/>
      <c r="C168" s="23"/>
      <c r="D168" s="23"/>
      <c r="E168" s="23"/>
      <c r="F168" s="23">
        <v>200</v>
      </c>
      <c r="G168" s="24">
        <v>1553800</v>
      </c>
      <c r="H168" s="23">
        <f t="shared" si="15"/>
        <v>200</v>
      </c>
    </row>
    <row r="169" spans="2:8">
      <c r="B169" s="23"/>
      <c r="C169" s="23"/>
      <c r="D169" s="23"/>
      <c r="E169" s="23"/>
      <c r="F169" s="23">
        <v>205</v>
      </c>
      <c r="G169" s="24">
        <v>1723000</v>
      </c>
      <c r="H169" s="23">
        <f t="shared" ref="H169:H192" si="16">F169</f>
        <v>205</v>
      </c>
    </row>
    <row r="170" spans="2:8">
      <c r="B170" s="23"/>
      <c r="C170" s="23"/>
      <c r="D170" s="23"/>
      <c r="E170" s="23"/>
      <c r="F170" s="23">
        <v>210</v>
      </c>
      <c r="G170" s="24">
        <v>1906200</v>
      </c>
      <c r="H170" s="23">
        <f t="shared" si="16"/>
        <v>210</v>
      </c>
    </row>
    <row r="171" spans="2:8">
      <c r="B171" s="23"/>
      <c r="C171" s="23"/>
      <c r="D171" s="23"/>
      <c r="E171" s="23"/>
      <c r="F171" s="23">
        <v>215</v>
      </c>
      <c r="G171" s="24">
        <v>2104000</v>
      </c>
      <c r="H171" s="23">
        <f t="shared" si="16"/>
        <v>215</v>
      </c>
    </row>
    <row r="172" spans="2:8">
      <c r="B172" s="23"/>
      <c r="C172" s="23"/>
      <c r="D172" s="23"/>
      <c r="E172" s="23"/>
      <c r="F172" s="23">
        <v>220</v>
      </c>
      <c r="G172" s="24">
        <v>2318000</v>
      </c>
      <c r="H172" s="23">
        <f t="shared" si="16"/>
        <v>220</v>
      </c>
    </row>
    <row r="173" spans="2:8">
      <c r="B173" s="23"/>
      <c r="C173" s="23"/>
      <c r="D173" s="23"/>
      <c r="E173" s="23"/>
      <c r="F173" s="23">
        <v>225</v>
      </c>
      <c r="G173" s="24">
        <v>2548000</v>
      </c>
      <c r="H173" s="23">
        <f t="shared" si="16"/>
        <v>225</v>
      </c>
    </row>
    <row r="174" spans="2:8">
      <c r="B174" s="23"/>
      <c r="C174" s="23"/>
      <c r="D174" s="23"/>
      <c r="E174" s="23"/>
      <c r="F174" s="23">
        <v>230</v>
      </c>
      <c r="G174" s="24">
        <v>2795000</v>
      </c>
      <c r="H174" s="23">
        <f t="shared" si="16"/>
        <v>230</v>
      </c>
    </row>
    <row r="175" spans="2:8">
      <c r="B175" s="23"/>
      <c r="C175" s="23"/>
      <c r="D175" s="23"/>
      <c r="E175" s="23"/>
      <c r="F175" s="23">
        <v>235</v>
      </c>
      <c r="G175" s="24">
        <v>3060000</v>
      </c>
      <c r="H175" s="23">
        <f t="shared" si="16"/>
        <v>235</v>
      </c>
    </row>
    <row r="176" spans="2:8">
      <c r="B176" s="23"/>
      <c r="C176" s="23"/>
      <c r="D176" s="23"/>
      <c r="E176" s="23"/>
      <c r="F176" s="23">
        <v>240</v>
      </c>
      <c r="G176" s="24">
        <v>3344000</v>
      </c>
      <c r="H176" s="23">
        <f t="shared" si="16"/>
        <v>240</v>
      </c>
    </row>
    <row r="177" spans="2:8">
      <c r="B177" s="23"/>
      <c r="C177" s="23"/>
      <c r="D177" s="23"/>
      <c r="E177" s="23"/>
      <c r="F177" s="23">
        <v>245</v>
      </c>
      <c r="G177" s="24">
        <v>3648000</v>
      </c>
      <c r="H177" s="23">
        <f t="shared" si="16"/>
        <v>245</v>
      </c>
    </row>
    <row r="178" spans="2:8">
      <c r="B178" s="23"/>
      <c r="C178" s="23"/>
      <c r="D178" s="23"/>
      <c r="E178" s="23"/>
      <c r="F178" s="23">
        <v>250</v>
      </c>
      <c r="G178" s="24">
        <v>3973000</v>
      </c>
      <c r="H178" s="23">
        <f t="shared" si="16"/>
        <v>250</v>
      </c>
    </row>
    <row r="179" spans="2:8">
      <c r="B179" s="23"/>
      <c r="C179" s="23"/>
      <c r="D179" s="23"/>
      <c r="E179" s="23"/>
      <c r="F179" s="23">
        <v>255</v>
      </c>
      <c r="G179" s="24">
        <v>4319000</v>
      </c>
      <c r="H179" s="23">
        <f t="shared" si="16"/>
        <v>255</v>
      </c>
    </row>
    <row r="180" spans="2:8">
      <c r="B180" s="23"/>
      <c r="C180" s="23"/>
      <c r="D180" s="23"/>
      <c r="E180" s="23"/>
      <c r="F180" s="23">
        <v>260</v>
      </c>
      <c r="G180" s="24">
        <v>4688000</v>
      </c>
      <c r="H180" s="23">
        <f t="shared" si="16"/>
        <v>260</v>
      </c>
    </row>
    <row r="181" spans="2:8">
      <c r="B181" s="23"/>
      <c r="C181" s="23"/>
      <c r="D181" s="23"/>
      <c r="E181" s="23"/>
      <c r="F181" s="23">
        <v>265</v>
      </c>
      <c r="G181" s="24">
        <v>5081000</v>
      </c>
      <c r="H181" s="23">
        <f t="shared" si="16"/>
        <v>265</v>
      </c>
    </row>
    <row r="182" spans="2:8">
      <c r="B182" s="23"/>
      <c r="C182" s="23"/>
      <c r="D182" s="23"/>
      <c r="E182" s="23"/>
      <c r="F182" s="23">
        <v>270</v>
      </c>
      <c r="G182" s="24">
        <v>5499000</v>
      </c>
      <c r="H182" s="23">
        <f t="shared" si="16"/>
        <v>270</v>
      </c>
    </row>
    <row r="183" spans="2:8">
      <c r="B183" s="23"/>
      <c r="C183" s="23"/>
      <c r="D183" s="23"/>
      <c r="E183" s="23"/>
      <c r="F183" s="23">
        <v>275</v>
      </c>
      <c r="G183" s="24">
        <v>5942000</v>
      </c>
      <c r="H183" s="23">
        <f t="shared" si="16"/>
        <v>275</v>
      </c>
    </row>
    <row r="184" spans="2:8">
      <c r="B184" s="23"/>
      <c r="C184" s="23"/>
      <c r="D184" s="23"/>
      <c r="E184" s="23"/>
      <c r="F184" s="23">
        <v>280</v>
      </c>
      <c r="G184" s="24">
        <v>6412000</v>
      </c>
      <c r="H184" s="23">
        <f t="shared" si="16"/>
        <v>280</v>
      </c>
    </row>
    <row r="185" spans="2:8">
      <c r="B185" s="23"/>
      <c r="C185" s="23"/>
      <c r="D185" s="23"/>
      <c r="E185" s="23"/>
      <c r="F185" s="23">
        <v>285</v>
      </c>
      <c r="G185" s="24">
        <v>6909000</v>
      </c>
      <c r="H185" s="23">
        <f t="shared" si="16"/>
        <v>285</v>
      </c>
    </row>
    <row r="186" spans="2:8">
      <c r="B186" s="23"/>
      <c r="C186" s="23"/>
      <c r="D186" s="23"/>
      <c r="E186" s="23"/>
      <c r="F186" s="23">
        <v>290</v>
      </c>
      <c r="G186" s="24">
        <v>7436000</v>
      </c>
      <c r="H186" s="23">
        <f t="shared" si="16"/>
        <v>290</v>
      </c>
    </row>
    <row r="187" spans="2:8">
      <c r="B187" s="23"/>
      <c r="C187" s="23"/>
      <c r="D187" s="23"/>
      <c r="E187" s="23"/>
      <c r="F187" s="23">
        <v>295</v>
      </c>
      <c r="G187" s="24">
        <v>7993000</v>
      </c>
      <c r="H187" s="23">
        <f t="shared" si="16"/>
        <v>295</v>
      </c>
    </row>
    <row r="188" spans="2:8">
      <c r="B188" s="23"/>
      <c r="C188" s="23"/>
      <c r="D188" s="23"/>
      <c r="E188" s="23"/>
      <c r="F188" s="23">
        <v>300</v>
      </c>
      <c r="G188" s="24">
        <v>8581000</v>
      </c>
      <c r="H188" s="23">
        <f t="shared" si="16"/>
        <v>300</v>
      </c>
    </row>
    <row r="189" spans="2:8">
      <c r="B189" s="23"/>
      <c r="C189" s="23"/>
      <c r="D189" s="23"/>
      <c r="E189" s="23"/>
      <c r="F189" s="23">
        <v>320</v>
      </c>
      <c r="G189" s="23">
        <v>11274000</v>
      </c>
      <c r="H189" s="23">
        <f t="shared" si="16"/>
        <v>320</v>
      </c>
    </row>
    <row r="190" spans="2:8">
      <c r="B190" s="23"/>
      <c r="C190" s="23"/>
      <c r="D190" s="23"/>
      <c r="E190" s="23"/>
      <c r="F190" s="23">
        <v>340</v>
      </c>
      <c r="G190" s="23">
        <v>14586000</v>
      </c>
      <c r="H190" s="23">
        <f t="shared" si="16"/>
        <v>340</v>
      </c>
    </row>
    <row r="191" spans="2:8">
      <c r="B191" s="23"/>
      <c r="C191" s="23"/>
      <c r="D191" s="23"/>
      <c r="E191" s="23"/>
      <c r="F191" s="23">
        <v>360</v>
      </c>
      <c r="G191" s="23">
        <v>18651000</v>
      </c>
      <c r="H191" s="23">
        <f t="shared" si="16"/>
        <v>360</v>
      </c>
    </row>
    <row r="192" spans="2:8">
      <c r="B192" s="23"/>
      <c r="C192" s="23"/>
      <c r="D192" s="23"/>
      <c r="E192" s="23"/>
      <c r="F192" s="24">
        <v>374.14</v>
      </c>
      <c r="G192" s="24">
        <v>22090000</v>
      </c>
      <c r="H192" s="24">
        <f t="shared" si="16"/>
        <v>374.14</v>
      </c>
    </row>
    <row r="193" spans="2:8">
      <c r="B193" s="23"/>
      <c r="C193" s="23"/>
      <c r="D193" s="23"/>
      <c r="E193" s="23"/>
      <c r="F193" s="23"/>
      <c r="G193" s="23"/>
      <c r="H193" s="23"/>
    </row>
    <row r="194" spans="2:8">
      <c r="B194" s="23"/>
      <c r="C194" s="23"/>
      <c r="D194" s="23"/>
      <c r="E194" s="23"/>
      <c r="F194" s="1920" t="s">
        <v>169</v>
      </c>
      <c r="G194" s="1921"/>
      <c r="H194" s="1937"/>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20" t="s">
        <v>172</v>
      </c>
      <c r="G200" s="1921"/>
      <c r="H200" s="1937"/>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20" t="s">
        <v>261</v>
      </c>
      <c r="G206" s="1921"/>
      <c r="H206" s="1937"/>
    </row>
    <row r="207" spans="2:8">
      <c r="B207" s="23"/>
      <c r="C207" s="23"/>
      <c r="D207" s="23"/>
      <c r="E207" s="23"/>
      <c r="F207" s="35" t="s">
        <v>170</v>
      </c>
      <c r="G207" s="37" t="s">
        <v>171</v>
      </c>
      <c r="H207" s="67"/>
    </row>
    <row r="208" spans="2:8">
      <c r="B208" s="23"/>
      <c r="C208" s="23"/>
      <c r="D208" s="23"/>
      <c r="E208" s="23"/>
      <c r="F208" s="49">
        <f>VLOOKUP(G208,$G$105:$H$192,2)</f>
        <v>55</v>
      </c>
      <c r="G208" s="24">
        <f>VLOOKUP(C127,G105:H192,1)</f>
        <v>15737.376096</v>
      </c>
      <c r="H208" s="46">
        <f>MATCH(F208,F105:F192,1)</f>
        <v>27</v>
      </c>
    </row>
    <row r="209" spans="2:8">
      <c r="B209" s="23"/>
      <c r="C209" s="23"/>
      <c r="D209" s="23"/>
      <c r="E209" s="23"/>
      <c r="F209" s="49">
        <f>F208+(G209-G208)/(G210-G208)*(F210-F208)</f>
        <v>59.1942344830736</v>
      </c>
      <c r="G209" s="24">
        <f>C127</f>
        <v>19242.350229872351</v>
      </c>
      <c r="H209" s="46"/>
    </row>
    <row r="210" spans="2:8">
      <c r="B210" s="23"/>
      <c r="C210" s="23"/>
      <c r="D210" s="23"/>
      <c r="E210" s="23"/>
      <c r="F210" s="61">
        <f>INDEX(F105:F192,H210)</f>
        <v>60</v>
      </c>
      <c r="G210" s="69">
        <f>VLOOKUP(F210,F105:G192,2)</f>
        <v>19915.700111999999</v>
      </c>
      <c r="H210" s="58">
        <f>H208+1</f>
        <v>28</v>
      </c>
    </row>
    <row r="211" spans="2:8">
      <c r="B211" s="23"/>
      <c r="C211" s="23"/>
      <c r="D211" s="23"/>
      <c r="E211" s="23"/>
    </row>
    <row r="212" spans="2:8">
      <c r="B212" s="23"/>
      <c r="C212" s="23"/>
      <c r="D212" s="23"/>
      <c r="E212" s="23"/>
      <c r="F212" s="1920" t="s">
        <v>173</v>
      </c>
      <c r="G212" s="1921"/>
      <c r="H212" s="1937"/>
    </row>
    <row r="213" spans="2:8">
      <c r="B213" s="23"/>
      <c r="C213" s="23"/>
      <c r="D213" s="23"/>
      <c r="E213" s="23"/>
      <c r="F213" s="35" t="s">
        <v>170</v>
      </c>
      <c r="G213" s="37" t="s">
        <v>171</v>
      </c>
      <c r="H213" s="67"/>
    </row>
    <row r="214" spans="2:8">
      <c r="B214" s="23"/>
      <c r="C214" s="23"/>
      <c r="D214" s="23"/>
      <c r="E214" s="23"/>
      <c r="F214" s="49">
        <f>VLOOKUP(F215,F105:G192,1)</f>
        <v>0</v>
      </c>
      <c r="G214" s="24">
        <f>VLOOKUP(F214,$F$105:$G$192,2)</f>
        <v>610.48326959999986</v>
      </c>
      <c r="H214" s="46">
        <f>MATCH(F214,F105:F192,1)</f>
        <v>1</v>
      </c>
    </row>
    <row r="215" spans="2:8">
      <c r="B215" s="23"/>
      <c r="C215" s="23"/>
      <c r="D215" s="23"/>
      <c r="E215" s="23"/>
      <c r="F215" s="49">
        <f>C122</f>
        <v>0</v>
      </c>
      <c r="G215" s="24">
        <f>G214+((F215-F214)/(F216-F214))*(G216-G214)</f>
        <v>610.48326959999986</v>
      </c>
      <c r="H215" s="46"/>
    </row>
    <row r="216" spans="2:8">
      <c r="B216" s="23"/>
      <c r="C216" s="23"/>
      <c r="D216" s="23"/>
      <c r="E216" s="23"/>
      <c r="F216" s="61">
        <f>INDEX(F105:F192,H216)</f>
        <v>2</v>
      </c>
      <c r="G216" s="69">
        <f>VLOOKUP(F216,$F$105:$G$192,2)</f>
        <v>705.80878559999985</v>
      </c>
      <c r="H216" s="58">
        <f>H214+1</f>
        <v>2</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mergeCells count="25">
    <mergeCell ref="F194:H194"/>
    <mergeCell ref="F200:H200"/>
    <mergeCell ref="F212:H212"/>
    <mergeCell ref="F206:H206"/>
    <mergeCell ref="N5:V5"/>
    <mergeCell ref="D48:H48"/>
    <mergeCell ref="A46:I46"/>
    <mergeCell ref="D7:E7"/>
    <mergeCell ref="F7:I7"/>
    <mergeCell ref="F8:I8"/>
    <mergeCell ref="J5:M5"/>
    <mergeCell ref="J6:M6"/>
    <mergeCell ref="M7:M8"/>
    <mergeCell ref="J29:L29"/>
    <mergeCell ref="D9:E9"/>
    <mergeCell ref="M72:N72"/>
    <mergeCell ref="D71:G71"/>
    <mergeCell ref="L71:N71"/>
    <mergeCell ref="T6:V6"/>
    <mergeCell ref="N6:P6"/>
    <mergeCell ref="Q6:S6"/>
    <mergeCell ref="A70:G70"/>
    <mergeCell ref="F9:I9"/>
    <mergeCell ref="I70:N70"/>
    <mergeCell ref="C7:C8"/>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DD64-11ED-4F39-AF57-CE33E6306A16}">
  <sheetPr codeName="Feuil31">
    <tabColor rgb="FFFFC000"/>
  </sheetPr>
  <dimension ref="A2:X355"/>
  <sheetViews>
    <sheetView workbookViewId="0"/>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16384" width="11.44140625" style="19"/>
  </cols>
  <sheetData>
    <row r="2" spans="1:24">
      <c r="E2" s="20" t="s">
        <v>64</v>
      </c>
      <c r="F2" s="21" t="s">
        <v>16</v>
      </c>
      <c r="G2" s="22">
        <f>1-(G4/(G5+ABS(L27)))</f>
        <v>1.0044118150193189</v>
      </c>
    </row>
    <row r="4" spans="1:24">
      <c r="E4" s="23" t="s">
        <v>65</v>
      </c>
      <c r="F4" s="23" t="s">
        <v>66</v>
      </c>
      <c r="G4" s="255">
        <f>V27</f>
        <v>-3903.8528152104623</v>
      </c>
      <c r="H4" s="25"/>
    </row>
    <row r="5" spans="1:24">
      <c r="A5" s="26" t="s">
        <v>67</v>
      </c>
      <c r="E5" s="23" t="s">
        <v>68</v>
      </c>
      <c r="F5" s="23" t="s">
        <v>66</v>
      </c>
      <c r="G5" s="255">
        <f>P27+S27</f>
        <v>1864.5674656378285</v>
      </c>
      <c r="J5" s="1941" t="s">
        <v>339</v>
      </c>
      <c r="K5" s="1942"/>
      <c r="L5" s="1942"/>
      <c r="M5" s="1943"/>
      <c r="N5" s="1938" t="s">
        <v>69</v>
      </c>
      <c r="O5" s="1939"/>
      <c r="P5" s="1939"/>
      <c r="Q5" s="1939"/>
      <c r="R5" s="1939"/>
      <c r="S5" s="1939"/>
      <c r="T5" s="1939"/>
      <c r="U5" s="1939"/>
      <c r="V5" s="1940"/>
    </row>
    <row r="6" spans="1:24">
      <c r="A6" s="300" t="s">
        <v>338</v>
      </c>
      <c r="J6" s="1944" t="s">
        <v>337</v>
      </c>
      <c r="K6" s="1945"/>
      <c r="L6" s="1945"/>
      <c r="M6" s="1946"/>
      <c r="N6" s="1926" t="s">
        <v>336</v>
      </c>
      <c r="O6" s="1927"/>
      <c r="P6" s="1928"/>
      <c r="Q6" s="1926" t="s">
        <v>70</v>
      </c>
      <c r="R6" s="1927"/>
      <c r="S6" s="1928"/>
      <c r="T6" s="1926" t="s">
        <v>123</v>
      </c>
      <c r="U6" s="1927"/>
      <c r="V6" s="1928"/>
    </row>
    <row r="7" spans="1:24" ht="14.25" customHeight="1">
      <c r="C7" s="1935" t="s">
        <v>335</v>
      </c>
      <c r="D7" s="1920" t="s">
        <v>334</v>
      </c>
      <c r="E7" s="1937"/>
      <c r="F7" s="1920" t="s">
        <v>333</v>
      </c>
      <c r="G7" s="1921"/>
      <c r="H7" s="1921"/>
      <c r="I7" s="1921"/>
      <c r="J7" s="28" t="s">
        <v>71</v>
      </c>
      <c r="K7" s="29" t="s">
        <v>72</v>
      </c>
      <c r="L7" s="29" t="s">
        <v>332</v>
      </c>
      <c r="M7" s="1947" t="s">
        <v>331</v>
      </c>
      <c r="N7" s="30" t="s">
        <v>73</v>
      </c>
      <c r="O7" s="31">
        <f>'3c. Calculator EEM 2-3'!I34</f>
        <v>20</v>
      </c>
      <c r="P7" s="32"/>
      <c r="Q7" s="33" t="s">
        <v>73</v>
      </c>
      <c r="R7" s="34">
        <f>'3c. Calculator EEM 2-3'!I33</f>
        <v>20</v>
      </c>
      <c r="S7" s="32"/>
      <c r="T7" s="33" t="s">
        <v>73</v>
      </c>
      <c r="U7" s="34">
        <f>'3c. Calculator EEM 2-3'!I32</f>
        <v>0</v>
      </c>
      <c r="V7" s="32"/>
    </row>
    <row r="8" spans="1:24" ht="42">
      <c r="C8" s="1936"/>
      <c r="D8" s="299" t="s">
        <v>330</v>
      </c>
      <c r="E8" s="298" t="s">
        <v>329</v>
      </c>
      <c r="F8" s="1923" t="s">
        <v>74</v>
      </c>
      <c r="G8" s="1924"/>
      <c r="H8" s="1924"/>
      <c r="I8" s="1924"/>
      <c r="J8" s="35" t="s">
        <v>75</v>
      </c>
      <c r="K8" s="37" t="s">
        <v>75</v>
      </c>
      <c r="L8" s="37"/>
      <c r="M8" s="1948"/>
      <c r="N8" s="37" t="s">
        <v>76</v>
      </c>
      <c r="O8" s="37" t="s">
        <v>77</v>
      </c>
      <c r="P8" s="36" t="s">
        <v>78</v>
      </c>
      <c r="Q8" s="35" t="s">
        <v>76</v>
      </c>
      <c r="R8" s="37" t="s">
        <v>77</v>
      </c>
      <c r="S8" s="36" t="s">
        <v>78</v>
      </c>
      <c r="T8" s="35" t="s">
        <v>76</v>
      </c>
      <c r="U8" s="37" t="s">
        <v>77</v>
      </c>
      <c r="V8" s="36" t="s">
        <v>78</v>
      </c>
    </row>
    <row r="9" spans="1:24" ht="20.399999999999999">
      <c r="B9" s="19" t="s">
        <v>35</v>
      </c>
      <c r="C9" s="247" t="s">
        <v>328</v>
      </c>
      <c r="D9" s="1954" t="s">
        <v>328</v>
      </c>
      <c r="E9" s="1955"/>
      <c r="F9" s="1932" t="s">
        <v>111</v>
      </c>
      <c r="G9" s="1933"/>
      <c r="H9" s="1933"/>
      <c r="I9" s="1934"/>
      <c r="J9" s="35"/>
      <c r="K9" s="37"/>
      <c r="L9" s="37"/>
      <c r="M9" s="297" t="s">
        <v>327</v>
      </c>
      <c r="N9" s="37"/>
      <c r="O9" s="37"/>
      <c r="P9" s="36"/>
      <c r="Q9" s="37"/>
      <c r="R9" s="37"/>
      <c r="S9" s="36"/>
      <c r="T9" s="37"/>
      <c r="U9" s="37"/>
      <c r="V9" s="36"/>
    </row>
    <row r="10" spans="1:24" ht="2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row>
    <row r="11" spans="1:24" ht="15.6">
      <c r="A11" s="44" t="s">
        <v>88</v>
      </c>
      <c r="B11" s="45" t="s">
        <v>89</v>
      </c>
      <c r="C11" s="290">
        <v>31.998799999999999</v>
      </c>
      <c r="D11" s="283">
        <v>0</v>
      </c>
      <c r="E11" s="282">
        <v>0</v>
      </c>
      <c r="F11" s="47">
        <v>29.1</v>
      </c>
      <c r="G11" s="48">
        <v>1.1579999999999999</v>
      </c>
      <c r="H11" s="48">
        <v>-0.60760000000000003</v>
      </c>
      <c r="I11" s="48">
        <v>1.3109999999999999</v>
      </c>
      <c r="J11" s="49">
        <f>N11*C11</f>
        <v>0</v>
      </c>
      <c r="K11" s="48">
        <f t="shared" ref="K11:K26" si="0">($E$29*(C11/1000))/($B$32*$B$29)*N11</f>
        <v>0</v>
      </c>
      <c r="L11" s="255">
        <f t="shared" ref="L11:L26" si="1">N11*E11</f>
        <v>0</v>
      </c>
      <c r="M11" s="279">
        <f t="shared" ref="M11:M26" si="2">N11*D11/2*$W$15</f>
        <v>0</v>
      </c>
      <c r="N11" s="51">
        <f>Combustion_Chaud2!C53/100</f>
        <v>0</v>
      </c>
      <c r="O11" s="50">
        <f t="shared" ref="O11:O26" si="3">AVERAGE($F11+$G11/100*O$7+$H11/100000*O$7^2+$I11/1000000000*O$7^3,$F11+$G11/100*$B$28+$H11/100000*$B$28^2+$I11/1000000000*$B$28^3)</f>
        <v>29.303892412703927</v>
      </c>
      <c r="P11" s="52">
        <f>N11*O11*(O$7-$B$28)</f>
        <v>0</v>
      </c>
      <c r="Q11" s="51">
        <f>Combustion_Chaud2!G88</f>
        <v>1.9809999999999999</v>
      </c>
      <c r="R11" s="50">
        <f t="shared" ref="R11:R26" si="4">AVERAGE($F11+$G11/100*R$7+$H11/100000*R$7^2+$I11/1000000000*R$7^3,$F11+$G11/100*$B$28+$H11/100000*$B$28^2+$I11/1000000000*$B$28^3)</f>
        <v>29.303892412703927</v>
      </c>
      <c r="S11" s="282">
        <f>Q11*R11*(R$7-$B$28)</f>
        <v>258.32699836957079</v>
      </c>
      <c r="T11" s="51">
        <f>Combustion_Chaud2!L79</f>
        <v>0</v>
      </c>
      <c r="U11" s="50">
        <f t="shared" ref="U11:U26" si="5">AVERAGE($F11+$G11/100*U$7+$H11/100000*U$7^2+$I11/1000000000*U$7^3,$F11+$G11/100*$B$28+$H11/100000*$B$28^2+$I11/1000000000*$B$28^3)</f>
        <v>29.189302368703927</v>
      </c>
      <c r="V11" s="282">
        <f>T11*U11*(U$7-$B$28)</f>
        <v>0</v>
      </c>
    </row>
    <row r="12" spans="1:24">
      <c r="A12" s="53" t="s">
        <v>299</v>
      </c>
      <c r="B12" s="19" t="s">
        <v>90</v>
      </c>
      <c r="C12" s="284">
        <v>28.010100000000001</v>
      </c>
      <c r="D12" s="283">
        <v>0</v>
      </c>
      <c r="E12" s="282">
        <v>-282910</v>
      </c>
      <c r="F12" s="51">
        <v>28.95</v>
      </c>
      <c r="G12" s="50">
        <v>0.41099999999999998</v>
      </c>
      <c r="H12" s="50">
        <v>0.3548</v>
      </c>
      <c r="I12" s="50">
        <v>-2.2200000000000002</v>
      </c>
      <c r="J12" s="49">
        <f t="shared" ref="J12:J26" si="6">N12*C12</f>
        <v>0</v>
      </c>
      <c r="K12" s="50">
        <f t="shared" si="0"/>
        <v>0</v>
      </c>
      <c r="L12" s="255">
        <f t="shared" si="1"/>
        <v>0</v>
      </c>
      <c r="M12" s="279">
        <f t="shared" si="2"/>
        <v>0</v>
      </c>
      <c r="N12" s="51">
        <f>Combustion_Chaud2!C54/100</f>
        <v>0</v>
      </c>
      <c r="O12" s="50">
        <f t="shared" si="3"/>
        <v>29.024180754002948</v>
      </c>
      <c r="P12" s="52">
        <f>N12*O12*(O$7-$B$28)</f>
        <v>0</v>
      </c>
      <c r="Q12" s="285"/>
      <c r="R12" s="50">
        <f t="shared" si="4"/>
        <v>29.024180754002948</v>
      </c>
      <c r="S12" s="282">
        <f>Q12*R12*(R$7-$B$28)</f>
        <v>0</v>
      </c>
      <c r="T12" s="285"/>
      <c r="U12" s="50">
        <f t="shared" si="5"/>
        <v>28.982380034002947</v>
      </c>
      <c r="V12" s="282">
        <f>T12*U12*(U$7-$B$28)</f>
        <v>0</v>
      </c>
    </row>
    <row r="13" spans="1:24" ht="15.6">
      <c r="A13" s="53" t="s">
        <v>284</v>
      </c>
      <c r="B13" s="19" t="s">
        <v>91</v>
      </c>
      <c r="C13" s="284">
        <v>44.009500000000003</v>
      </c>
      <c r="D13" s="283">
        <v>0</v>
      </c>
      <c r="E13" s="282">
        <v>0</v>
      </c>
      <c r="F13" s="51">
        <v>36.11</v>
      </c>
      <c r="G13" s="50">
        <v>4.2329999999999997</v>
      </c>
      <c r="H13" s="50">
        <v>-2.887</v>
      </c>
      <c r="I13" s="50">
        <v>7.4640000000000004</v>
      </c>
      <c r="J13" s="49">
        <f t="shared" si="6"/>
        <v>0.28166080000000004</v>
      </c>
      <c r="K13" s="50">
        <f t="shared" si="0"/>
        <v>1.1916985502539782E-2</v>
      </c>
      <c r="L13" s="255">
        <f t="shared" si="1"/>
        <v>0</v>
      </c>
      <c r="M13" s="279">
        <f t="shared" si="2"/>
        <v>0</v>
      </c>
      <c r="N13" s="51">
        <f>Combustion_Chaud2!C55/100</f>
        <v>6.4000000000000003E-3</v>
      </c>
      <c r="O13" s="50">
        <f t="shared" si="3"/>
        <v>36.853195219340265</v>
      </c>
      <c r="P13" s="52">
        <f>N13*O13*(O$7-$B$28)</f>
        <v>1.0495789998468106</v>
      </c>
      <c r="Q13" s="285"/>
      <c r="R13" s="50">
        <f t="shared" si="4"/>
        <v>36.853195219340265</v>
      </c>
      <c r="S13" s="282">
        <f>Q13*R13*(R$7-$B$28)</f>
        <v>0</v>
      </c>
      <c r="T13" s="51">
        <f>Combustion_Chaud2!L78</f>
        <v>1.0020999999999998</v>
      </c>
      <c r="U13" s="50">
        <f t="shared" si="5"/>
        <v>36.435639363340258</v>
      </c>
      <c r="V13" s="282">
        <f>T13*U13*(U$7-$B$28)</f>
        <v>-567.76399790335086</v>
      </c>
    </row>
    <row r="14" spans="1:24" ht="15.6">
      <c r="A14" s="53" t="s">
        <v>92</v>
      </c>
      <c r="B14" s="19" t="s">
        <v>93</v>
      </c>
      <c r="C14" s="284">
        <v>2.0158800000000001</v>
      </c>
      <c r="D14" s="283">
        <v>2</v>
      </c>
      <c r="E14" s="282">
        <v>-286130</v>
      </c>
      <c r="F14" s="51">
        <v>28.84</v>
      </c>
      <c r="G14" s="50">
        <v>7.6499999999999997E-3</v>
      </c>
      <c r="H14" s="50">
        <v>0.32879999999999998</v>
      </c>
      <c r="I14" s="50">
        <v>-0.86980000000000002</v>
      </c>
      <c r="J14" s="49">
        <f t="shared" si="6"/>
        <v>0</v>
      </c>
      <c r="K14" s="50">
        <f t="shared" si="0"/>
        <v>0</v>
      </c>
      <c r="L14" s="255">
        <f t="shared" si="1"/>
        <v>0</v>
      </c>
      <c r="M14" s="279">
        <f t="shared" si="2"/>
        <v>0</v>
      </c>
      <c r="N14" s="51">
        <f>Combustion_Chaud2!C56/100</f>
        <v>0</v>
      </c>
      <c r="O14" s="50">
        <f t="shared" si="3"/>
        <v>28.842409796373442</v>
      </c>
      <c r="P14" s="52">
        <f>N14*O14*(O$7-$B$28)</f>
        <v>0</v>
      </c>
      <c r="Q14" s="285"/>
      <c r="R14" s="50">
        <f t="shared" si="4"/>
        <v>28.842409796373442</v>
      </c>
      <c r="S14" s="282">
        <f>Q14*R14*(R$7-$B$28)</f>
        <v>0</v>
      </c>
      <c r="T14" s="285"/>
      <c r="U14" s="50">
        <f t="shared" si="5"/>
        <v>28.840990675573444</v>
      </c>
      <c r="V14" s="282">
        <f>T14*U14*(U$7-$B$28)</f>
        <v>0</v>
      </c>
    </row>
    <row r="15" spans="1:24" ht="15.6">
      <c r="A15" s="53" t="s">
        <v>94</v>
      </c>
      <c r="B15" s="19" t="s">
        <v>298</v>
      </c>
      <c r="C15" s="284">
        <v>18.015280000000001</v>
      </c>
      <c r="D15" s="283">
        <v>2</v>
      </c>
      <c r="E15" s="282">
        <v>0</v>
      </c>
      <c r="F15" s="51">
        <v>33.46</v>
      </c>
      <c r="G15" s="50">
        <v>0.68799999999999994</v>
      </c>
      <c r="H15" s="50">
        <v>0.76039999999999996</v>
      </c>
      <c r="I15" s="50">
        <v>-3.593</v>
      </c>
      <c r="J15" s="49">
        <f t="shared" si="6"/>
        <v>0</v>
      </c>
      <c r="K15" s="50">
        <f t="shared" si="0"/>
        <v>0</v>
      </c>
      <c r="L15" s="255">
        <f t="shared" si="1"/>
        <v>0</v>
      </c>
      <c r="M15" s="279">
        <f t="shared" si="2"/>
        <v>0</v>
      </c>
      <c r="N15" s="51">
        <f>Combustion_Chaud2!C57/100</f>
        <v>0</v>
      </c>
      <c r="O15" s="50">
        <f t="shared" si="3"/>
        <v>33.584711006213126</v>
      </c>
      <c r="P15" s="52">
        <f>N15*(W15+O15*(O$7-$B$28))</f>
        <v>0</v>
      </c>
      <c r="Q15" s="51">
        <f>Combustion_Chaud2!G89</f>
        <v>1.089247024450259E-2</v>
      </c>
      <c r="R15" s="50">
        <f t="shared" si="4"/>
        <v>33.584711006213126</v>
      </c>
      <c r="S15" s="282">
        <f>Q15*(W15+R15*(R$7-$B$28))</f>
        <v>485.34071968848002</v>
      </c>
      <c r="T15" s="51">
        <f>Combustion_Chaud2!L81-T16</f>
        <v>6.2864878118927603E-2</v>
      </c>
      <c r="U15" s="50">
        <f t="shared" si="5"/>
        <v>33.514404578213124</v>
      </c>
      <c r="V15" s="286">
        <f>((T15-G89)*$W$15)+(T15*U15*(U$7-$B$28))</f>
        <v>2275.2287210744284</v>
      </c>
      <c r="W15" s="257">
        <v>44408</v>
      </c>
      <c r="X15" s="19" t="s">
        <v>95</v>
      </c>
    </row>
    <row r="16" spans="1:24" ht="15.6">
      <c r="A16" s="53" t="s">
        <v>96</v>
      </c>
      <c r="B16" s="19" t="s">
        <v>324</v>
      </c>
      <c r="C16" s="284">
        <f>C15</f>
        <v>18.015280000000001</v>
      </c>
      <c r="D16" s="283">
        <v>2</v>
      </c>
      <c r="E16" s="282">
        <v>0</v>
      </c>
      <c r="F16" s="51">
        <v>75.400000000000006</v>
      </c>
      <c r="G16" s="50">
        <v>0</v>
      </c>
      <c r="H16" s="50">
        <v>0</v>
      </c>
      <c r="I16" s="50">
        <v>0</v>
      </c>
      <c r="J16" s="49">
        <f t="shared" si="6"/>
        <v>0</v>
      </c>
      <c r="K16" s="50">
        <f t="shared" si="0"/>
        <v>0</v>
      </c>
      <c r="L16" s="255">
        <f t="shared" si="1"/>
        <v>0</v>
      </c>
      <c r="M16" s="279">
        <f t="shared" si="2"/>
        <v>0</v>
      </c>
      <c r="N16" s="51">
        <v>0</v>
      </c>
      <c r="O16" s="50">
        <f t="shared" si="3"/>
        <v>75.400000000000006</v>
      </c>
      <c r="P16" s="52">
        <f t="shared" ref="P16:P26" si="7">N16*O16*(O$7-$B$28)</f>
        <v>0</v>
      </c>
      <c r="Q16" s="285"/>
      <c r="R16" s="50">
        <f t="shared" si="4"/>
        <v>75.400000000000006</v>
      </c>
      <c r="S16" s="282">
        <f t="shared" ref="S16:S26" si="8">Q16*R16*(R$7-$B$28)</f>
        <v>0</v>
      </c>
      <c r="T16" s="51">
        <f>Combustion_Chaud2!L92</f>
        <v>1.9186275921255749</v>
      </c>
      <c r="U16" s="50">
        <f t="shared" si="5"/>
        <v>75.400000000000006</v>
      </c>
      <c r="V16" s="286">
        <f t="shared" ref="V16:V26" si="9">T16*U16*(U$7-$B$28)</f>
        <v>-2249.5332929394731</v>
      </c>
    </row>
    <row r="17" spans="1:22" ht="15.6">
      <c r="A17" s="53" t="s">
        <v>97</v>
      </c>
      <c r="B17" s="19" t="s">
        <v>98</v>
      </c>
      <c r="C17" s="284">
        <v>16.042459999999998</v>
      </c>
      <c r="D17" s="283">
        <v>4</v>
      </c>
      <c r="E17" s="282">
        <v>-891460</v>
      </c>
      <c r="F17" s="51">
        <v>34.31</v>
      </c>
      <c r="G17" s="50">
        <v>5.4690000000000003</v>
      </c>
      <c r="H17" s="50">
        <v>0.36609999999999998</v>
      </c>
      <c r="I17" s="50">
        <v>-11</v>
      </c>
      <c r="J17" s="49">
        <f t="shared" si="6"/>
        <v>15.347821481999999</v>
      </c>
      <c r="K17" s="50">
        <f t="shared" si="0"/>
        <v>0.6493618071686319</v>
      </c>
      <c r="L17" s="255">
        <f t="shared" si="1"/>
        <v>-852859.78200000001</v>
      </c>
      <c r="M17" s="279">
        <f t="shared" si="2"/>
        <v>84970.267200000002</v>
      </c>
      <c r="N17" s="51">
        <f>Combustion_Chaud2!C58/100</f>
        <v>0.95669999999999999</v>
      </c>
      <c r="O17" s="50">
        <f t="shared" si="3"/>
        <v>35.283224889317438</v>
      </c>
      <c r="P17" s="52">
        <f t="shared" si="7"/>
        <v>150.21180256966446</v>
      </c>
      <c r="Q17" s="285"/>
      <c r="R17" s="50">
        <f t="shared" si="4"/>
        <v>35.283224889317438</v>
      </c>
      <c r="S17" s="282">
        <f t="shared" si="8"/>
        <v>0</v>
      </c>
      <c r="T17" s="285"/>
      <c r="U17" s="50">
        <f t="shared" si="5"/>
        <v>34.735636689317438</v>
      </c>
      <c r="V17" s="282">
        <f t="shared" si="9"/>
        <v>0</v>
      </c>
    </row>
    <row r="18" spans="1:22" ht="15.6">
      <c r="A18" s="53" t="s">
        <v>99</v>
      </c>
      <c r="B18" s="19" t="s">
        <v>297</v>
      </c>
      <c r="C18" s="284">
        <v>30.09562</v>
      </c>
      <c r="D18" s="283">
        <v>6</v>
      </c>
      <c r="E18" s="282">
        <v>-1562060</v>
      </c>
      <c r="F18" s="51">
        <v>49.37</v>
      </c>
      <c r="G18" s="50">
        <v>13.92</v>
      </c>
      <c r="H18" s="50">
        <v>-5.8159999999999998</v>
      </c>
      <c r="I18" s="50">
        <v>7.28</v>
      </c>
      <c r="J18" s="49">
        <f t="shared" si="6"/>
        <v>0.4875490440000001</v>
      </c>
      <c r="K18" s="50">
        <f t="shared" si="0"/>
        <v>2.0628056474756629E-2</v>
      </c>
      <c r="L18" s="255">
        <f t="shared" si="1"/>
        <v>-25305.372000000003</v>
      </c>
      <c r="M18" s="279">
        <f t="shared" si="2"/>
        <v>2158.2288000000003</v>
      </c>
      <c r="N18" s="51">
        <f>Combustion_Chaud2!C59/100</f>
        <v>1.6200000000000003E-2</v>
      </c>
      <c r="O18" s="50">
        <f t="shared" si="3"/>
        <v>51.825659189805108</v>
      </c>
      <c r="P18" s="52">
        <f t="shared" si="7"/>
        <v>3.73611177099305</v>
      </c>
      <c r="Q18" s="285"/>
      <c r="R18" s="50">
        <f t="shared" si="4"/>
        <v>51.825659189805108</v>
      </c>
      <c r="S18" s="282">
        <f t="shared" si="8"/>
        <v>0</v>
      </c>
      <c r="T18" s="285"/>
      <c r="U18" s="50">
        <f t="shared" si="5"/>
        <v>50.445262069805104</v>
      </c>
      <c r="V18" s="282">
        <f t="shared" si="9"/>
        <v>0</v>
      </c>
    </row>
    <row r="19" spans="1:22" ht="15.6">
      <c r="A19" s="53" t="s">
        <v>100</v>
      </c>
      <c r="B19" s="19" t="s">
        <v>296</v>
      </c>
      <c r="C19" s="284">
        <v>44.095619999999997</v>
      </c>
      <c r="D19" s="283">
        <v>8</v>
      </c>
      <c r="E19" s="282">
        <v>-2220990</v>
      </c>
      <c r="F19" s="51">
        <v>68.031999999999996</v>
      </c>
      <c r="G19" s="50">
        <v>22.59</v>
      </c>
      <c r="H19" s="50">
        <v>-13.11</v>
      </c>
      <c r="I19" s="50">
        <v>31.71</v>
      </c>
      <c r="J19" s="49">
        <f t="shared" si="6"/>
        <v>6.1733868000000004E-2</v>
      </c>
      <c r="K19" s="50">
        <f t="shared" si="0"/>
        <v>2.611941775254862E-3</v>
      </c>
      <c r="L19" s="255">
        <f t="shared" si="1"/>
        <v>-3109.3860000000004</v>
      </c>
      <c r="M19" s="279">
        <f t="shared" si="2"/>
        <v>248.68480000000002</v>
      </c>
      <c r="N19" s="51">
        <f>Combustion_Chaud2!C60/100</f>
        <v>1.4000000000000002E-3</v>
      </c>
      <c r="O19" s="50">
        <f t="shared" si="3"/>
        <v>72.005488801382796</v>
      </c>
      <c r="P19" s="52">
        <f t="shared" si="7"/>
        <v>0.44859419523261485</v>
      </c>
      <c r="Q19" s="285"/>
      <c r="R19" s="50">
        <f t="shared" si="4"/>
        <v>72.005488801382796</v>
      </c>
      <c r="S19" s="282">
        <f t="shared" si="8"/>
        <v>0</v>
      </c>
      <c r="T19" s="285"/>
      <c r="U19" s="50">
        <f t="shared" si="5"/>
        <v>69.772581961382798</v>
      </c>
      <c r="V19" s="282">
        <f t="shared" si="9"/>
        <v>0</v>
      </c>
    </row>
    <row r="20" spans="1:22" ht="15.6">
      <c r="A20" s="53" t="s">
        <v>323</v>
      </c>
      <c r="B20" s="19" t="s">
        <v>322</v>
      </c>
      <c r="C20" s="284">
        <v>58.122199999999999</v>
      </c>
      <c r="D20" s="283">
        <v>10</v>
      </c>
      <c r="E20" s="286">
        <v>-2870450</v>
      </c>
      <c r="F20" s="51">
        <v>89.46</v>
      </c>
      <c r="G20" s="50">
        <v>30.13</v>
      </c>
      <c r="H20" s="50">
        <v>-18.91</v>
      </c>
      <c r="I20" s="50">
        <v>49.87</v>
      </c>
      <c r="J20" s="49">
        <f t="shared" si="6"/>
        <v>2.324888E-2</v>
      </c>
      <c r="K20" s="50">
        <f t="shared" si="0"/>
        <v>9.8365326630573758E-4</v>
      </c>
      <c r="L20" s="255">
        <f t="shared" si="1"/>
        <v>-1148.18</v>
      </c>
      <c r="M20" s="279">
        <f t="shared" si="2"/>
        <v>88.816000000000003</v>
      </c>
      <c r="N20" s="51">
        <f>Combustion_Chaud2!C61/100</f>
        <v>4.0000000000000002E-4</v>
      </c>
      <c r="O20" s="50">
        <f t="shared" si="3"/>
        <v>94.755218309944979</v>
      </c>
      <c r="P20" s="52">
        <f t="shared" si="7"/>
        <v>0.16866428859170204</v>
      </c>
      <c r="Q20" s="285"/>
      <c r="R20" s="50">
        <f t="shared" si="4"/>
        <v>94.755218309944979</v>
      </c>
      <c r="S20" s="282">
        <f t="shared" si="8"/>
        <v>0</v>
      </c>
      <c r="T20" s="285"/>
      <c r="U20" s="50">
        <f t="shared" si="5"/>
        <v>91.779838829944993</v>
      </c>
      <c r="V20" s="282">
        <f t="shared" si="9"/>
        <v>0</v>
      </c>
    </row>
    <row r="21" spans="1:22" ht="15.6">
      <c r="A21" s="53" t="s">
        <v>101</v>
      </c>
      <c r="B21" s="19" t="s">
        <v>321</v>
      </c>
      <c r="C21" s="284">
        <f>C20</f>
        <v>58.122199999999999</v>
      </c>
      <c r="D21" s="283">
        <v>10</v>
      </c>
      <c r="E21" s="289">
        <v>-2879630</v>
      </c>
      <c r="F21" s="51">
        <v>92.3</v>
      </c>
      <c r="G21" s="50">
        <v>27.88</v>
      </c>
      <c r="H21" s="50">
        <v>-15.47</v>
      </c>
      <c r="I21" s="50">
        <v>34.979999999999997</v>
      </c>
      <c r="J21" s="49">
        <f t="shared" si="6"/>
        <v>1.162444E-2</v>
      </c>
      <c r="K21" s="50">
        <f t="shared" si="0"/>
        <v>4.9182663315286879E-4</v>
      </c>
      <c r="L21" s="255">
        <f t="shared" si="1"/>
        <v>-575.92600000000004</v>
      </c>
      <c r="M21" s="279">
        <f t="shared" si="2"/>
        <v>44.408000000000001</v>
      </c>
      <c r="N21" s="51">
        <f>Combustion_Chaud2!C62/100</f>
        <v>2.0000000000000001E-4</v>
      </c>
      <c r="O21" s="50">
        <f t="shared" si="3"/>
        <v>97.206232259530026</v>
      </c>
      <c r="P21" s="52">
        <f t="shared" si="7"/>
        <v>8.6513546710981701E-2</v>
      </c>
      <c r="Q21" s="285"/>
      <c r="R21" s="50">
        <f t="shared" si="4"/>
        <v>97.206232259530026</v>
      </c>
      <c r="S21" s="282">
        <f t="shared" si="8"/>
        <v>0</v>
      </c>
      <c r="T21" s="285"/>
      <c r="U21" s="50">
        <f t="shared" si="5"/>
        <v>94.449032339530021</v>
      </c>
      <c r="V21" s="282">
        <f t="shared" si="9"/>
        <v>0</v>
      </c>
    </row>
    <row r="22" spans="1:22" ht="15.6">
      <c r="A22" s="53" t="s">
        <v>320</v>
      </c>
      <c r="B22" s="19" t="s">
        <v>292</v>
      </c>
      <c r="C22" s="284">
        <v>72.148780000000002</v>
      </c>
      <c r="D22" s="283">
        <v>12</v>
      </c>
      <c r="E22" s="286">
        <v>-3531520</v>
      </c>
      <c r="F22" s="288">
        <f>F23</f>
        <v>114.8</v>
      </c>
      <c r="G22" s="287">
        <f>G23</f>
        <v>34.090000000000003</v>
      </c>
      <c r="H22" s="287">
        <f>H23</f>
        <v>-18.989999999999998</v>
      </c>
      <c r="I22" s="287">
        <f>I23</f>
        <v>42.26</v>
      </c>
      <c r="J22" s="49">
        <f t="shared" si="6"/>
        <v>0</v>
      </c>
      <c r="K22" s="50">
        <f t="shared" si="0"/>
        <v>0</v>
      </c>
      <c r="L22" s="255">
        <f t="shared" si="1"/>
        <v>0</v>
      </c>
      <c r="M22" s="279">
        <f t="shared" si="2"/>
        <v>0</v>
      </c>
      <c r="N22" s="51">
        <f>Combustion_Chaud2!C63/100</f>
        <v>0</v>
      </c>
      <c r="O22" s="50">
        <f t="shared" si="3"/>
        <v>120.79880684203513</v>
      </c>
      <c r="P22" s="52">
        <f t="shared" si="7"/>
        <v>0</v>
      </c>
      <c r="Q22" s="285"/>
      <c r="R22" s="50">
        <f t="shared" si="4"/>
        <v>120.79880684203513</v>
      </c>
      <c r="S22" s="282">
        <f t="shared" si="8"/>
        <v>0</v>
      </c>
      <c r="T22" s="285"/>
      <c r="U22" s="50">
        <f t="shared" si="5"/>
        <v>117.42761780203513</v>
      </c>
      <c r="V22" s="282">
        <f t="shared" si="9"/>
        <v>0</v>
      </c>
    </row>
    <row r="23" spans="1:22" ht="15.6">
      <c r="A23" s="53" t="s">
        <v>291</v>
      </c>
      <c r="B23" s="19" t="s">
        <v>290</v>
      </c>
      <c r="C23" s="284">
        <f>C22</f>
        <v>72.148780000000002</v>
      </c>
      <c r="D23" s="283">
        <v>12</v>
      </c>
      <c r="E23" s="286">
        <v>-3538450</v>
      </c>
      <c r="F23" s="51">
        <v>114.8</v>
      </c>
      <c r="G23" s="50">
        <v>34.090000000000003</v>
      </c>
      <c r="H23" s="50">
        <v>-18.989999999999998</v>
      </c>
      <c r="I23" s="50">
        <v>42.26</v>
      </c>
      <c r="J23" s="49">
        <f t="shared" si="6"/>
        <v>0</v>
      </c>
      <c r="K23" s="50">
        <f t="shared" si="0"/>
        <v>0</v>
      </c>
      <c r="L23" s="255">
        <f t="shared" si="1"/>
        <v>0</v>
      </c>
      <c r="M23" s="279">
        <f t="shared" si="2"/>
        <v>0</v>
      </c>
      <c r="N23" s="51">
        <f>Combustion_Chaud2!C64/100</f>
        <v>0</v>
      </c>
      <c r="O23" s="50">
        <f t="shared" si="3"/>
        <v>120.79880684203513</v>
      </c>
      <c r="P23" s="52">
        <f t="shared" si="7"/>
        <v>0</v>
      </c>
      <c r="Q23" s="285"/>
      <c r="R23" s="50">
        <f t="shared" si="4"/>
        <v>120.79880684203513</v>
      </c>
      <c r="S23" s="282">
        <f t="shared" si="8"/>
        <v>0</v>
      </c>
      <c r="T23" s="285"/>
      <c r="U23" s="50">
        <f t="shared" si="5"/>
        <v>117.42761780203513</v>
      </c>
      <c r="V23" s="282">
        <f t="shared" si="9"/>
        <v>0</v>
      </c>
    </row>
    <row r="24" spans="1:22" ht="15.6">
      <c r="A24" s="53" t="s">
        <v>289</v>
      </c>
      <c r="B24" s="19" t="s">
        <v>288</v>
      </c>
      <c r="C24" s="284">
        <v>86.175359999999998</v>
      </c>
      <c r="D24" s="283">
        <v>14</v>
      </c>
      <c r="E24" s="282">
        <v>-4198060</v>
      </c>
      <c r="F24" s="51">
        <v>137.44</v>
      </c>
      <c r="G24" s="50">
        <v>40.85</v>
      </c>
      <c r="H24" s="50">
        <v>-23.92</v>
      </c>
      <c r="I24" s="50">
        <v>57.66</v>
      </c>
      <c r="J24" s="49">
        <f t="shared" si="6"/>
        <v>0</v>
      </c>
      <c r="K24" s="50">
        <f t="shared" si="0"/>
        <v>0</v>
      </c>
      <c r="L24" s="255">
        <f t="shared" si="1"/>
        <v>0</v>
      </c>
      <c r="M24" s="279">
        <f t="shared" si="2"/>
        <v>0</v>
      </c>
      <c r="N24" s="51">
        <f>Combustion_Chaud2!C65/100</f>
        <v>0</v>
      </c>
      <c r="O24" s="50">
        <f t="shared" si="3"/>
        <v>144.62466696263243</v>
      </c>
      <c r="P24" s="52">
        <f t="shared" si="7"/>
        <v>0</v>
      </c>
      <c r="Q24" s="285"/>
      <c r="R24" s="50">
        <f t="shared" si="4"/>
        <v>144.62466696263243</v>
      </c>
      <c r="S24" s="282">
        <f t="shared" si="8"/>
        <v>0</v>
      </c>
      <c r="T24" s="285"/>
      <c r="U24" s="50">
        <f t="shared" si="5"/>
        <v>140.58727632263245</v>
      </c>
      <c r="V24" s="282">
        <f t="shared" si="9"/>
        <v>0</v>
      </c>
    </row>
    <row r="25" spans="1:22" ht="15.6">
      <c r="A25" s="53" t="s">
        <v>102</v>
      </c>
      <c r="B25" s="19" t="s">
        <v>103</v>
      </c>
      <c r="C25" s="284">
        <v>28.013400000000001</v>
      </c>
      <c r="D25" s="283">
        <v>0</v>
      </c>
      <c r="E25" s="282">
        <v>0</v>
      </c>
      <c r="F25" s="51">
        <v>29</v>
      </c>
      <c r="G25" s="50">
        <v>0.21990000000000001</v>
      </c>
      <c r="H25" s="50">
        <v>0.57230000000000003</v>
      </c>
      <c r="I25" s="50">
        <v>-2.871</v>
      </c>
      <c r="J25" s="49">
        <f t="shared" si="6"/>
        <v>0.51544656</v>
      </c>
      <c r="K25" s="50">
        <f t="shared" si="0"/>
        <v>2.1808392161259224E-2</v>
      </c>
      <c r="L25" s="255">
        <f t="shared" si="1"/>
        <v>0</v>
      </c>
      <c r="M25" s="279">
        <f t="shared" si="2"/>
        <v>0</v>
      </c>
      <c r="N25" s="51">
        <f>Combustion_Chaud2!C66/100</f>
        <v>1.84E-2</v>
      </c>
      <c r="O25" s="50">
        <f t="shared" si="3"/>
        <v>29.040906861332303</v>
      </c>
      <c r="P25" s="52">
        <f t="shared" si="7"/>
        <v>2.3778694538058889</v>
      </c>
      <c r="Q25" s="51">
        <f>Combustion_Chaud2!G87</f>
        <v>7.4501097253831423</v>
      </c>
      <c r="R25" s="50">
        <f t="shared" si="4"/>
        <v>29.040906861332303</v>
      </c>
      <c r="S25" s="282">
        <f t="shared" si="8"/>
        <v>962.79284475493216</v>
      </c>
      <c r="T25" s="51">
        <f>Combustion_Chaud2!L77</f>
        <v>7.4501097253831423</v>
      </c>
      <c r="U25" s="50">
        <f t="shared" si="5"/>
        <v>29.017783745332302</v>
      </c>
      <c r="V25" s="282">
        <f t="shared" si="9"/>
        <v>-3361.6872134420669</v>
      </c>
    </row>
    <row r="26" spans="1:22">
      <c r="A26" s="55" t="s">
        <v>104</v>
      </c>
      <c r="B26" s="56" t="s">
        <v>105</v>
      </c>
      <c r="C26" s="281">
        <v>4.0026020000000004</v>
      </c>
      <c r="D26" s="280">
        <v>0</v>
      </c>
      <c r="E26" s="275">
        <v>0</v>
      </c>
      <c r="F26" s="59">
        <v>20.8</v>
      </c>
      <c r="G26" s="60">
        <v>0</v>
      </c>
      <c r="H26" s="60">
        <v>0</v>
      </c>
      <c r="I26" s="60">
        <v>0</v>
      </c>
      <c r="J26" s="61">
        <f t="shared" si="6"/>
        <v>1.2007806E-3</v>
      </c>
      <c r="K26" s="60">
        <f t="shared" si="0"/>
        <v>5.0804673571654341E-5</v>
      </c>
      <c r="L26" s="252">
        <f t="shared" si="1"/>
        <v>0</v>
      </c>
      <c r="M26" s="279">
        <f t="shared" si="2"/>
        <v>0</v>
      </c>
      <c r="N26" s="59">
        <f>Combustion_Chaud2!C67/100</f>
        <v>2.9999999999999997E-4</v>
      </c>
      <c r="O26" s="60">
        <f t="shared" si="3"/>
        <v>20.8</v>
      </c>
      <c r="P26" s="278">
        <f t="shared" si="7"/>
        <v>2.7767999999999994E-2</v>
      </c>
      <c r="Q26" s="277"/>
      <c r="R26" s="60">
        <f t="shared" si="4"/>
        <v>20.8</v>
      </c>
      <c r="S26" s="275">
        <f t="shared" si="8"/>
        <v>0</v>
      </c>
      <c r="T26" s="276">
        <f>L80</f>
        <v>2.9999999999999997E-4</v>
      </c>
      <c r="U26" s="60">
        <f t="shared" si="5"/>
        <v>20.8</v>
      </c>
      <c r="V26" s="275">
        <f t="shared" si="9"/>
        <v>-9.7032000000000007E-2</v>
      </c>
    </row>
    <row r="27" spans="1:22">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f>SUM(Q11:Q26)</f>
        <v>9.4420021956276443</v>
      </c>
      <c r="R27" s="63"/>
      <c r="S27" s="269">
        <f>SUM(S11:S26)</f>
        <v>1706.460562812983</v>
      </c>
      <c r="T27" s="64">
        <f>SUM(T11:T26)</f>
        <v>10.434002195627643</v>
      </c>
      <c r="U27" s="63"/>
      <c r="V27" s="269">
        <f>SUM(V11:V26)</f>
        <v>-3903.8528152104623</v>
      </c>
    </row>
    <row r="28" spans="1:22">
      <c r="A28" s="38" t="s">
        <v>319</v>
      </c>
      <c r="B28" s="268">
        <v>15.55</v>
      </c>
      <c r="C28" s="38" t="s">
        <v>318</v>
      </c>
      <c r="D28" s="38" t="s">
        <v>195</v>
      </c>
      <c r="E28" s="268">
        <v>14.73</v>
      </c>
      <c r="F28" s="19" t="s">
        <v>317</v>
      </c>
    </row>
    <row r="29" spans="1:22">
      <c r="A29" s="38"/>
      <c r="B29" s="267">
        <f>B28+273.15</f>
        <v>288.7</v>
      </c>
      <c r="C29" s="38" t="s">
        <v>316</v>
      </c>
      <c r="D29" s="38"/>
      <c r="E29" s="266">
        <f>E28/0.145038*1000</f>
        <v>101559.59127952674</v>
      </c>
      <c r="F29" s="19" t="s">
        <v>155</v>
      </c>
      <c r="J29" s="1949" t="s">
        <v>315</v>
      </c>
      <c r="K29" s="1950"/>
      <c r="L29" s="1951"/>
    </row>
    <row r="30" spans="1:22">
      <c r="A30" s="38" t="s">
        <v>314</v>
      </c>
      <c r="J30" s="265" t="s">
        <v>313</v>
      </c>
      <c r="K30" s="264" t="s">
        <v>312</v>
      </c>
      <c r="L30" s="263"/>
      <c r="N30" s="23"/>
      <c r="U30" s="24"/>
      <c r="V30" s="24"/>
    </row>
    <row r="31" spans="1:22">
      <c r="D31" s="23"/>
      <c r="J31" s="262">
        <f>K31-M27/1000</f>
        <v>795.48824120000018</v>
      </c>
      <c r="K31" s="261">
        <f>ABS(L27/1000)</f>
        <v>882.99864600000012</v>
      </c>
      <c r="L31" s="66" t="s">
        <v>107</v>
      </c>
    </row>
    <row r="32" spans="1:22">
      <c r="A32" s="38" t="s">
        <v>311</v>
      </c>
      <c r="B32" s="37">
        <v>8.3144621000000001</v>
      </c>
      <c r="C32" s="19" t="s">
        <v>310</v>
      </c>
      <c r="J32" s="256">
        <f>J31/(J27/1000)</f>
        <v>47547.797336725132</v>
      </c>
      <c r="K32" s="255">
        <f>K31/(J27/1000)</f>
        <v>52778.455411580377</v>
      </c>
      <c r="L32" s="67" t="s">
        <v>108</v>
      </c>
    </row>
    <row r="33" spans="1:13" ht="15.6">
      <c r="F33" s="24"/>
      <c r="I33" s="23"/>
      <c r="J33" s="260">
        <f>(J32/1000)*K27</f>
        <v>33.656873224180529</v>
      </c>
      <c r="K33" s="259">
        <f>(K32/1000)*K27</f>
        <v>37.359412680586914</v>
      </c>
      <c r="L33" s="67" t="s">
        <v>109</v>
      </c>
      <c r="M33" s="19" t="s">
        <v>303</v>
      </c>
    </row>
    <row r="34" spans="1:13">
      <c r="A34" s="26" t="s">
        <v>309</v>
      </c>
      <c r="F34" s="24"/>
      <c r="I34" s="23"/>
      <c r="J34" s="258"/>
      <c r="K34" s="257"/>
      <c r="L34" s="67"/>
    </row>
    <row r="35" spans="1:13" ht="15.6">
      <c r="A35" s="254" t="s">
        <v>308</v>
      </c>
      <c r="F35" s="24"/>
      <c r="I35" s="24"/>
      <c r="J35" s="256">
        <f>(J33*1000)/1.055056*0.02831685</f>
        <v>903.32326488654292</v>
      </c>
      <c r="K35" s="255">
        <f>(K33*1000)/1.055056*0.02831685</f>
        <v>1002.696430297802</v>
      </c>
      <c r="L35" s="67" t="s">
        <v>307</v>
      </c>
      <c r="M35" s="19" t="s">
        <v>303</v>
      </c>
    </row>
    <row r="36" spans="1:13" ht="15.6">
      <c r="A36" s="254" t="s">
        <v>306</v>
      </c>
      <c r="J36" s="256">
        <f>(J32/1.055056)*0.4535924</f>
        <v>20441.871814082628</v>
      </c>
      <c r="K36" s="255">
        <f>(K32/1.055056)*0.4535924</f>
        <v>22690.649840796821</v>
      </c>
      <c r="L36" s="67" t="s">
        <v>305</v>
      </c>
    </row>
    <row r="37" spans="1:13">
      <c r="A37" s="254"/>
      <c r="J37" s="253">
        <f>J35/7.480519</f>
        <v>120.75676365323621</v>
      </c>
      <c r="K37" s="252">
        <f>K35/7.480519</f>
        <v>134.04102446605668</v>
      </c>
      <c r="L37" s="70" t="s">
        <v>304</v>
      </c>
      <c r="M37" s="19" t="s">
        <v>303</v>
      </c>
    </row>
    <row r="39" spans="1:13">
      <c r="B39" s="23"/>
      <c r="F39" s="38"/>
      <c r="H39" s="71"/>
    </row>
    <row r="40" spans="1:13">
      <c r="B40" s="23"/>
      <c r="F40" s="72" t="s">
        <v>112</v>
      </c>
      <c r="H40" s="38"/>
    </row>
    <row r="41" spans="1:13">
      <c r="B41" s="23"/>
      <c r="E41" s="73" t="s">
        <v>102</v>
      </c>
      <c r="F41" s="251">
        <v>0.78995048751598307</v>
      </c>
      <c r="H41" s="38"/>
    </row>
    <row r="42" spans="1:13">
      <c r="B42" s="23"/>
      <c r="E42" s="73" t="s">
        <v>88</v>
      </c>
      <c r="F42" s="251">
        <f>1-F41</f>
        <v>0.21004951248401693</v>
      </c>
      <c r="G42" s="74"/>
      <c r="H42" s="38"/>
    </row>
    <row r="43" spans="1:13">
      <c r="A43" s="26" t="s">
        <v>113</v>
      </c>
      <c r="B43" s="23"/>
      <c r="E43" s="73" t="s">
        <v>114</v>
      </c>
      <c r="F43" s="251">
        <v>0</v>
      </c>
      <c r="G43" s="74"/>
      <c r="H43" s="38"/>
    </row>
    <row r="44" spans="1:13">
      <c r="B44" s="23"/>
      <c r="F44" s="74"/>
      <c r="G44" s="74"/>
      <c r="H44" s="75"/>
    </row>
    <row r="45" spans="1:13" ht="16.2" thickBot="1">
      <c r="B45" s="23"/>
      <c r="G45" s="68"/>
      <c r="H45" s="76"/>
    </row>
    <row r="46" spans="1:13">
      <c r="A46" s="1929" t="s">
        <v>302</v>
      </c>
      <c r="B46" s="1930"/>
      <c r="C46" s="1930"/>
      <c r="D46" s="1930"/>
      <c r="E46" s="1930"/>
      <c r="F46" s="1930"/>
      <c r="G46" s="1930"/>
      <c r="H46" s="1930"/>
      <c r="I46" s="1930"/>
      <c r="J46" s="250"/>
    </row>
    <row r="47" spans="1:13">
      <c r="A47" s="77"/>
      <c r="B47" s="37"/>
      <c r="C47" s="37"/>
      <c r="D47" s="37"/>
      <c r="E47" s="37"/>
      <c r="J47" s="248"/>
    </row>
    <row r="48" spans="1:13">
      <c r="A48" s="79"/>
      <c r="B48" s="24"/>
      <c r="C48" s="27" t="s">
        <v>115</v>
      </c>
      <c r="D48" s="1920" t="s">
        <v>301</v>
      </c>
      <c r="E48" s="1921"/>
      <c r="F48" s="1921"/>
      <c r="G48" s="1921"/>
      <c r="H48" s="1937"/>
      <c r="I48" s="249" t="s">
        <v>287</v>
      </c>
      <c r="J48" s="248"/>
    </row>
    <row r="49" spans="1:9" ht="15.6">
      <c r="A49" s="79"/>
      <c r="B49" s="24"/>
      <c r="C49" s="247" t="s">
        <v>300</v>
      </c>
      <c r="D49" s="35" t="s">
        <v>116</v>
      </c>
      <c r="E49" s="37" t="s">
        <v>117</v>
      </c>
      <c r="F49" s="37" t="s">
        <v>105</v>
      </c>
      <c r="G49" s="37" t="s">
        <v>118</v>
      </c>
      <c r="H49" s="36" t="s">
        <v>119</v>
      </c>
      <c r="I49" s="80" t="s">
        <v>120</v>
      </c>
    </row>
    <row r="50" spans="1:9">
      <c r="A50" s="81" t="s">
        <v>121</v>
      </c>
      <c r="B50" s="23"/>
      <c r="C50" s="82"/>
      <c r="D50" s="35"/>
      <c r="E50" s="37"/>
      <c r="F50" s="37"/>
      <c r="G50" s="37"/>
      <c r="H50" s="36"/>
      <c r="I50" s="83"/>
    </row>
    <row r="51" spans="1:9">
      <c r="A51" s="81"/>
      <c r="B51" s="84" t="s">
        <v>119</v>
      </c>
      <c r="C51" s="85">
        <f t="shared" ref="C51:I51" si="10">SUM(C53:C67)</f>
        <v>100.00000000000001</v>
      </c>
      <c r="D51" s="86">
        <f t="shared" si="10"/>
        <v>1.0020999999999998</v>
      </c>
      <c r="E51" s="87">
        <f t="shared" si="10"/>
        <v>1.9705999999999999</v>
      </c>
      <c r="F51" s="87">
        <f t="shared" si="10"/>
        <v>2.9999999999999997E-4</v>
      </c>
      <c r="G51" s="87">
        <f t="shared" si="10"/>
        <v>1.84E-2</v>
      </c>
      <c r="H51" s="88">
        <f t="shared" si="10"/>
        <v>2.9914000000000001</v>
      </c>
      <c r="I51" s="89">
        <f t="shared" si="10"/>
        <v>1.9809999999999999</v>
      </c>
    </row>
    <row r="52" spans="1:9">
      <c r="A52" s="79"/>
      <c r="B52" s="23"/>
      <c r="H52" s="50"/>
      <c r="I52" s="78"/>
    </row>
    <row r="53" spans="1:9" ht="15.6">
      <c r="A53" s="79" t="s">
        <v>88</v>
      </c>
      <c r="B53" s="19" t="s">
        <v>89</v>
      </c>
      <c r="C53" s="305">
        <v>0</v>
      </c>
      <c r="D53" s="90"/>
      <c r="E53" s="90"/>
      <c r="F53" s="90"/>
      <c r="G53" s="90"/>
      <c r="H53" s="50">
        <f t="shared" ref="H53:H67" si="11">SUM(D53:G53)</f>
        <v>0</v>
      </c>
      <c r="I53" s="91">
        <f>-C53/100</f>
        <v>0</v>
      </c>
    </row>
    <row r="54" spans="1:9">
      <c r="A54" s="79" t="s">
        <v>299</v>
      </c>
      <c r="B54" s="19" t="s">
        <v>90</v>
      </c>
      <c r="C54" s="305">
        <v>0</v>
      </c>
      <c r="D54" s="90">
        <f>C54/100</f>
        <v>0</v>
      </c>
      <c r="E54" s="90"/>
      <c r="F54" s="90"/>
      <c r="G54" s="90"/>
      <c r="H54" s="50">
        <f t="shared" si="11"/>
        <v>0</v>
      </c>
      <c r="I54" s="246">
        <f>D54+E54/2</f>
        <v>0</v>
      </c>
    </row>
    <row r="55" spans="1:9" ht="15.6">
      <c r="A55" s="79" t="s">
        <v>284</v>
      </c>
      <c r="B55" s="19" t="s">
        <v>91</v>
      </c>
      <c r="C55" s="305">
        <v>0.64</v>
      </c>
      <c r="D55" s="90">
        <f>C55/100</f>
        <v>6.4000000000000003E-3</v>
      </c>
      <c r="E55" s="90"/>
      <c r="F55" s="90"/>
      <c r="G55" s="90"/>
      <c r="H55" s="50">
        <f t="shared" si="11"/>
        <v>6.4000000000000003E-3</v>
      </c>
      <c r="I55" s="91">
        <v>0</v>
      </c>
    </row>
    <row r="56" spans="1:9" ht="15.6">
      <c r="A56" s="79" t="s">
        <v>92</v>
      </c>
      <c r="B56" s="19" t="s">
        <v>93</v>
      </c>
      <c r="C56" s="305">
        <v>0</v>
      </c>
      <c r="D56" s="90"/>
      <c r="E56" s="90">
        <f>C56/100</f>
        <v>0</v>
      </c>
      <c r="F56" s="90"/>
      <c r="G56" s="90"/>
      <c r="H56" s="50">
        <f t="shared" si="11"/>
        <v>0</v>
      </c>
      <c r="I56" s="91">
        <f>D56+E56/2</f>
        <v>0</v>
      </c>
    </row>
    <row r="57" spans="1:9" ht="15.6">
      <c r="A57" s="79" t="s">
        <v>94</v>
      </c>
      <c r="B57" s="19" t="s">
        <v>298</v>
      </c>
      <c r="C57" s="305">
        <v>0</v>
      </c>
      <c r="D57" s="90"/>
      <c r="E57" s="90">
        <f>C57/100</f>
        <v>0</v>
      </c>
      <c r="F57" s="90"/>
      <c r="G57" s="90"/>
      <c r="H57" s="50">
        <f t="shared" si="11"/>
        <v>0</v>
      </c>
      <c r="I57" s="246">
        <v>0</v>
      </c>
    </row>
    <row r="58" spans="1:9" ht="15.6">
      <c r="A58" s="79" t="s">
        <v>97</v>
      </c>
      <c r="B58" s="19" t="s">
        <v>98</v>
      </c>
      <c r="C58" s="305">
        <v>95.67</v>
      </c>
      <c r="D58" s="90">
        <f>C58/100</f>
        <v>0.95669999999999999</v>
      </c>
      <c r="E58" s="90">
        <f>C58/100*2</f>
        <v>1.9134</v>
      </c>
      <c r="F58" s="90"/>
      <c r="G58" s="90"/>
      <c r="H58" s="50">
        <f t="shared" si="11"/>
        <v>2.8700999999999999</v>
      </c>
      <c r="I58" s="91">
        <f t="shared" ref="I58:I65" si="12">D58+E58/2</f>
        <v>1.9134</v>
      </c>
    </row>
    <row r="59" spans="1:9" ht="15.6">
      <c r="A59" s="79" t="s">
        <v>99</v>
      </c>
      <c r="B59" s="19" t="s">
        <v>297</v>
      </c>
      <c r="C59" s="305">
        <v>1.62</v>
      </c>
      <c r="D59" s="90">
        <f>C59*2/100</f>
        <v>3.2400000000000005E-2</v>
      </c>
      <c r="E59" s="90">
        <f>C59/100*3</f>
        <v>4.8600000000000004E-2</v>
      </c>
      <c r="F59" s="90"/>
      <c r="G59" s="90"/>
      <c r="H59" s="50">
        <f t="shared" si="11"/>
        <v>8.1000000000000016E-2</v>
      </c>
      <c r="I59" s="91">
        <f t="shared" si="12"/>
        <v>5.6700000000000007E-2</v>
      </c>
    </row>
    <row r="60" spans="1:9" ht="15.6">
      <c r="A60" s="79" t="s">
        <v>100</v>
      </c>
      <c r="B60" s="19" t="s">
        <v>296</v>
      </c>
      <c r="C60" s="305">
        <v>0.14000000000000001</v>
      </c>
      <c r="D60" s="90">
        <f>C60*3/100</f>
        <v>4.2000000000000006E-3</v>
      </c>
      <c r="E60" s="90">
        <f>C60/100*4</f>
        <v>5.6000000000000008E-3</v>
      </c>
      <c r="F60" s="90"/>
      <c r="G60" s="90"/>
      <c r="H60" s="50">
        <f t="shared" si="11"/>
        <v>9.8000000000000014E-3</v>
      </c>
      <c r="I60" s="91">
        <f t="shared" si="12"/>
        <v>7.000000000000001E-3</v>
      </c>
    </row>
    <row r="61" spans="1:9" ht="15.6">
      <c r="A61" s="79" t="s">
        <v>295</v>
      </c>
      <c r="B61" s="19" t="s">
        <v>294</v>
      </c>
      <c r="C61" s="305">
        <v>0.04</v>
      </c>
      <c r="D61" s="90">
        <f>C61*4/100</f>
        <v>1.6000000000000001E-3</v>
      </c>
      <c r="E61" s="90">
        <f>C61/100*5</f>
        <v>2E-3</v>
      </c>
      <c r="F61" s="90"/>
      <c r="G61" s="90"/>
      <c r="H61" s="50">
        <f t="shared" si="11"/>
        <v>3.5999999999999999E-3</v>
      </c>
      <c r="I61" s="91">
        <f t="shared" si="12"/>
        <v>2.5999999999999999E-3</v>
      </c>
    </row>
    <row r="62" spans="1:9" ht="15.6">
      <c r="A62" s="79" t="s">
        <v>101</v>
      </c>
      <c r="B62" s="19" t="s">
        <v>294</v>
      </c>
      <c r="C62" s="305">
        <v>0.02</v>
      </c>
      <c r="D62" s="90">
        <f>C62*4/100</f>
        <v>8.0000000000000004E-4</v>
      </c>
      <c r="E62" s="90">
        <f>C62/100*5</f>
        <v>1E-3</v>
      </c>
      <c r="F62" s="90"/>
      <c r="G62" s="90"/>
      <c r="H62" s="50">
        <f t="shared" si="11"/>
        <v>1.8E-3</v>
      </c>
      <c r="I62" s="91">
        <f t="shared" si="12"/>
        <v>1.2999999999999999E-3</v>
      </c>
    </row>
    <row r="63" spans="1:9" ht="15.6">
      <c r="A63" s="53" t="s">
        <v>293</v>
      </c>
      <c r="B63" s="19" t="s">
        <v>292</v>
      </c>
      <c r="C63" s="305">
        <v>0</v>
      </c>
      <c r="D63" s="90">
        <f>C63*5/100</f>
        <v>0</v>
      </c>
      <c r="E63" s="90">
        <f>C63/100*6</f>
        <v>0</v>
      </c>
      <c r="F63" s="90"/>
      <c r="G63" s="90"/>
      <c r="H63" s="50">
        <f t="shared" si="11"/>
        <v>0</v>
      </c>
      <c r="I63" s="91">
        <f t="shared" si="12"/>
        <v>0</v>
      </c>
    </row>
    <row r="64" spans="1:9" ht="15.6">
      <c r="A64" s="53" t="s">
        <v>291</v>
      </c>
      <c r="B64" s="19" t="s">
        <v>290</v>
      </c>
      <c r="C64" s="305">
        <v>0</v>
      </c>
      <c r="D64" s="90">
        <f>C64*5/100</f>
        <v>0</v>
      </c>
      <c r="E64" s="90">
        <f>C64/100*6</f>
        <v>0</v>
      </c>
      <c r="F64" s="90"/>
      <c r="G64" s="90"/>
      <c r="H64" s="50">
        <f t="shared" si="11"/>
        <v>0</v>
      </c>
      <c r="I64" s="91">
        <f t="shared" si="12"/>
        <v>0</v>
      </c>
    </row>
    <row r="65" spans="1:14" ht="15.6">
      <c r="A65" s="53" t="s">
        <v>289</v>
      </c>
      <c r="B65" s="19" t="s">
        <v>288</v>
      </c>
      <c r="C65" s="305">
        <v>0</v>
      </c>
      <c r="D65" s="90">
        <f>C65*6/100</f>
        <v>0</v>
      </c>
      <c r="E65" s="90">
        <f>C65/100*7</f>
        <v>0</v>
      </c>
      <c r="F65" s="90"/>
      <c r="G65" s="90"/>
      <c r="H65" s="50">
        <f t="shared" si="11"/>
        <v>0</v>
      </c>
      <c r="I65" s="91">
        <f t="shared" si="12"/>
        <v>0</v>
      </c>
    </row>
    <row r="66" spans="1:14" ht="15.6">
      <c r="A66" s="79" t="s">
        <v>102</v>
      </c>
      <c r="B66" s="19" t="s">
        <v>103</v>
      </c>
      <c r="C66" s="305">
        <v>1.84</v>
      </c>
      <c r="D66" s="90"/>
      <c r="E66" s="90"/>
      <c r="G66" s="90">
        <f>C66/100</f>
        <v>1.84E-2</v>
      </c>
      <c r="H66" s="50">
        <f t="shared" si="11"/>
        <v>1.84E-2</v>
      </c>
      <c r="I66" s="91">
        <v>0</v>
      </c>
    </row>
    <row r="67" spans="1:14" ht="13.8" thickBot="1">
      <c r="A67" s="92" t="s">
        <v>104</v>
      </c>
      <c r="B67" s="93" t="s">
        <v>105</v>
      </c>
      <c r="C67" s="306">
        <v>0.03</v>
      </c>
      <c r="D67" s="95"/>
      <c r="E67" s="95"/>
      <c r="F67" s="95">
        <f>C67/100</f>
        <v>2.9999999999999997E-4</v>
      </c>
      <c r="G67" s="93"/>
      <c r="H67" s="96">
        <f t="shared" si="11"/>
        <v>2.9999999999999997E-4</v>
      </c>
      <c r="I67" s="97">
        <v>0</v>
      </c>
    </row>
    <row r="68" spans="1:14">
      <c r="B68" s="23"/>
    </row>
    <row r="69" spans="1:14" ht="13.8" thickBot="1">
      <c r="B69" s="23"/>
      <c r="D69" s="37"/>
      <c r="E69" s="98"/>
      <c r="F69" s="98"/>
      <c r="G69" s="98"/>
      <c r="H69" s="98"/>
      <c r="I69" s="98"/>
      <c r="J69" s="98"/>
    </row>
    <row r="70" spans="1:14">
      <c r="A70" s="1929" t="s">
        <v>122</v>
      </c>
      <c r="B70" s="1930"/>
      <c r="C70" s="1930"/>
      <c r="D70" s="1930"/>
      <c r="E70" s="1930"/>
      <c r="F70" s="1930"/>
      <c r="G70" s="1931"/>
      <c r="H70" s="98"/>
      <c r="I70" s="1929" t="s">
        <v>123</v>
      </c>
      <c r="J70" s="1930"/>
      <c r="K70" s="1930"/>
      <c r="L70" s="1930"/>
      <c r="M70" s="1930"/>
      <c r="N70" s="1931"/>
    </row>
    <row r="71" spans="1:14">
      <c r="A71" s="99"/>
      <c r="C71" s="37"/>
      <c r="D71" s="1920" t="s">
        <v>124</v>
      </c>
      <c r="E71" s="1921"/>
      <c r="F71" s="1921"/>
      <c r="G71" s="1922"/>
      <c r="H71" s="98"/>
      <c r="I71" s="79"/>
      <c r="K71" s="37"/>
      <c r="L71" s="1923" t="s">
        <v>124</v>
      </c>
      <c r="M71" s="1924"/>
      <c r="N71" s="1925"/>
    </row>
    <row r="72" spans="1:14" ht="15.6">
      <c r="A72" s="99"/>
      <c r="C72" s="23"/>
      <c r="D72" s="35" t="s">
        <v>125</v>
      </c>
      <c r="E72" s="37" t="s">
        <v>126</v>
      </c>
      <c r="F72" s="37" t="s">
        <v>127</v>
      </c>
      <c r="G72" s="100" t="s">
        <v>128</v>
      </c>
      <c r="H72" s="90"/>
      <c r="I72" s="79"/>
      <c r="K72" s="37"/>
      <c r="L72" s="53"/>
      <c r="M72" s="1924" t="s">
        <v>129</v>
      </c>
      <c r="N72" s="1925"/>
    </row>
    <row r="73" spans="1:14" ht="26.4">
      <c r="A73" s="79"/>
      <c r="C73" s="23"/>
      <c r="D73" s="55"/>
      <c r="E73" s="304" t="b">
        <v>1</v>
      </c>
      <c r="F73" s="56"/>
      <c r="G73" s="101"/>
      <c r="H73" s="90"/>
      <c r="I73" s="77"/>
      <c r="K73" s="37"/>
      <c r="L73" s="245" t="s">
        <v>287</v>
      </c>
      <c r="M73" s="40" t="s">
        <v>130</v>
      </c>
      <c r="N73" s="102" t="s">
        <v>131</v>
      </c>
    </row>
    <row r="74" spans="1:14">
      <c r="A74" s="79"/>
      <c r="C74" s="23"/>
      <c r="D74" s="65" t="str">
        <f>IF(D73,1,"-")</f>
        <v>-</v>
      </c>
      <c r="E74" s="65">
        <f>IF(E73,2,"-")</f>
        <v>2</v>
      </c>
      <c r="F74" s="65" t="str">
        <f>IF(F73,3,"-")</f>
        <v>-</v>
      </c>
      <c r="G74" s="103">
        <f>AVERAGE(D74:F74)</f>
        <v>2</v>
      </c>
      <c r="H74" s="90"/>
      <c r="I74" s="77"/>
      <c r="K74" s="37"/>
      <c r="L74" s="37"/>
      <c r="N74" s="78"/>
    </row>
    <row r="75" spans="1:14">
      <c r="A75" s="81" t="s">
        <v>132</v>
      </c>
      <c r="C75" s="23"/>
      <c r="D75" s="244">
        <f>D83/D80</f>
        <v>0</v>
      </c>
      <c r="E75" s="104">
        <f>'3c. Calculator EEM 2-3'!I30</f>
        <v>0</v>
      </c>
      <c r="F75" s="244" t="e">
        <f>F82/F79</f>
        <v>#DIV/0!</v>
      </c>
      <c r="G75" s="238">
        <f>INDEX(D75:F75,G$74)</f>
        <v>0</v>
      </c>
      <c r="H75" s="244"/>
      <c r="I75" s="81" t="s">
        <v>119</v>
      </c>
      <c r="K75" s="239" t="s">
        <v>286</v>
      </c>
      <c r="L75" s="105">
        <f>SUM(L77:L81)</f>
        <v>10.434002195627643</v>
      </c>
      <c r="M75" s="243">
        <f>SUM(M77:M81)</f>
        <v>1.0000000000000002</v>
      </c>
      <c r="N75" s="242">
        <f>SUM(N77:N81)</f>
        <v>1</v>
      </c>
    </row>
    <row r="76" spans="1:14" ht="14.4">
      <c r="A76" s="79" t="s">
        <v>133</v>
      </c>
      <c r="C76" s="23"/>
      <c r="D76" s="318"/>
      <c r="E76" s="222">
        <f>E82/(E79*($F$41/$F$42)+H51-E51+E82/$F$42)</f>
        <v>0</v>
      </c>
      <c r="F76" s="241" t="e">
        <f>F82/(F79*($F$41/$F$42)+H51-E51+F82/$F$42)</f>
        <v>#DIV/0!</v>
      </c>
      <c r="G76" s="240">
        <f>INDEX(D76:F76,G$74)</f>
        <v>0</v>
      </c>
      <c r="H76" s="106"/>
      <c r="I76" s="77"/>
      <c r="K76" s="239"/>
      <c r="L76" s="37"/>
      <c r="N76" s="78"/>
    </row>
    <row r="77" spans="1:14" ht="14.4">
      <c r="A77" s="79" t="s">
        <v>285</v>
      </c>
      <c r="C77" s="23"/>
      <c r="D77" s="222">
        <f>$N$78</f>
        <v>0.11855650363709885</v>
      </c>
      <c r="E77" s="222">
        <f>N78</f>
        <v>0.11855650363709885</v>
      </c>
      <c r="F77" s="319"/>
      <c r="G77" s="238">
        <f>INDEX(D77:F77,G$74)</f>
        <v>0.11855650363709885</v>
      </c>
      <c r="H77" s="222"/>
      <c r="I77" s="79" t="s">
        <v>102</v>
      </c>
      <c r="K77" s="237" t="s">
        <v>276</v>
      </c>
      <c r="L77" s="50">
        <f>G87</f>
        <v>7.4501097253831423</v>
      </c>
      <c r="M77" s="222">
        <f t="shared" ref="M77:M82" si="13">L77/$L$75</f>
        <v>0.71402225011080622</v>
      </c>
      <c r="N77" s="236">
        <f>L77/($L$75-$L$81)</f>
        <v>0.88140800394588581</v>
      </c>
    </row>
    <row r="78" spans="1:14" ht="14.4">
      <c r="A78" s="79"/>
      <c r="C78" s="23"/>
      <c r="F78" s="37"/>
      <c r="G78" s="107"/>
      <c r="H78" s="106"/>
      <c r="I78" s="79" t="s">
        <v>284</v>
      </c>
      <c r="K78" s="237" t="s">
        <v>276</v>
      </c>
      <c r="L78" s="50">
        <f>D51</f>
        <v>1.0020999999999998</v>
      </c>
      <c r="M78" s="222">
        <f t="shared" si="13"/>
        <v>9.6041766257240063E-2</v>
      </c>
      <c r="N78" s="236">
        <f>L78/($L$75-$L$81)</f>
        <v>0.11855650363709885</v>
      </c>
    </row>
    <row r="79" spans="1:14"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f>G82</f>
        <v>0</v>
      </c>
      <c r="M79" s="222">
        <f t="shared" si="13"/>
        <v>0</v>
      </c>
      <c r="N79" s="236">
        <f>L79/($L$75-$L$81)</f>
        <v>0</v>
      </c>
    </row>
    <row r="80" spans="1:14"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f t="shared" si="13"/>
        <v>2.8752150361413057E-5</v>
      </c>
      <c r="N80" s="236">
        <f>L80/($L$75-$L$81)</f>
        <v>3.5492417015397323E-5</v>
      </c>
    </row>
    <row r="81" spans="1:15" ht="14.4">
      <c r="A81" s="79"/>
      <c r="C81" s="23"/>
      <c r="D81" s="50"/>
      <c r="E81" s="108"/>
      <c r="F81" s="105"/>
      <c r="G81" s="109"/>
      <c r="H81" s="50"/>
      <c r="I81" s="79" t="s">
        <v>135</v>
      </c>
      <c r="K81" s="237" t="s">
        <v>276</v>
      </c>
      <c r="L81" s="50">
        <f>G89+E51</f>
        <v>1.9814924702445025</v>
      </c>
      <c r="M81" s="222">
        <f t="shared" si="13"/>
        <v>0.18990723148159241</v>
      </c>
      <c r="N81" s="236">
        <v>0</v>
      </c>
    </row>
    <row r="82" spans="1:15" ht="14.4">
      <c r="A82" s="79" t="s">
        <v>134</v>
      </c>
      <c r="C82" s="23" t="s">
        <v>276</v>
      </c>
      <c r="D82" s="50">
        <f>D76/(1-D76/$F$42)*(($H$51-$E$51)+D79*$F$41/$F$42)</f>
        <v>0</v>
      </c>
      <c r="E82" s="50">
        <f>E79*$E$75</f>
        <v>0</v>
      </c>
      <c r="F82" s="90" t="e">
        <f>(D51/F77-(H51-E51)-F79*(F41/F42))/(1+F41/F42)</f>
        <v>#DIV/0!</v>
      </c>
      <c r="G82" s="230">
        <f>INDEX(D82:F82,G$74)</f>
        <v>0</v>
      </c>
      <c r="H82" s="50"/>
      <c r="I82" s="110" t="s">
        <v>137</v>
      </c>
      <c r="J82" s="111"/>
      <c r="K82" s="235" t="s">
        <v>276</v>
      </c>
      <c r="L82" s="112">
        <f>L92</f>
        <v>1.9186275921255749</v>
      </c>
      <c r="M82" s="234">
        <f t="shared" si="13"/>
        <v>0.18388223005450138</v>
      </c>
      <c r="N82" s="233">
        <v>1</v>
      </c>
    </row>
    <row r="83" spans="1:15" ht="14.4">
      <c r="A83" s="79" t="s">
        <v>136</v>
      </c>
      <c r="C83" s="23" t="s">
        <v>276</v>
      </c>
      <c r="D83" s="50">
        <f>D82/F42</f>
        <v>0</v>
      </c>
      <c r="E83" s="50">
        <f>E80*$E$75</f>
        <v>0</v>
      </c>
      <c r="F83" s="50" t="e">
        <f>F82/F42</f>
        <v>#DIV/0!</v>
      </c>
      <c r="G83" s="230">
        <f>INDEX(D83:F83,G$74)</f>
        <v>0</v>
      </c>
      <c r="H83" s="50"/>
      <c r="I83" s="79" t="s">
        <v>281</v>
      </c>
      <c r="K83" s="23" t="s">
        <v>138</v>
      </c>
      <c r="L83" s="50"/>
      <c r="M83" s="50">
        <f>M77*$C$12+M78*$C$13+M79*$C$11+M80*$C$26+M81*$C$15</f>
        <v>27.647931772506944</v>
      </c>
      <c r="N83" s="78"/>
      <c r="O83" s="113"/>
    </row>
    <row r="84" spans="1:15">
      <c r="A84" s="79"/>
      <c r="C84" s="23"/>
      <c r="F84" s="37"/>
      <c r="G84" s="109"/>
      <c r="I84" s="79"/>
      <c r="N84" s="78"/>
    </row>
    <row r="85" spans="1:15">
      <c r="A85" s="81" t="s">
        <v>139</v>
      </c>
      <c r="C85" s="37" t="s">
        <v>276</v>
      </c>
      <c r="D85" s="105">
        <f>SUM(D87:D89)</f>
        <v>9.4420021956276443</v>
      </c>
      <c r="E85" s="105">
        <f>SUM(E87:E89)</f>
        <v>9.4420021956276443</v>
      </c>
      <c r="F85" s="105" t="e">
        <f>SUM(F87:F89)</f>
        <v>#DIV/0!</v>
      </c>
      <c r="G85" s="230">
        <f>INDEX(D85:F85,G$74)</f>
        <v>9.4420021956276443</v>
      </c>
      <c r="H85" s="105"/>
      <c r="I85" s="81" t="s">
        <v>140</v>
      </c>
      <c r="K85" s="23"/>
      <c r="L85" s="37" t="str">
        <f>IF(L87&lt;L88,"VRAI","FAUX")</f>
        <v>VRAI</v>
      </c>
      <c r="N85" s="78"/>
    </row>
    <row r="86" spans="1:15">
      <c r="A86" s="79"/>
      <c r="G86" s="114"/>
      <c r="I86" s="79" t="s">
        <v>141</v>
      </c>
      <c r="K86" s="23" t="s">
        <v>142</v>
      </c>
      <c r="L86" s="50">
        <f>E51+G89</f>
        <v>1.9814924702445025</v>
      </c>
      <c r="N86" s="78"/>
    </row>
    <row r="87" spans="1:15" ht="15.6">
      <c r="A87" s="225" t="s">
        <v>102</v>
      </c>
      <c r="C87" s="228" t="s">
        <v>276</v>
      </c>
      <c r="D87" s="232">
        <f>D88*($F$41/$F$42)</f>
        <v>7.4501097253831423</v>
      </c>
      <c r="E87" s="232">
        <f>E88*($F$41/$F$42)</f>
        <v>7.4501097253831423</v>
      </c>
      <c r="F87" s="232" t="e">
        <f>F88*($F$41/$F$42)</f>
        <v>#DIV/0!</v>
      </c>
      <c r="G87" s="230">
        <f>INDEX(D87:F87,G$74)</f>
        <v>7.4501097253831423</v>
      </c>
      <c r="H87" s="50"/>
      <c r="I87" s="79" t="s">
        <v>143</v>
      </c>
      <c r="K87" s="116" t="s">
        <v>264</v>
      </c>
      <c r="L87" s="117">
        <f>U7</f>
        <v>0</v>
      </c>
      <c r="M87" s="24"/>
      <c r="N87" s="78"/>
    </row>
    <row r="88" spans="1:15" ht="15.6">
      <c r="A88" s="225" t="s">
        <v>88</v>
      </c>
      <c r="C88" s="228" t="s">
        <v>276</v>
      </c>
      <c r="D88" s="232">
        <f>D79+D82</f>
        <v>1.9809999999999999</v>
      </c>
      <c r="E88" s="232">
        <f>E79+E82</f>
        <v>1.9809999999999999</v>
      </c>
      <c r="F88" s="231" t="e">
        <f>F79+F82</f>
        <v>#DIV/0!</v>
      </c>
      <c r="G88" s="230">
        <f>INDEX(D88:F88,G$74)</f>
        <v>1.9809999999999999</v>
      </c>
      <c r="H88" s="50"/>
      <c r="I88" s="79" t="s">
        <v>144</v>
      </c>
      <c r="K88" s="116" t="s">
        <v>264</v>
      </c>
      <c r="L88" s="229">
        <f>Combustion_Chaud2!C136</f>
        <v>59.1942344830736</v>
      </c>
      <c r="N88" s="78"/>
    </row>
    <row r="89" spans="1:15" ht="15.6">
      <c r="A89" s="225" t="s">
        <v>145</v>
      </c>
      <c r="C89" s="228" t="s">
        <v>276</v>
      </c>
      <c r="D89" s="227">
        <f>Combustion_Chaud2!$C$115*(Combustion_Chaud2!D80+Combustion_Chaud2!D83)</f>
        <v>1.089247024450259E-2</v>
      </c>
      <c r="E89" s="227">
        <f>Combustion_Chaud2!$C$115*Combustion_Chaud2!E80</f>
        <v>1.089247024450259E-2</v>
      </c>
      <c r="F89" s="227">
        <f>Combustion_Chaud2!$C$115*Combustion_Chaud2!F80</f>
        <v>1.089247024450259E-2</v>
      </c>
      <c r="G89" s="226">
        <f>INDEX(D89:F89,G$74)</f>
        <v>1.089247024450259E-2</v>
      </c>
      <c r="H89" s="50"/>
      <c r="I89" s="79" t="s">
        <v>280</v>
      </c>
      <c r="K89" s="23" t="s">
        <v>279</v>
      </c>
      <c r="L89" s="50">
        <f>($E$29*(M83/1000))/($B$32*(L87+273.15))</f>
        <v>1.2363693512022826</v>
      </c>
      <c r="N89" s="118"/>
    </row>
    <row r="90" spans="1:15" ht="15.6">
      <c r="A90" s="225"/>
      <c r="C90" s="23"/>
      <c r="D90" s="50"/>
      <c r="F90" s="37"/>
      <c r="G90" s="119"/>
      <c r="H90" s="50"/>
      <c r="I90" s="79" t="s">
        <v>278</v>
      </c>
      <c r="K90" s="23" t="s">
        <v>142</v>
      </c>
      <c r="L90" s="224">
        <f>Combustion_Chaud2!C129</f>
        <v>0.23442652355595889</v>
      </c>
      <c r="M90" s="19" t="s">
        <v>146</v>
      </c>
      <c r="N90" s="118"/>
    </row>
    <row r="91" spans="1:15">
      <c r="A91" s="81" t="s">
        <v>147</v>
      </c>
      <c r="C91" s="23"/>
      <c r="D91" s="50"/>
      <c r="F91" s="37"/>
      <c r="G91" s="119"/>
      <c r="H91" s="50"/>
      <c r="I91" s="79" t="s">
        <v>148</v>
      </c>
      <c r="K91" s="23" t="s">
        <v>142</v>
      </c>
      <c r="L91" s="224">
        <f>Combustion_Chaud2!C140</f>
        <v>0.18388223005450138</v>
      </c>
      <c r="M91" s="19" t="s">
        <v>277</v>
      </c>
      <c r="N91" s="118"/>
    </row>
    <row r="92" spans="1:15" ht="15" thickBot="1">
      <c r="A92" s="79" t="s">
        <v>149</v>
      </c>
      <c r="C92" s="23"/>
      <c r="D92" s="223">
        <f>Hypothèses!D26</f>
        <v>0.05</v>
      </c>
      <c r="E92" s="222"/>
      <c r="F92" s="222"/>
      <c r="G92" s="119"/>
      <c r="H92" s="222"/>
      <c r="I92" s="92"/>
      <c r="J92" s="93"/>
      <c r="K92" s="221" t="s">
        <v>276</v>
      </c>
      <c r="L92" s="220">
        <f>Combustion_Chaud2!C141</f>
        <v>1.9186275921255749</v>
      </c>
      <c r="M92" s="93"/>
      <c r="N92" s="94"/>
    </row>
    <row r="93" spans="1:15" ht="16.8" thickBot="1">
      <c r="A93" s="92" t="s">
        <v>144</v>
      </c>
      <c r="B93" s="93"/>
      <c r="C93" s="120" t="s">
        <v>264</v>
      </c>
      <c r="D93" s="219" t="e">
        <f>IF(D92&lt;&gt;0,Combustion_Chaud2!$C$119,"-")</f>
        <v>#N/A</v>
      </c>
      <c r="E93" s="218"/>
      <c r="F93" s="218"/>
      <c r="G93" s="121"/>
      <c r="H93" s="90"/>
    </row>
    <row r="94" spans="1:15" ht="16.2">
      <c r="A94" s="19" t="s">
        <v>275</v>
      </c>
      <c r="B94" s="116"/>
      <c r="C94" s="217">
        <v>28.96546</v>
      </c>
      <c r="D94" s="215" t="s">
        <v>138</v>
      </c>
      <c r="E94" s="216"/>
      <c r="F94" s="122"/>
      <c r="G94" s="98"/>
      <c r="H94" s="98"/>
    </row>
    <row r="95" spans="1:15">
      <c r="G95" s="98"/>
    </row>
    <row r="96" spans="1:15">
      <c r="G96" s="98"/>
    </row>
    <row r="97" spans="1:8">
      <c r="G97" s="98"/>
    </row>
    <row r="98" spans="1:8">
      <c r="G98" s="98"/>
    </row>
    <row r="99" spans="1:8">
      <c r="G99" s="98"/>
    </row>
    <row r="100" spans="1:8">
      <c r="G100" s="98"/>
    </row>
    <row r="101" spans="1:8">
      <c r="A101" s="26" t="s">
        <v>274</v>
      </c>
      <c r="G101" s="98"/>
    </row>
    <row r="102" spans="1:8">
      <c r="G102" s="98"/>
    </row>
    <row r="103" spans="1:8">
      <c r="A103" s="123" t="s">
        <v>150</v>
      </c>
      <c r="B103" s="57"/>
      <c r="C103" s="57"/>
      <c r="D103" s="57"/>
      <c r="E103" s="23"/>
      <c r="F103" s="26" t="s">
        <v>151</v>
      </c>
      <c r="G103" s="26"/>
    </row>
    <row r="104" spans="1:8" ht="15.6">
      <c r="A104" s="19" t="s">
        <v>152</v>
      </c>
      <c r="B104" s="23" t="s">
        <v>273</v>
      </c>
      <c r="C104" s="320">
        <v>0</v>
      </c>
      <c r="D104" s="214" t="s">
        <v>272</v>
      </c>
      <c r="E104" s="23"/>
      <c r="F104" s="37" t="s">
        <v>153</v>
      </c>
      <c r="G104" s="37" t="s">
        <v>154</v>
      </c>
      <c r="H104" s="37" t="s">
        <v>153</v>
      </c>
    </row>
    <row r="105" spans="1:8">
      <c r="A105" s="19" t="s">
        <v>271</v>
      </c>
      <c r="B105" s="23" t="s">
        <v>155</v>
      </c>
      <c r="C105" s="321">
        <v>101325</v>
      </c>
      <c r="D105" s="23"/>
      <c r="E105" s="23"/>
      <c r="F105" s="23">
        <v>0</v>
      </c>
      <c r="G105" s="24">
        <v>610.48326959999986</v>
      </c>
      <c r="H105" s="23">
        <f t="shared" ref="H105:H136" si="14">F105</f>
        <v>0</v>
      </c>
    </row>
    <row r="106" spans="1:8">
      <c r="A106" s="19" t="s">
        <v>270</v>
      </c>
      <c r="B106" s="23" t="s">
        <v>155</v>
      </c>
      <c r="C106" s="213">
        <f>C105*EXP(-Combustion_Chaud2!C94/1000*9.80665/Combustion_Chaud2!B32/Combustion_Chaud2!B29*C104)</f>
        <v>101325</v>
      </c>
      <c r="D106" s="213"/>
      <c r="E106" s="213"/>
      <c r="F106" s="23">
        <v>2</v>
      </c>
      <c r="G106" s="24">
        <v>705.80878559999985</v>
      </c>
      <c r="H106" s="23">
        <f t="shared" si="14"/>
        <v>2</v>
      </c>
    </row>
    <row r="107" spans="1:8">
      <c r="B107" s="23"/>
      <c r="C107" s="23"/>
      <c r="D107" s="213"/>
      <c r="E107" s="23"/>
      <c r="F107" s="23">
        <v>4</v>
      </c>
      <c r="G107" s="24">
        <v>813.39996239999994</v>
      </c>
      <c r="H107" s="23">
        <f t="shared" si="14"/>
        <v>4</v>
      </c>
    </row>
    <row r="108" spans="1:8">
      <c r="A108" s="123" t="s">
        <v>122</v>
      </c>
      <c r="B108" s="57"/>
      <c r="C108" s="57"/>
      <c r="D108" s="57"/>
      <c r="E108" s="23"/>
      <c r="F108" s="23">
        <v>6</v>
      </c>
      <c r="G108" s="24">
        <v>934.98999119999985</v>
      </c>
      <c r="H108" s="23">
        <f t="shared" si="14"/>
        <v>6</v>
      </c>
    </row>
    <row r="109" spans="1:8" ht="15.6">
      <c r="A109" s="19" t="s">
        <v>156</v>
      </c>
      <c r="B109" s="116" t="s">
        <v>264</v>
      </c>
      <c r="C109" s="212">
        <f>R7</f>
        <v>20</v>
      </c>
      <c r="D109" s="23"/>
      <c r="E109" s="23"/>
      <c r="F109" s="23">
        <v>8</v>
      </c>
      <c r="G109" s="24">
        <v>1072.5787079999998</v>
      </c>
      <c r="H109" s="23">
        <f t="shared" si="14"/>
        <v>8</v>
      </c>
    </row>
    <row r="110" spans="1:8">
      <c r="A110" s="19" t="s">
        <v>149</v>
      </c>
      <c r="B110" s="23"/>
      <c r="C110" s="211">
        <f>D92</f>
        <v>0.05</v>
      </c>
      <c r="D110" s="23"/>
      <c r="E110" s="23"/>
      <c r="F110" s="23">
        <v>10</v>
      </c>
      <c r="G110" s="24">
        <v>1227.7659815999998</v>
      </c>
      <c r="H110" s="23">
        <f t="shared" si="14"/>
        <v>10</v>
      </c>
    </row>
    <row r="111" spans="1:8">
      <c r="B111" s="23"/>
      <c r="C111" s="23"/>
      <c r="D111" s="23"/>
      <c r="E111" s="23"/>
      <c r="F111" s="23">
        <v>12</v>
      </c>
      <c r="G111" s="24">
        <v>1402.2850031999999</v>
      </c>
      <c r="H111" s="23">
        <f t="shared" si="14"/>
        <v>12</v>
      </c>
    </row>
    <row r="112" spans="1:8">
      <c r="A112" s="19" t="s">
        <v>157</v>
      </c>
      <c r="B112" s="23" t="s">
        <v>155</v>
      </c>
      <c r="C112" s="24">
        <f>IF(C109&lt;0,0.09*6895,G197)</f>
        <v>2337.8082839999997</v>
      </c>
      <c r="D112" s="23"/>
      <c r="E112" s="23"/>
      <c r="F112" s="23">
        <v>14</v>
      </c>
      <c r="G112" s="24">
        <v>1598.1356087999998</v>
      </c>
      <c r="H112" s="23">
        <f t="shared" si="14"/>
        <v>14</v>
      </c>
    </row>
    <row r="113" spans="1:8">
      <c r="A113" s="19" t="s">
        <v>158</v>
      </c>
      <c r="B113" s="23" t="s">
        <v>155</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159</v>
      </c>
      <c r="B115" s="23" t="s">
        <v>160</v>
      </c>
      <c r="C115" s="50">
        <f>C113/(C106-C113)</f>
        <v>1.1549510674429225E-3</v>
      </c>
      <c r="D115" s="23"/>
      <c r="E115" s="23"/>
      <c r="F115" s="23">
        <v>20</v>
      </c>
      <c r="G115" s="24">
        <v>2337.8082839999997</v>
      </c>
      <c r="H115" s="23">
        <f t="shared" si="14"/>
        <v>20</v>
      </c>
    </row>
    <row r="116" spans="1:8">
      <c r="A116" s="19" t="s">
        <v>159</v>
      </c>
      <c r="B116" s="23" t="s">
        <v>161</v>
      </c>
      <c r="C116" s="50">
        <f>C115*Combustion_Chaud2!$C$15/Combustion_Chaud2!$C$94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162</v>
      </c>
      <c r="B118" s="23" t="s">
        <v>160</v>
      </c>
      <c r="C118" s="50">
        <f>C113/C106</f>
        <v>1.153618694300518E-3</v>
      </c>
      <c r="D118" s="23"/>
      <c r="E118" s="23"/>
      <c r="F118" s="23">
        <v>26</v>
      </c>
      <c r="G118" s="24">
        <v>3360.9243815999998</v>
      </c>
      <c r="H118" s="23">
        <f t="shared" si="14"/>
        <v>26</v>
      </c>
    </row>
    <row r="119" spans="1:8" ht="15.6">
      <c r="A119" s="19" t="s">
        <v>163</v>
      </c>
      <c r="B119" s="116" t="s">
        <v>264</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123</v>
      </c>
      <c r="B121" s="57"/>
      <c r="C121" s="57"/>
      <c r="D121" s="57"/>
      <c r="E121" s="23"/>
      <c r="F121" s="23">
        <v>32</v>
      </c>
      <c r="G121" s="24">
        <v>4754.6767511999988</v>
      </c>
      <c r="H121" s="23">
        <f t="shared" si="14"/>
        <v>32</v>
      </c>
    </row>
    <row r="122" spans="1:8" ht="15.6">
      <c r="A122" s="19" t="s">
        <v>156</v>
      </c>
      <c r="B122" s="116" t="s">
        <v>264</v>
      </c>
      <c r="C122" s="117">
        <f>U7</f>
        <v>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164</v>
      </c>
      <c r="B124" s="23" t="s">
        <v>86</v>
      </c>
      <c r="C124" s="301">
        <f>Combustion_Chaud2!L75</f>
        <v>10.434002195627643</v>
      </c>
      <c r="D124" s="23"/>
      <c r="E124" s="23"/>
      <c r="F124" s="23">
        <v>38</v>
      </c>
      <c r="G124" s="24">
        <v>6625.0567007999998</v>
      </c>
      <c r="H124" s="23">
        <f t="shared" si="14"/>
        <v>38</v>
      </c>
    </row>
    <row r="125" spans="1:8" ht="15.6">
      <c r="A125" s="19" t="s">
        <v>269</v>
      </c>
      <c r="B125" s="23" t="s">
        <v>86</v>
      </c>
      <c r="C125" s="302">
        <f>Combustion_Chaud2!L86</f>
        <v>1.9814924702445025</v>
      </c>
      <c r="D125" s="124" t="s">
        <v>165</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166</v>
      </c>
      <c r="B127" s="23" t="s">
        <v>155</v>
      </c>
      <c r="C127" s="24">
        <f>C132*C106</f>
        <v>19242.350229872351</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267</v>
      </c>
      <c r="B129" s="23" t="s">
        <v>160</v>
      </c>
      <c r="C129" s="50">
        <f>C125/(C124-C125)</f>
        <v>0.23442652355595889</v>
      </c>
      <c r="D129" s="37" t="s">
        <v>268</v>
      </c>
      <c r="E129" s="23"/>
      <c r="F129" s="23">
        <v>48</v>
      </c>
      <c r="G129" s="24">
        <v>11160.418103999998</v>
      </c>
      <c r="H129" s="23">
        <f t="shared" si="14"/>
        <v>48</v>
      </c>
    </row>
    <row r="130" spans="1:8">
      <c r="A130" s="19" t="s">
        <v>267</v>
      </c>
      <c r="B130" s="23" t="s">
        <v>161</v>
      </c>
      <c r="C130" s="50">
        <f>C129*Combustion_Chaud2!$C$15/D130</f>
        <v>0.17430557114648773</v>
      </c>
      <c r="D130" s="125">
        <f>(Combustion_Chaud2!M77*Combustion_Chaud2!$C$25+Combustion_Chaud2!M78*Combustion_Chaud2!$C$13+Combustion_Chaud2!M79*Combustion_Chaud2!$C$11+Combustion_Chaud2!M80*Combustion_Chaud2!$C$26)</f>
        <v>24.229056096766609</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266</v>
      </c>
      <c r="B132" s="23" t="s">
        <v>160</v>
      </c>
      <c r="C132" s="50">
        <f>C125/C124</f>
        <v>0.18990723148159241</v>
      </c>
      <c r="D132" s="23"/>
      <c r="E132" s="23"/>
      <c r="F132" s="23">
        <v>60</v>
      </c>
      <c r="G132" s="24">
        <v>19915.700111999999</v>
      </c>
      <c r="H132" s="23">
        <f t="shared" si="14"/>
        <v>60</v>
      </c>
    </row>
    <row r="133" spans="1:8">
      <c r="A133" s="19" t="s">
        <v>265</v>
      </c>
      <c r="B133" s="23" t="s">
        <v>160</v>
      </c>
      <c r="C133" s="115">
        <f>C132*C124</f>
        <v>1.9814924702445025</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148</v>
      </c>
      <c r="B135" s="23"/>
      <c r="C135" s="37" t="str">
        <f>IF(C136&gt;C122,"VRAI","FAUX")</f>
        <v>VRAI</v>
      </c>
      <c r="D135" s="23"/>
      <c r="E135" s="23"/>
      <c r="F135" s="23">
        <v>75</v>
      </c>
      <c r="G135" s="24">
        <v>38543.505839999998</v>
      </c>
      <c r="H135" s="23">
        <f t="shared" si="14"/>
        <v>75</v>
      </c>
    </row>
    <row r="136" spans="1:8" ht="15.6">
      <c r="A136" s="19" t="s">
        <v>144</v>
      </c>
      <c r="B136" s="116" t="s">
        <v>264</v>
      </c>
      <c r="C136" s="115">
        <f>F209</f>
        <v>59.1942344830736</v>
      </c>
      <c r="D136" s="23"/>
      <c r="E136" s="23"/>
      <c r="F136" s="23">
        <v>80</v>
      </c>
      <c r="G136" s="24">
        <v>47342.784240000001</v>
      </c>
      <c r="H136" s="23">
        <f t="shared" si="14"/>
        <v>80</v>
      </c>
    </row>
    <row r="137" spans="1:8">
      <c r="B137" s="23"/>
      <c r="C137" s="23"/>
      <c r="D137" s="23"/>
      <c r="E137" s="23"/>
      <c r="F137" s="23">
        <v>85</v>
      </c>
      <c r="G137" s="24">
        <v>57808.592639999995</v>
      </c>
      <c r="H137" s="23">
        <f t="shared" ref="H137:H168" si="15">F137</f>
        <v>85</v>
      </c>
    </row>
    <row r="138" spans="1:8">
      <c r="A138" s="124" t="s">
        <v>157</v>
      </c>
      <c r="B138" s="23" t="s">
        <v>155</v>
      </c>
      <c r="C138" s="24">
        <f>G215</f>
        <v>610.48326959999986</v>
      </c>
      <c r="D138" s="23"/>
      <c r="E138" s="23"/>
      <c r="F138" s="23">
        <v>90</v>
      </c>
      <c r="G138" s="24">
        <v>70095.585023999985</v>
      </c>
      <c r="H138" s="23">
        <f t="shared" si="15"/>
        <v>90</v>
      </c>
    </row>
    <row r="139" spans="1:8">
      <c r="A139" s="23" t="s">
        <v>167</v>
      </c>
      <c r="B139" s="23" t="s">
        <v>263</v>
      </c>
      <c r="C139" s="50">
        <f>IF(C135,C138/C106,"-")</f>
        <v>6.0250014270910425E-3</v>
      </c>
      <c r="D139" s="23"/>
      <c r="E139" s="23"/>
      <c r="F139" s="23">
        <v>91</v>
      </c>
      <c r="G139" s="24">
        <v>72800.696519999983</v>
      </c>
      <c r="H139" s="23">
        <f t="shared" si="15"/>
        <v>91</v>
      </c>
    </row>
    <row r="140" spans="1:8">
      <c r="A140" s="23" t="s">
        <v>148</v>
      </c>
      <c r="B140" s="23" t="s">
        <v>263</v>
      </c>
      <c r="C140" s="50">
        <f>IF(C135,C132-C139,0)</f>
        <v>0.18388223005450138</v>
      </c>
      <c r="D140" s="23"/>
      <c r="E140" s="23"/>
      <c r="F140" s="23">
        <v>92</v>
      </c>
      <c r="G140" s="24">
        <v>75592.467575999995</v>
      </c>
      <c r="H140" s="23">
        <f t="shared" si="15"/>
        <v>92</v>
      </c>
    </row>
    <row r="141" spans="1:8">
      <c r="A141" s="23" t="s">
        <v>148</v>
      </c>
      <c r="B141" s="23" t="s">
        <v>86</v>
      </c>
      <c r="C141" s="50">
        <f>IF(C135,C140*C124,0)</f>
        <v>1.9186275921255749</v>
      </c>
      <c r="D141" s="23"/>
      <c r="E141" s="23"/>
      <c r="F141" s="23">
        <v>93</v>
      </c>
      <c r="G141" s="24">
        <v>78473.564639999997</v>
      </c>
      <c r="H141" s="23">
        <f t="shared" si="15"/>
        <v>93</v>
      </c>
    </row>
    <row r="142" spans="1:8">
      <c r="A142" s="23" t="s">
        <v>148</v>
      </c>
      <c r="B142" s="23" t="s">
        <v>168</v>
      </c>
      <c r="C142" s="68">
        <f>IF(C135,C141*Combustion_Chaud2!$C$15,0)</f>
        <v>34.564613287868028</v>
      </c>
      <c r="D142" s="23"/>
      <c r="E142" s="23"/>
      <c r="F142" s="23">
        <v>94</v>
      </c>
      <c r="G142" s="24">
        <v>81446.654159999991</v>
      </c>
      <c r="H142" s="23">
        <f t="shared" si="15"/>
        <v>94</v>
      </c>
    </row>
    <row r="143" spans="1:8">
      <c r="B143" s="23"/>
      <c r="C143" s="23"/>
      <c r="D143" s="23"/>
      <c r="E143" s="23"/>
      <c r="F143" s="23">
        <v>95</v>
      </c>
      <c r="G143" s="24">
        <v>84513.069359999994</v>
      </c>
      <c r="H143" s="23">
        <f t="shared" si="15"/>
        <v>95</v>
      </c>
    </row>
    <row r="144" spans="1:8" ht="14.4">
      <c r="A144" s="19" t="s">
        <v>262</v>
      </c>
      <c r="B144" s="23"/>
      <c r="C144" s="126">
        <f>IF(C135,1,IF(C122&lt;100,C127/C138,"N / A"))</f>
        <v>1</v>
      </c>
      <c r="D144" s="23"/>
      <c r="E144" s="23"/>
      <c r="F144" s="23">
        <v>96</v>
      </c>
      <c r="G144" s="24">
        <v>87675.476687999995</v>
      </c>
      <c r="H144" s="23">
        <f t="shared" si="15"/>
        <v>96</v>
      </c>
    </row>
    <row r="145" spans="2:8">
      <c r="B145" s="23"/>
      <c r="C145" s="23"/>
      <c r="D145" s="23"/>
      <c r="E145" s="23"/>
      <c r="F145" s="23">
        <v>97</v>
      </c>
      <c r="G145" s="24">
        <v>90935.209367999996</v>
      </c>
      <c r="H145" s="23">
        <f t="shared" si="15"/>
        <v>97</v>
      </c>
    </row>
    <row r="146" spans="2:8">
      <c r="B146" s="23"/>
      <c r="C146" s="23"/>
      <c r="D146" s="23"/>
      <c r="E146" s="23"/>
      <c r="F146" s="23">
        <v>98</v>
      </c>
      <c r="G146" s="24">
        <v>94294.933847999986</v>
      </c>
      <c r="H146" s="23">
        <f t="shared" si="15"/>
        <v>98</v>
      </c>
    </row>
    <row r="147" spans="2:8">
      <c r="B147" s="23"/>
      <c r="C147" s="23"/>
      <c r="D147" s="23"/>
      <c r="E147" s="23"/>
      <c r="F147" s="23">
        <v>99</v>
      </c>
      <c r="G147" s="24">
        <v>97757.316575999997</v>
      </c>
      <c r="H147" s="23">
        <f t="shared" si="15"/>
        <v>99</v>
      </c>
    </row>
    <row r="148" spans="2:8">
      <c r="B148" s="23"/>
      <c r="C148" s="23"/>
      <c r="D148" s="23"/>
      <c r="E148" s="23"/>
      <c r="F148" s="23">
        <v>100</v>
      </c>
      <c r="G148" s="24">
        <v>101325.02399999999</v>
      </c>
      <c r="H148" s="23">
        <f t="shared" si="15"/>
        <v>100</v>
      </c>
    </row>
    <row r="149" spans="2:8">
      <c r="B149" s="23"/>
      <c r="C149" s="23"/>
      <c r="D149" s="23"/>
      <c r="E149" s="23"/>
      <c r="F149" s="23">
        <v>105</v>
      </c>
      <c r="G149" s="24">
        <v>120820</v>
      </c>
      <c r="H149" s="23">
        <f t="shared" si="15"/>
        <v>105</v>
      </c>
    </row>
    <row r="150" spans="2:8">
      <c r="B150" s="23"/>
      <c r="C150" s="23"/>
      <c r="D150" s="23"/>
      <c r="E150" s="23"/>
      <c r="F150" s="23">
        <v>110</v>
      </c>
      <c r="G150" s="24">
        <v>143270</v>
      </c>
      <c r="H150" s="23">
        <f t="shared" si="15"/>
        <v>110</v>
      </c>
    </row>
    <row r="151" spans="2:8">
      <c r="B151" s="23"/>
      <c r="C151" s="23"/>
      <c r="D151" s="23"/>
      <c r="E151" s="23"/>
      <c r="F151" s="23">
        <v>115</v>
      </c>
      <c r="G151" s="24">
        <v>169060</v>
      </c>
      <c r="H151" s="23">
        <f t="shared" si="15"/>
        <v>115</v>
      </c>
    </row>
    <row r="152" spans="2:8">
      <c r="B152" s="23"/>
      <c r="C152" s="23"/>
      <c r="D152" s="23"/>
      <c r="E152" s="23"/>
      <c r="F152" s="23">
        <v>120</v>
      </c>
      <c r="G152" s="24">
        <v>198530</v>
      </c>
      <c r="H152" s="23">
        <f t="shared" si="15"/>
        <v>120</v>
      </c>
    </row>
    <row r="153" spans="2:8">
      <c r="B153" s="23"/>
      <c r="C153" s="23"/>
      <c r="D153" s="23"/>
      <c r="E153" s="23"/>
      <c r="F153" s="23">
        <v>125</v>
      </c>
      <c r="G153" s="24">
        <v>232100</v>
      </c>
      <c r="H153" s="23">
        <f t="shared" si="15"/>
        <v>125</v>
      </c>
    </row>
    <row r="154" spans="2:8">
      <c r="B154" s="23"/>
      <c r="C154" s="23"/>
      <c r="D154" s="23"/>
      <c r="E154" s="23"/>
      <c r="F154" s="23">
        <v>130</v>
      </c>
      <c r="G154" s="24">
        <v>270100</v>
      </c>
      <c r="H154" s="23">
        <f t="shared" si="15"/>
        <v>130</v>
      </c>
    </row>
    <row r="155" spans="2:8">
      <c r="B155" s="23"/>
      <c r="C155" s="23"/>
      <c r="D155" s="23"/>
      <c r="E155" s="23"/>
      <c r="F155" s="23">
        <v>135</v>
      </c>
      <c r="G155" s="24">
        <v>313000</v>
      </c>
      <c r="H155" s="23">
        <f t="shared" si="15"/>
        <v>135</v>
      </c>
    </row>
    <row r="156" spans="2:8">
      <c r="B156" s="23"/>
      <c r="C156" s="23"/>
      <c r="D156" s="23"/>
      <c r="E156" s="23"/>
      <c r="F156" s="23">
        <v>140</v>
      </c>
      <c r="G156" s="24">
        <v>361300</v>
      </c>
      <c r="H156" s="23">
        <f t="shared" si="15"/>
        <v>140</v>
      </c>
    </row>
    <row r="157" spans="2:8">
      <c r="B157" s="23"/>
      <c r="C157" s="23"/>
      <c r="D157" s="23"/>
      <c r="E157" s="23"/>
      <c r="F157" s="23">
        <v>145</v>
      </c>
      <c r="G157" s="24">
        <v>415400</v>
      </c>
      <c r="H157" s="23">
        <f t="shared" si="15"/>
        <v>145</v>
      </c>
    </row>
    <row r="158" spans="2:8">
      <c r="B158" s="23"/>
      <c r="C158" s="23"/>
      <c r="D158" s="23"/>
      <c r="E158" s="23"/>
      <c r="F158" s="23">
        <v>150</v>
      </c>
      <c r="G158" s="24">
        <v>475800</v>
      </c>
      <c r="H158" s="23">
        <f t="shared" si="15"/>
        <v>150</v>
      </c>
    </row>
    <row r="159" spans="2:8">
      <c r="B159" s="23"/>
      <c r="C159" s="23"/>
      <c r="D159" s="23"/>
      <c r="E159" s="23"/>
      <c r="F159" s="23">
        <v>155</v>
      </c>
      <c r="G159" s="24">
        <v>543100</v>
      </c>
      <c r="H159" s="23">
        <f t="shared" si="15"/>
        <v>155</v>
      </c>
    </row>
    <row r="160" spans="2:8">
      <c r="B160" s="23"/>
      <c r="C160" s="23"/>
      <c r="D160" s="23"/>
      <c r="E160" s="23"/>
      <c r="F160" s="23">
        <v>160</v>
      </c>
      <c r="G160" s="24">
        <v>617800</v>
      </c>
      <c r="H160" s="23">
        <f t="shared" si="15"/>
        <v>160</v>
      </c>
    </row>
    <row r="161" spans="2:8">
      <c r="B161" s="23"/>
      <c r="C161" s="23"/>
      <c r="D161" s="23"/>
      <c r="E161" s="23"/>
      <c r="F161" s="23">
        <v>165</v>
      </c>
      <c r="G161" s="24">
        <v>700500</v>
      </c>
      <c r="H161" s="23">
        <f t="shared" si="15"/>
        <v>165</v>
      </c>
    </row>
    <row r="162" spans="2:8">
      <c r="B162" s="23"/>
      <c r="C162" s="23"/>
      <c r="D162" s="23"/>
      <c r="E162" s="23"/>
      <c r="F162" s="23">
        <v>170</v>
      </c>
      <c r="G162" s="24">
        <v>791700</v>
      </c>
      <c r="H162" s="23">
        <f t="shared" si="15"/>
        <v>170</v>
      </c>
    </row>
    <row r="163" spans="2:8">
      <c r="B163" s="23"/>
      <c r="C163" s="23"/>
      <c r="D163" s="23"/>
      <c r="E163" s="23"/>
      <c r="F163" s="23">
        <v>175</v>
      </c>
      <c r="G163" s="24">
        <v>892000</v>
      </c>
      <c r="H163" s="23">
        <f t="shared" si="15"/>
        <v>175</v>
      </c>
    </row>
    <row r="164" spans="2:8">
      <c r="B164" s="23"/>
      <c r="C164" s="23"/>
      <c r="D164" s="23"/>
      <c r="E164" s="23"/>
      <c r="F164" s="23">
        <v>180</v>
      </c>
      <c r="G164" s="24">
        <v>1002100</v>
      </c>
      <c r="H164" s="23">
        <f t="shared" si="15"/>
        <v>180</v>
      </c>
    </row>
    <row r="165" spans="2:8">
      <c r="B165" s="23"/>
      <c r="C165" s="23"/>
      <c r="D165" s="23"/>
      <c r="E165" s="23"/>
      <c r="F165" s="23">
        <v>185</v>
      </c>
      <c r="G165" s="24">
        <v>1122700</v>
      </c>
      <c r="H165" s="23">
        <f t="shared" si="15"/>
        <v>185</v>
      </c>
    </row>
    <row r="166" spans="2:8">
      <c r="B166" s="23"/>
      <c r="C166" s="23"/>
      <c r="D166" s="23"/>
      <c r="E166" s="23"/>
      <c r="F166" s="23">
        <v>190</v>
      </c>
      <c r="G166" s="24">
        <v>1254400</v>
      </c>
      <c r="H166" s="23">
        <f t="shared" si="15"/>
        <v>190</v>
      </c>
    </row>
    <row r="167" spans="2:8">
      <c r="B167" s="23"/>
      <c r="C167" s="23"/>
      <c r="D167" s="23"/>
      <c r="E167" s="23"/>
      <c r="F167" s="23">
        <v>195</v>
      </c>
      <c r="G167" s="24">
        <v>1397800</v>
      </c>
      <c r="H167" s="23">
        <f t="shared" si="15"/>
        <v>195</v>
      </c>
    </row>
    <row r="168" spans="2:8">
      <c r="B168" s="23"/>
      <c r="C168" s="23"/>
      <c r="D168" s="23"/>
      <c r="E168" s="23"/>
      <c r="F168" s="23">
        <v>200</v>
      </c>
      <c r="G168" s="24">
        <v>1553800</v>
      </c>
      <c r="H168" s="23">
        <f t="shared" si="15"/>
        <v>200</v>
      </c>
    </row>
    <row r="169" spans="2:8">
      <c r="B169" s="23"/>
      <c r="C169" s="23"/>
      <c r="D169" s="23"/>
      <c r="E169" s="23"/>
      <c r="F169" s="23">
        <v>205</v>
      </c>
      <c r="G169" s="24">
        <v>1723000</v>
      </c>
      <c r="H169" s="23">
        <f t="shared" ref="H169:H192" si="16">F169</f>
        <v>205</v>
      </c>
    </row>
    <row r="170" spans="2:8">
      <c r="B170" s="23"/>
      <c r="C170" s="23"/>
      <c r="D170" s="23"/>
      <c r="E170" s="23"/>
      <c r="F170" s="23">
        <v>210</v>
      </c>
      <c r="G170" s="24">
        <v>1906200</v>
      </c>
      <c r="H170" s="23">
        <f t="shared" si="16"/>
        <v>210</v>
      </c>
    </row>
    <row r="171" spans="2:8">
      <c r="B171" s="23"/>
      <c r="C171" s="23"/>
      <c r="D171" s="23"/>
      <c r="E171" s="23"/>
      <c r="F171" s="23">
        <v>215</v>
      </c>
      <c r="G171" s="24">
        <v>2104000</v>
      </c>
      <c r="H171" s="23">
        <f t="shared" si="16"/>
        <v>215</v>
      </c>
    </row>
    <row r="172" spans="2:8">
      <c r="B172" s="23"/>
      <c r="C172" s="23"/>
      <c r="D172" s="23"/>
      <c r="E172" s="23"/>
      <c r="F172" s="23">
        <v>220</v>
      </c>
      <c r="G172" s="24">
        <v>2318000</v>
      </c>
      <c r="H172" s="23">
        <f t="shared" si="16"/>
        <v>220</v>
      </c>
    </row>
    <row r="173" spans="2:8">
      <c r="B173" s="23"/>
      <c r="C173" s="23"/>
      <c r="D173" s="23"/>
      <c r="E173" s="23"/>
      <c r="F173" s="23">
        <v>225</v>
      </c>
      <c r="G173" s="24">
        <v>2548000</v>
      </c>
      <c r="H173" s="23">
        <f t="shared" si="16"/>
        <v>225</v>
      </c>
    </row>
    <row r="174" spans="2:8">
      <c r="B174" s="23"/>
      <c r="C174" s="23"/>
      <c r="D174" s="23"/>
      <c r="E174" s="23"/>
      <c r="F174" s="23">
        <v>230</v>
      </c>
      <c r="G174" s="24">
        <v>2795000</v>
      </c>
      <c r="H174" s="23">
        <f t="shared" si="16"/>
        <v>230</v>
      </c>
    </row>
    <row r="175" spans="2:8">
      <c r="B175" s="23"/>
      <c r="C175" s="23"/>
      <c r="D175" s="23"/>
      <c r="E175" s="23"/>
      <c r="F175" s="23">
        <v>235</v>
      </c>
      <c r="G175" s="24">
        <v>3060000</v>
      </c>
      <c r="H175" s="23">
        <f t="shared" si="16"/>
        <v>235</v>
      </c>
    </row>
    <row r="176" spans="2:8">
      <c r="B176" s="23"/>
      <c r="C176" s="23"/>
      <c r="D176" s="23"/>
      <c r="E176" s="23"/>
      <c r="F176" s="23">
        <v>240</v>
      </c>
      <c r="G176" s="24">
        <v>3344000</v>
      </c>
      <c r="H176" s="23">
        <f t="shared" si="16"/>
        <v>240</v>
      </c>
    </row>
    <row r="177" spans="2:8">
      <c r="B177" s="23"/>
      <c r="C177" s="23"/>
      <c r="D177" s="23"/>
      <c r="E177" s="23"/>
      <c r="F177" s="23">
        <v>245</v>
      </c>
      <c r="G177" s="24">
        <v>3648000</v>
      </c>
      <c r="H177" s="23">
        <f t="shared" si="16"/>
        <v>245</v>
      </c>
    </row>
    <row r="178" spans="2:8">
      <c r="B178" s="23"/>
      <c r="C178" s="23"/>
      <c r="D178" s="23"/>
      <c r="E178" s="23"/>
      <c r="F178" s="23">
        <v>250</v>
      </c>
      <c r="G178" s="24">
        <v>3973000</v>
      </c>
      <c r="H178" s="23">
        <f t="shared" si="16"/>
        <v>250</v>
      </c>
    </row>
    <row r="179" spans="2:8">
      <c r="B179" s="23"/>
      <c r="C179" s="23"/>
      <c r="D179" s="23"/>
      <c r="E179" s="23"/>
      <c r="F179" s="23">
        <v>255</v>
      </c>
      <c r="G179" s="24">
        <v>4319000</v>
      </c>
      <c r="H179" s="23">
        <f t="shared" si="16"/>
        <v>255</v>
      </c>
    </row>
    <row r="180" spans="2:8">
      <c r="B180" s="23"/>
      <c r="C180" s="23"/>
      <c r="D180" s="23"/>
      <c r="E180" s="23"/>
      <c r="F180" s="23">
        <v>260</v>
      </c>
      <c r="G180" s="24">
        <v>4688000</v>
      </c>
      <c r="H180" s="23">
        <f t="shared" si="16"/>
        <v>260</v>
      </c>
    </row>
    <row r="181" spans="2:8">
      <c r="B181" s="23"/>
      <c r="C181" s="23"/>
      <c r="D181" s="23"/>
      <c r="E181" s="23"/>
      <c r="F181" s="23">
        <v>265</v>
      </c>
      <c r="G181" s="24">
        <v>5081000</v>
      </c>
      <c r="H181" s="23">
        <f t="shared" si="16"/>
        <v>265</v>
      </c>
    </row>
    <row r="182" spans="2:8">
      <c r="B182" s="23"/>
      <c r="C182" s="23"/>
      <c r="D182" s="23"/>
      <c r="E182" s="23"/>
      <c r="F182" s="23">
        <v>270</v>
      </c>
      <c r="G182" s="24">
        <v>5499000</v>
      </c>
      <c r="H182" s="23">
        <f t="shared" si="16"/>
        <v>270</v>
      </c>
    </row>
    <row r="183" spans="2:8">
      <c r="B183" s="23"/>
      <c r="C183" s="23"/>
      <c r="D183" s="23"/>
      <c r="E183" s="23"/>
      <c r="F183" s="23">
        <v>275</v>
      </c>
      <c r="G183" s="24">
        <v>5942000</v>
      </c>
      <c r="H183" s="23">
        <f t="shared" si="16"/>
        <v>275</v>
      </c>
    </row>
    <row r="184" spans="2:8">
      <c r="B184" s="23"/>
      <c r="C184" s="23"/>
      <c r="D184" s="23"/>
      <c r="E184" s="23"/>
      <c r="F184" s="23">
        <v>280</v>
      </c>
      <c r="G184" s="24">
        <v>6412000</v>
      </c>
      <c r="H184" s="23">
        <f t="shared" si="16"/>
        <v>280</v>
      </c>
    </row>
    <row r="185" spans="2:8">
      <c r="B185" s="23"/>
      <c r="C185" s="23"/>
      <c r="D185" s="23"/>
      <c r="E185" s="23"/>
      <c r="F185" s="23">
        <v>285</v>
      </c>
      <c r="G185" s="24">
        <v>6909000</v>
      </c>
      <c r="H185" s="23">
        <f t="shared" si="16"/>
        <v>285</v>
      </c>
    </row>
    <row r="186" spans="2:8">
      <c r="B186" s="23"/>
      <c r="C186" s="23"/>
      <c r="D186" s="23"/>
      <c r="E186" s="23"/>
      <c r="F186" s="23">
        <v>290</v>
      </c>
      <c r="G186" s="24">
        <v>7436000</v>
      </c>
      <c r="H186" s="23">
        <f t="shared" si="16"/>
        <v>290</v>
      </c>
    </row>
    <row r="187" spans="2:8">
      <c r="B187" s="23"/>
      <c r="C187" s="23"/>
      <c r="D187" s="23"/>
      <c r="E187" s="23"/>
      <c r="F187" s="23">
        <v>295</v>
      </c>
      <c r="G187" s="24">
        <v>7993000</v>
      </c>
      <c r="H187" s="23">
        <f t="shared" si="16"/>
        <v>295</v>
      </c>
    </row>
    <row r="188" spans="2:8">
      <c r="B188" s="23"/>
      <c r="C188" s="23"/>
      <c r="D188" s="23"/>
      <c r="E188" s="23"/>
      <c r="F188" s="23">
        <v>300</v>
      </c>
      <c r="G188" s="24">
        <v>8581000</v>
      </c>
      <c r="H188" s="23">
        <f t="shared" si="16"/>
        <v>300</v>
      </c>
    </row>
    <row r="189" spans="2:8">
      <c r="B189" s="23"/>
      <c r="C189" s="23"/>
      <c r="D189" s="23"/>
      <c r="E189" s="23"/>
      <c r="F189" s="23">
        <v>320</v>
      </c>
      <c r="G189" s="23">
        <v>11274000</v>
      </c>
      <c r="H189" s="23">
        <f t="shared" si="16"/>
        <v>320</v>
      </c>
    </row>
    <row r="190" spans="2:8">
      <c r="B190" s="23"/>
      <c r="C190" s="23"/>
      <c r="D190" s="23"/>
      <c r="E190" s="23"/>
      <c r="F190" s="23">
        <v>340</v>
      </c>
      <c r="G190" s="23">
        <v>14586000</v>
      </c>
      <c r="H190" s="23">
        <f t="shared" si="16"/>
        <v>340</v>
      </c>
    </row>
    <row r="191" spans="2:8">
      <c r="B191" s="23"/>
      <c r="C191" s="23"/>
      <c r="D191" s="23"/>
      <c r="E191" s="23"/>
      <c r="F191" s="23">
        <v>360</v>
      </c>
      <c r="G191" s="23">
        <v>18651000</v>
      </c>
      <c r="H191" s="23">
        <f t="shared" si="16"/>
        <v>360</v>
      </c>
    </row>
    <row r="192" spans="2:8">
      <c r="B192" s="23"/>
      <c r="C192" s="23"/>
      <c r="D192" s="23"/>
      <c r="E192" s="23"/>
      <c r="F192" s="24">
        <v>374.14</v>
      </c>
      <c r="G192" s="24">
        <v>22090000</v>
      </c>
      <c r="H192" s="24">
        <f t="shared" si="16"/>
        <v>374.14</v>
      </c>
    </row>
    <row r="193" spans="2:8">
      <c r="B193" s="23"/>
      <c r="C193" s="23"/>
      <c r="D193" s="23"/>
      <c r="E193" s="23"/>
      <c r="F193" s="23"/>
      <c r="G193" s="23"/>
      <c r="H193" s="23"/>
    </row>
    <row r="194" spans="2:8">
      <c r="B194" s="23"/>
      <c r="C194" s="23"/>
      <c r="D194" s="23"/>
      <c r="E194" s="23"/>
      <c r="F194" s="1920" t="s">
        <v>169</v>
      </c>
      <c r="G194" s="1921"/>
      <c r="H194" s="1937"/>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20" t="s">
        <v>172</v>
      </c>
      <c r="G200" s="1921"/>
      <c r="H200" s="1937"/>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20" t="s">
        <v>261</v>
      </c>
      <c r="G206" s="1921"/>
      <c r="H206" s="1937"/>
    </row>
    <row r="207" spans="2:8">
      <c r="B207" s="23"/>
      <c r="C207" s="23"/>
      <c r="D207" s="23"/>
      <c r="E207" s="23"/>
      <c r="F207" s="35" t="s">
        <v>170</v>
      </c>
      <c r="G207" s="37" t="s">
        <v>171</v>
      </c>
      <c r="H207" s="67"/>
    </row>
    <row r="208" spans="2:8">
      <c r="B208" s="23"/>
      <c r="C208" s="23"/>
      <c r="D208" s="23"/>
      <c r="E208" s="23"/>
      <c r="F208" s="49">
        <f>VLOOKUP(G208,$G$105:$H$192,2)</f>
        <v>55</v>
      </c>
      <c r="G208" s="24">
        <f>VLOOKUP(C127,G105:H192,1)</f>
        <v>15737.376096</v>
      </c>
      <c r="H208" s="46">
        <f>MATCH(F208,F105:F192,1)</f>
        <v>27</v>
      </c>
    </row>
    <row r="209" spans="2:8">
      <c r="B209" s="23"/>
      <c r="C209" s="23"/>
      <c r="D209" s="23"/>
      <c r="E209" s="23"/>
      <c r="F209" s="49">
        <f>F208+(G209-G208)/(G210-G208)*(F210-F208)</f>
        <v>59.1942344830736</v>
      </c>
      <c r="G209" s="24">
        <f>C127</f>
        <v>19242.350229872351</v>
      </c>
      <c r="H209" s="46"/>
    </row>
    <row r="210" spans="2:8">
      <c r="B210" s="23"/>
      <c r="C210" s="23"/>
      <c r="D210" s="23"/>
      <c r="E210" s="23"/>
      <c r="F210" s="61">
        <f>INDEX(F105:F192,H210)</f>
        <v>60</v>
      </c>
      <c r="G210" s="69">
        <f>VLOOKUP(F210,F105:G192,2)</f>
        <v>19915.700111999999</v>
      </c>
      <c r="H210" s="58">
        <f>H208+1</f>
        <v>28</v>
      </c>
    </row>
    <row r="211" spans="2:8">
      <c r="B211" s="23"/>
      <c r="C211" s="23"/>
      <c r="D211" s="23"/>
      <c r="E211" s="23"/>
    </row>
    <row r="212" spans="2:8">
      <c r="B212" s="23"/>
      <c r="C212" s="23"/>
      <c r="D212" s="23"/>
      <c r="E212" s="23"/>
      <c r="F212" s="1920" t="s">
        <v>173</v>
      </c>
      <c r="G212" s="1921"/>
      <c r="H212" s="1937"/>
    </row>
    <row r="213" spans="2:8">
      <c r="B213" s="23"/>
      <c r="C213" s="23"/>
      <c r="D213" s="23"/>
      <c r="E213" s="23"/>
      <c r="F213" s="35" t="s">
        <v>170</v>
      </c>
      <c r="G213" s="37" t="s">
        <v>171</v>
      </c>
      <c r="H213" s="67"/>
    </row>
    <row r="214" spans="2:8">
      <c r="B214" s="23"/>
      <c r="C214" s="23"/>
      <c r="D214" s="23"/>
      <c r="E214" s="23"/>
      <c r="F214" s="49">
        <f>VLOOKUP(F215,F105:G192,1)</f>
        <v>0</v>
      </c>
      <c r="G214" s="24">
        <f>VLOOKUP(F214,$F$105:$G$192,2)</f>
        <v>610.48326959999986</v>
      </c>
      <c r="H214" s="46">
        <f>MATCH(F214,F105:F192,1)</f>
        <v>1</v>
      </c>
    </row>
    <row r="215" spans="2:8">
      <c r="B215" s="23"/>
      <c r="C215" s="23"/>
      <c r="D215" s="23"/>
      <c r="E215" s="23"/>
      <c r="F215" s="49">
        <f>C122</f>
        <v>0</v>
      </c>
      <c r="G215" s="24">
        <f>G214+((F215-F214)/(F216-F214))*(G216-G214)</f>
        <v>610.48326959999986</v>
      </c>
      <c r="H215" s="46"/>
    </row>
    <row r="216" spans="2:8">
      <c r="B216" s="23"/>
      <c r="C216" s="23"/>
      <c r="D216" s="23"/>
      <c r="E216" s="23"/>
      <c r="F216" s="61">
        <f>INDEX(F105:F192,H216)</f>
        <v>2</v>
      </c>
      <c r="G216" s="69">
        <f>VLOOKUP(F216,$F$105:$G$192,2)</f>
        <v>705.80878559999985</v>
      </c>
      <c r="H216" s="58">
        <f>H214+1</f>
        <v>2</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mergeCells count="25">
    <mergeCell ref="J5:M5"/>
    <mergeCell ref="N5:V5"/>
    <mergeCell ref="J6:M6"/>
    <mergeCell ref="N6:P6"/>
    <mergeCell ref="Q6:S6"/>
    <mergeCell ref="T6:V6"/>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M72:N72"/>
    <mergeCell ref="F194:H194"/>
    <mergeCell ref="F200:H200"/>
    <mergeCell ref="F206:H206"/>
    <mergeCell ref="F212:H21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3CEE-AAF8-4080-950B-DF1338CEC247}">
  <sheetPr codeName="Feuil411">
    <tabColor rgb="FFFFC000"/>
  </sheetPr>
  <dimension ref="A2:X355"/>
  <sheetViews>
    <sheetView workbookViewId="0"/>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16384" width="11.44140625" style="19"/>
  </cols>
  <sheetData>
    <row r="2" spans="1:24">
      <c r="E2" s="20" t="s">
        <v>64</v>
      </c>
      <c r="F2" s="21" t="s">
        <v>16</v>
      </c>
      <c r="G2" s="22">
        <f>1-(G4/(G5+ABS(L27)))</f>
        <v>1.0044118150193189</v>
      </c>
    </row>
    <row r="4" spans="1:24">
      <c r="E4" s="23" t="s">
        <v>65</v>
      </c>
      <c r="F4" s="23" t="s">
        <v>66</v>
      </c>
      <c r="G4" s="255">
        <f>V27</f>
        <v>-3903.8528152104623</v>
      </c>
      <c r="H4" s="25"/>
    </row>
    <row r="5" spans="1:24">
      <c r="A5" s="26" t="s">
        <v>67</v>
      </c>
      <c r="E5" s="23" t="s">
        <v>68</v>
      </c>
      <c r="F5" s="23" t="s">
        <v>66</v>
      </c>
      <c r="G5" s="255">
        <f>P27+S27</f>
        <v>1864.5674656378285</v>
      </c>
      <c r="J5" s="1941" t="s">
        <v>339</v>
      </c>
      <c r="K5" s="1942"/>
      <c r="L5" s="1942"/>
      <c r="M5" s="1943"/>
      <c r="N5" s="1938" t="s">
        <v>69</v>
      </c>
      <c r="O5" s="1939"/>
      <c r="P5" s="1939"/>
      <c r="Q5" s="1939"/>
      <c r="R5" s="1939"/>
      <c r="S5" s="1939"/>
      <c r="T5" s="1939"/>
      <c r="U5" s="1939"/>
      <c r="V5" s="1940"/>
    </row>
    <row r="6" spans="1:24">
      <c r="A6" s="300" t="s">
        <v>338</v>
      </c>
      <c r="J6" s="1944" t="s">
        <v>337</v>
      </c>
      <c r="K6" s="1945"/>
      <c r="L6" s="1945"/>
      <c r="M6" s="1946"/>
      <c r="N6" s="1926" t="s">
        <v>336</v>
      </c>
      <c r="O6" s="1927"/>
      <c r="P6" s="1928"/>
      <c r="Q6" s="1926" t="s">
        <v>70</v>
      </c>
      <c r="R6" s="1927"/>
      <c r="S6" s="1928"/>
      <c r="T6" s="1926" t="s">
        <v>123</v>
      </c>
      <c r="U6" s="1927"/>
      <c r="V6" s="1928"/>
    </row>
    <row r="7" spans="1:24" ht="14.25" customHeight="1">
      <c r="C7" s="1935" t="s">
        <v>335</v>
      </c>
      <c r="D7" s="1920" t="s">
        <v>334</v>
      </c>
      <c r="E7" s="1937"/>
      <c r="F7" s="1920" t="s">
        <v>333</v>
      </c>
      <c r="G7" s="1921"/>
      <c r="H7" s="1921"/>
      <c r="I7" s="1921"/>
      <c r="J7" s="28" t="s">
        <v>71</v>
      </c>
      <c r="K7" s="29" t="s">
        <v>72</v>
      </c>
      <c r="L7" s="29" t="s">
        <v>332</v>
      </c>
      <c r="M7" s="1947" t="s">
        <v>331</v>
      </c>
      <c r="N7" s="30" t="s">
        <v>73</v>
      </c>
      <c r="O7" s="31">
        <f>'3c. Calculator EEM 2-3'!K34</f>
        <v>20</v>
      </c>
      <c r="P7" s="32"/>
      <c r="Q7" s="33" t="s">
        <v>73</v>
      </c>
      <c r="R7" s="34">
        <f>'3c. Calculator EEM 2-3'!K33</f>
        <v>20</v>
      </c>
      <c r="S7" s="32"/>
      <c r="T7" s="33" t="s">
        <v>73</v>
      </c>
      <c r="U7" s="34">
        <f>'3c. Calculator EEM 2-3'!K32</f>
        <v>0</v>
      </c>
      <c r="V7" s="32"/>
    </row>
    <row r="8" spans="1:24" ht="42">
      <c r="C8" s="1936"/>
      <c r="D8" s="299" t="s">
        <v>330</v>
      </c>
      <c r="E8" s="298" t="s">
        <v>329</v>
      </c>
      <c r="F8" s="1923" t="s">
        <v>74</v>
      </c>
      <c r="G8" s="1924"/>
      <c r="H8" s="1924"/>
      <c r="I8" s="1924"/>
      <c r="J8" s="35" t="s">
        <v>75</v>
      </c>
      <c r="K8" s="37" t="s">
        <v>75</v>
      </c>
      <c r="L8" s="37"/>
      <c r="M8" s="1948"/>
      <c r="N8" s="37" t="s">
        <v>76</v>
      </c>
      <c r="O8" s="37" t="s">
        <v>77</v>
      </c>
      <c r="P8" s="36" t="s">
        <v>78</v>
      </c>
      <c r="Q8" s="35" t="s">
        <v>76</v>
      </c>
      <c r="R8" s="37" t="s">
        <v>77</v>
      </c>
      <c r="S8" s="36" t="s">
        <v>78</v>
      </c>
      <c r="T8" s="35" t="s">
        <v>76</v>
      </c>
      <c r="U8" s="37" t="s">
        <v>77</v>
      </c>
      <c r="V8" s="36" t="s">
        <v>78</v>
      </c>
    </row>
    <row r="9" spans="1:24" ht="20.399999999999999">
      <c r="B9" s="19" t="s">
        <v>35</v>
      </c>
      <c r="C9" s="247" t="s">
        <v>328</v>
      </c>
      <c r="D9" s="1954" t="s">
        <v>328</v>
      </c>
      <c r="E9" s="1955"/>
      <c r="F9" s="1932" t="s">
        <v>111</v>
      </c>
      <c r="G9" s="1933"/>
      <c r="H9" s="1933"/>
      <c r="I9" s="1934"/>
      <c r="J9" s="35"/>
      <c r="K9" s="37"/>
      <c r="L9" s="37"/>
      <c r="M9" s="297" t="s">
        <v>327</v>
      </c>
      <c r="N9" s="37"/>
      <c r="O9" s="37"/>
      <c r="P9" s="36"/>
      <c r="Q9" s="37"/>
      <c r="R9" s="37"/>
      <c r="S9" s="36"/>
      <c r="T9" s="37"/>
      <c r="U9" s="37"/>
      <c r="V9" s="36"/>
    </row>
    <row r="10" spans="1:24" ht="2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row>
    <row r="11" spans="1:24" ht="15.6">
      <c r="A11" s="44" t="s">
        <v>88</v>
      </c>
      <c r="B11" s="45" t="s">
        <v>89</v>
      </c>
      <c r="C11" s="290">
        <v>31.998799999999999</v>
      </c>
      <c r="D11" s="283">
        <v>0</v>
      </c>
      <c r="E11" s="282">
        <v>0</v>
      </c>
      <c r="F11" s="47">
        <v>29.1</v>
      </c>
      <c r="G11" s="48">
        <v>1.1579999999999999</v>
      </c>
      <c r="H11" s="48">
        <v>-0.60760000000000003</v>
      </c>
      <c r="I11" s="48">
        <v>1.3109999999999999</v>
      </c>
      <c r="J11" s="49">
        <f t="shared" ref="J11:J26" si="0">N11*C11</f>
        <v>0</v>
      </c>
      <c r="K11" s="48">
        <f t="shared" ref="K11:K26" si="1">($E$29*(C11/1000))/($B$32*$B$29)*N11</f>
        <v>0</v>
      </c>
      <c r="L11" s="255">
        <f t="shared" ref="L11:L26" si="2">N11*E11</f>
        <v>0</v>
      </c>
      <c r="M11" s="279">
        <f t="shared" ref="M11:M26" si="3">N11*D11/2*$W$15</f>
        <v>0</v>
      </c>
      <c r="N11" s="51">
        <f>Combustion_Chaud3!C53/100</f>
        <v>0</v>
      </c>
      <c r="O11" s="50">
        <f t="shared" ref="O11:O26" si="4">AVERAGE($F11+$G11/100*O$7+$H11/100000*O$7^2+$I11/1000000000*O$7^3,$F11+$G11/100*$B$28+$H11/100000*$B$28^2+$I11/1000000000*$B$28^3)</f>
        <v>29.303892412703927</v>
      </c>
      <c r="P11" s="52">
        <f>N11*O11*(O$7-$B$28)</f>
        <v>0</v>
      </c>
      <c r="Q11" s="51">
        <f>Combustion_Chaud3!G88</f>
        <v>1.9809999999999999</v>
      </c>
      <c r="R11" s="50">
        <f t="shared" ref="R11:R26" si="5">AVERAGE($F11+$G11/100*R$7+$H11/100000*R$7^2+$I11/1000000000*R$7^3,$F11+$G11/100*$B$28+$H11/100000*$B$28^2+$I11/1000000000*$B$28^3)</f>
        <v>29.303892412703927</v>
      </c>
      <c r="S11" s="282">
        <f>Q11*R11*(R$7-$B$28)</f>
        <v>258.32699836957079</v>
      </c>
      <c r="T11" s="51">
        <f>Combustion_Chaud3!L79</f>
        <v>0</v>
      </c>
      <c r="U11" s="50">
        <f t="shared" ref="U11:U26" si="6">AVERAGE($F11+$G11/100*U$7+$H11/100000*U$7^2+$I11/1000000000*U$7^3,$F11+$G11/100*$B$28+$H11/100000*$B$28^2+$I11/1000000000*$B$28^3)</f>
        <v>29.189302368703927</v>
      </c>
      <c r="V11" s="282">
        <f>T11*U11*(U$7-$B$28)</f>
        <v>0</v>
      </c>
    </row>
    <row r="12" spans="1:24">
      <c r="A12" s="53" t="s">
        <v>299</v>
      </c>
      <c r="B12" s="19" t="s">
        <v>90</v>
      </c>
      <c r="C12" s="284">
        <v>28.010100000000001</v>
      </c>
      <c r="D12" s="283">
        <v>0</v>
      </c>
      <c r="E12" s="282">
        <v>-282910</v>
      </c>
      <c r="F12" s="51">
        <v>28.95</v>
      </c>
      <c r="G12" s="50">
        <v>0.41099999999999998</v>
      </c>
      <c r="H12" s="50">
        <v>0.3548</v>
      </c>
      <c r="I12" s="50">
        <v>-2.2200000000000002</v>
      </c>
      <c r="J12" s="49">
        <f t="shared" si="0"/>
        <v>0</v>
      </c>
      <c r="K12" s="50">
        <f t="shared" si="1"/>
        <v>0</v>
      </c>
      <c r="L12" s="255">
        <f t="shared" si="2"/>
        <v>0</v>
      </c>
      <c r="M12" s="279">
        <f t="shared" si="3"/>
        <v>0</v>
      </c>
      <c r="N12" s="51">
        <f>Combustion_Chaud3!C54/100</f>
        <v>0</v>
      </c>
      <c r="O12" s="50">
        <f t="shared" si="4"/>
        <v>29.024180754002948</v>
      </c>
      <c r="P12" s="52">
        <f>N12*O12*(O$7-$B$28)</f>
        <v>0</v>
      </c>
      <c r="Q12" s="285"/>
      <c r="R12" s="50">
        <f t="shared" si="5"/>
        <v>29.024180754002948</v>
      </c>
      <c r="S12" s="282">
        <f>Q12*R12*(R$7-$B$28)</f>
        <v>0</v>
      </c>
      <c r="T12" s="285"/>
      <c r="U12" s="50">
        <f t="shared" si="6"/>
        <v>28.982380034002947</v>
      </c>
      <c r="V12" s="282">
        <f>T12*U12*(U$7-$B$28)</f>
        <v>0</v>
      </c>
    </row>
    <row r="13" spans="1:24" ht="15.6">
      <c r="A13" s="53" t="s">
        <v>284</v>
      </c>
      <c r="B13" s="19" t="s">
        <v>91</v>
      </c>
      <c r="C13" s="284">
        <v>44.009500000000003</v>
      </c>
      <c r="D13" s="283">
        <v>0</v>
      </c>
      <c r="E13" s="282">
        <v>0</v>
      </c>
      <c r="F13" s="51">
        <v>36.11</v>
      </c>
      <c r="G13" s="50">
        <v>4.2329999999999997</v>
      </c>
      <c r="H13" s="50">
        <v>-2.887</v>
      </c>
      <c r="I13" s="50">
        <v>7.4640000000000004</v>
      </c>
      <c r="J13" s="49">
        <f t="shared" si="0"/>
        <v>0.28166080000000004</v>
      </c>
      <c r="K13" s="50">
        <f t="shared" si="1"/>
        <v>1.1916985502539782E-2</v>
      </c>
      <c r="L13" s="255">
        <f t="shared" si="2"/>
        <v>0</v>
      </c>
      <c r="M13" s="279">
        <f t="shared" si="3"/>
        <v>0</v>
      </c>
      <c r="N13" s="51">
        <f>Combustion_Chaud3!C55/100</f>
        <v>6.4000000000000003E-3</v>
      </c>
      <c r="O13" s="50">
        <f t="shared" si="4"/>
        <v>36.853195219340265</v>
      </c>
      <c r="P13" s="52">
        <f>N13*O13*(O$7-$B$28)</f>
        <v>1.0495789998468106</v>
      </c>
      <c r="Q13" s="285"/>
      <c r="R13" s="50">
        <f t="shared" si="5"/>
        <v>36.853195219340265</v>
      </c>
      <c r="S13" s="282">
        <f>Q13*R13*(R$7-$B$28)</f>
        <v>0</v>
      </c>
      <c r="T13" s="51">
        <f>Combustion_Chaud3!L78</f>
        <v>1.0020999999999998</v>
      </c>
      <c r="U13" s="50">
        <f t="shared" si="6"/>
        <v>36.435639363340258</v>
      </c>
      <c r="V13" s="282">
        <f>T13*U13*(U$7-$B$28)</f>
        <v>-567.76399790335086</v>
      </c>
    </row>
    <row r="14" spans="1:24" ht="15.6">
      <c r="A14" s="53" t="s">
        <v>92</v>
      </c>
      <c r="B14" s="19" t="s">
        <v>93</v>
      </c>
      <c r="C14" s="284">
        <v>2.0158800000000001</v>
      </c>
      <c r="D14" s="283">
        <v>2</v>
      </c>
      <c r="E14" s="282">
        <v>-286130</v>
      </c>
      <c r="F14" s="51">
        <v>28.84</v>
      </c>
      <c r="G14" s="50">
        <v>7.6499999999999997E-3</v>
      </c>
      <c r="H14" s="50">
        <v>0.32879999999999998</v>
      </c>
      <c r="I14" s="50">
        <v>-0.86980000000000002</v>
      </c>
      <c r="J14" s="49">
        <f t="shared" si="0"/>
        <v>0</v>
      </c>
      <c r="K14" s="50">
        <f t="shared" si="1"/>
        <v>0</v>
      </c>
      <c r="L14" s="255">
        <f t="shared" si="2"/>
        <v>0</v>
      </c>
      <c r="M14" s="279">
        <f t="shared" si="3"/>
        <v>0</v>
      </c>
      <c r="N14" s="51">
        <f>Combustion_Chaud3!C56/100</f>
        <v>0</v>
      </c>
      <c r="O14" s="50">
        <f t="shared" si="4"/>
        <v>28.842409796373442</v>
      </c>
      <c r="P14" s="52">
        <f>N14*O14*(O$7-$B$28)</f>
        <v>0</v>
      </c>
      <c r="Q14" s="285"/>
      <c r="R14" s="50">
        <f t="shared" si="5"/>
        <v>28.842409796373442</v>
      </c>
      <c r="S14" s="282">
        <f>Q14*R14*(R$7-$B$28)</f>
        <v>0</v>
      </c>
      <c r="T14" s="285"/>
      <c r="U14" s="50">
        <f t="shared" si="6"/>
        <v>28.840990675573444</v>
      </c>
      <c r="V14" s="282">
        <f>T14*U14*(U$7-$B$28)</f>
        <v>0</v>
      </c>
    </row>
    <row r="15" spans="1:24" ht="15.6">
      <c r="A15" s="53" t="s">
        <v>94</v>
      </c>
      <c r="B15" s="19" t="s">
        <v>298</v>
      </c>
      <c r="C15" s="284">
        <v>18.015280000000001</v>
      </c>
      <c r="D15" s="283">
        <v>2</v>
      </c>
      <c r="E15" s="282">
        <v>0</v>
      </c>
      <c r="F15" s="51">
        <v>33.46</v>
      </c>
      <c r="G15" s="50">
        <v>0.68799999999999994</v>
      </c>
      <c r="H15" s="50">
        <v>0.76039999999999996</v>
      </c>
      <c r="I15" s="50">
        <v>-3.593</v>
      </c>
      <c r="J15" s="49">
        <f t="shared" si="0"/>
        <v>0</v>
      </c>
      <c r="K15" s="50">
        <f t="shared" si="1"/>
        <v>0</v>
      </c>
      <c r="L15" s="255">
        <f t="shared" si="2"/>
        <v>0</v>
      </c>
      <c r="M15" s="279">
        <f t="shared" si="3"/>
        <v>0</v>
      </c>
      <c r="N15" s="51">
        <f>Combustion_Chaud3!C57/100</f>
        <v>0</v>
      </c>
      <c r="O15" s="50">
        <f t="shared" si="4"/>
        <v>33.584711006213126</v>
      </c>
      <c r="P15" s="52">
        <f>N15*(W15+O15*(O$7-$B$28))</f>
        <v>0</v>
      </c>
      <c r="Q15" s="51">
        <f>Combustion_Chaud3!G89</f>
        <v>1.089247024450259E-2</v>
      </c>
      <c r="R15" s="50">
        <f t="shared" si="5"/>
        <v>33.584711006213126</v>
      </c>
      <c r="S15" s="282">
        <f>Q15*(W15+R15*(R$7-$B$28))</f>
        <v>485.34071968848002</v>
      </c>
      <c r="T15" s="51">
        <f>Combustion_Chaud3!L81-T16</f>
        <v>6.2864878118927603E-2</v>
      </c>
      <c r="U15" s="50">
        <f t="shared" si="6"/>
        <v>33.514404578213124</v>
      </c>
      <c r="V15" s="286">
        <f>((T15-G89)*$W$15)+(T15*U15*(U$7-$B$28))</f>
        <v>2275.2287210744284</v>
      </c>
      <c r="W15" s="257">
        <v>44408</v>
      </c>
      <c r="X15" s="19" t="s">
        <v>95</v>
      </c>
    </row>
    <row r="16" spans="1:24" ht="15.6">
      <c r="A16" s="53" t="s">
        <v>96</v>
      </c>
      <c r="B16" s="19" t="s">
        <v>324</v>
      </c>
      <c r="C16" s="284">
        <f>C15</f>
        <v>18.015280000000001</v>
      </c>
      <c r="D16" s="283">
        <v>2</v>
      </c>
      <c r="E16" s="282">
        <v>0</v>
      </c>
      <c r="F16" s="51">
        <v>75.400000000000006</v>
      </c>
      <c r="G16" s="50">
        <v>0</v>
      </c>
      <c r="H16" s="50">
        <v>0</v>
      </c>
      <c r="I16" s="50">
        <v>0</v>
      </c>
      <c r="J16" s="49">
        <f t="shared" si="0"/>
        <v>0</v>
      </c>
      <c r="K16" s="50">
        <f t="shared" si="1"/>
        <v>0</v>
      </c>
      <c r="L16" s="255">
        <f t="shared" si="2"/>
        <v>0</v>
      </c>
      <c r="M16" s="279">
        <f t="shared" si="3"/>
        <v>0</v>
      </c>
      <c r="N16" s="51">
        <v>0</v>
      </c>
      <c r="O16" s="50">
        <f t="shared" si="4"/>
        <v>75.400000000000006</v>
      </c>
      <c r="P16" s="52">
        <f t="shared" ref="P16:P26" si="7">N16*O16*(O$7-$B$28)</f>
        <v>0</v>
      </c>
      <c r="Q16" s="285"/>
      <c r="R16" s="50">
        <f t="shared" si="5"/>
        <v>75.400000000000006</v>
      </c>
      <c r="S16" s="282">
        <f t="shared" ref="S16:S26" si="8">Q16*R16*(R$7-$B$28)</f>
        <v>0</v>
      </c>
      <c r="T16" s="51">
        <f>Combustion_Chaud3!L92</f>
        <v>1.9186275921255749</v>
      </c>
      <c r="U16" s="50">
        <f t="shared" si="6"/>
        <v>75.400000000000006</v>
      </c>
      <c r="V16" s="286">
        <f t="shared" ref="V16:V26" si="9">T16*U16*(U$7-$B$28)</f>
        <v>-2249.5332929394731</v>
      </c>
    </row>
    <row r="17" spans="1:22" ht="15.6">
      <c r="A17" s="53" t="s">
        <v>97</v>
      </c>
      <c r="B17" s="19" t="s">
        <v>98</v>
      </c>
      <c r="C17" s="284">
        <v>16.042459999999998</v>
      </c>
      <c r="D17" s="283">
        <v>4</v>
      </c>
      <c r="E17" s="282">
        <v>-891460</v>
      </c>
      <c r="F17" s="51">
        <v>34.31</v>
      </c>
      <c r="G17" s="50">
        <v>5.4690000000000003</v>
      </c>
      <c r="H17" s="50">
        <v>0.36609999999999998</v>
      </c>
      <c r="I17" s="50">
        <v>-11</v>
      </c>
      <c r="J17" s="49">
        <f t="shared" si="0"/>
        <v>15.347821481999999</v>
      </c>
      <c r="K17" s="50">
        <f t="shared" si="1"/>
        <v>0.6493618071686319</v>
      </c>
      <c r="L17" s="255">
        <f t="shared" si="2"/>
        <v>-852859.78200000001</v>
      </c>
      <c r="M17" s="279">
        <f t="shared" si="3"/>
        <v>84970.267200000002</v>
      </c>
      <c r="N17" s="51">
        <f>Combustion_Chaud3!C58/100</f>
        <v>0.95669999999999999</v>
      </c>
      <c r="O17" s="50">
        <f t="shared" si="4"/>
        <v>35.283224889317438</v>
      </c>
      <c r="P17" s="52">
        <f t="shared" si="7"/>
        <v>150.21180256966446</v>
      </c>
      <c r="Q17" s="285"/>
      <c r="R17" s="50">
        <f t="shared" si="5"/>
        <v>35.283224889317438</v>
      </c>
      <c r="S17" s="282">
        <f t="shared" si="8"/>
        <v>0</v>
      </c>
      <c r="T17" s="285"/>
      <c r="U17" s="50">
        <f t="shared" si="6"/>
        <v>34.735636689317438</v>
      </c>
      <c r="V17" s="282">
        <f t="shared" si="9"/>
        <v>0</v>
      </c>
    </row>
    <row r="18" spans="1:22" ht="15.6">
      <c r="A18" s="53" t="s">
        <v>99</v>
      </c>
      <c r="B18" s="19" t="s">
        <v>297</v>
      </c>
      <c r="C18" s="284">
        <v>30.09562</v>
      </c>
      <c r="D18" s="283">
        <v>6</v>
      </c>
      <c r="E18" s="282">
        <v>-1562060</v>
      </c>
      <c r="F18" s="51">
        <v>49.37</v>
      </c>
      <c r="G18" s="50">
        <v>13.92</v>
      </c>
      <c r="H18" s="50">
        <v>-5.8159999999999998</v>
      </c>
      <c r="I18" s="50">
        <v>7.28</v>
      </c>
      <c r="J18" s="49">
        <f t="shared" si="0"/>
        <v>0.4875490440000001</v>
      </c>
      <c r="K18" s="50">
        <f t="shared" si="1"/>
        <v>2.0628056474756629E-2</v>
      </c>
      <c r="L18" s="255">
        <f t="shared" si="2"/>
        <v>-25305.372000000003</v>
      </c>
      <c r="M18" s="279">
        <f t="shared" si="3"/>
        <v>2158.2288000000003</v>
      </c>
      <c r="N18" s="51">
        <f>Combustion_Chaud3!C59/100</f>
        <v>1.6200000000000003E-2</v>
      </c>
      <c r="O18" s="50">
        <f t="shared" si="4"/>
        <v>51.825659189805108</v>
      </c>
      <c r="P18" s="52">
        <f t="shared" si="7"/>
        <v>3.73611177099305</v>
      </c>
      <c r="Q18" s="285"/>
      <c r="R18" s="50">
        <f t="shared" si="5"/>
        <v>51.825659189805108</v>
      </c>
      <c r="S18" s="282">
        <f t="shared" si="8"/>
        <v>0</v>
      </c>
      <c r="T18" s="285"/>
      <c r="U18" s="50">
        <f t="shared" si="6"/>
        <v>50.445262069805104</v>
      </c>
      <c r="V18" s="282">
        <f t="shared" si="9"/>
        <v>0</v>
      </c>
    </row>
    <row r="19" spans="1:22" ht="15.6">
      <c r="A19" s="53" t="s">
        <v>100</v>
      </c>
      <c r="B19" s="19" t="s">
        <v>296</v>
      </c>
      <c r="C19" s="284">
        <v>44.095619999999997</v>
      </c>
      <c r="D19" s="283">
        <v>8</v>
      </c>
      <c r="E19" s="282">
        <v>-2220990</v>
      </c>
      <c r="F19" s="51">
        <v>68.031999999999996</v>
      </c>
      <c r="G19" s="50">
        <v>22.59</v>
      </c>
      <c r="H19" s="50">
        <v>-13.11</v>
      </c>
      <c r="I19" s="50">
        <v>31.71</v>
      </c>
      <c r="J19" s="49">
        <f t="shared" si="0"/>
        <v>6.1733868000000004E-2</v>
      </c>
      <c r="K19" s="50">
        <f t="shared" si="1"/>
        <v>2.611941775254862E-3</v>
      </c>
      <c r="L19" s="255">
        <f t="shared" si="2"/>
        <v>-3109.3860000000004</v>
      </c>
      <c r="M19" s="279">
        <f t="shared" si="3"/>
        <v>248.68480000000002</v>
      </c>
      <c r="N19" s="51">
        <f>Combustion_Chaud3!C60/100</f>
        <v>1.4000000000000002E-3</v>
      </c>
      <c r="O19" s="50">
        <f t="shared" si="4"/>
        <v>72.005488801382796</v>
      </c>
      <c r="P19" s="52">
        <f t="shared" si="7"/>
        <v>0.44859419523261485</v>
      </c>
      <c r="Q19" s="285"/>
      <c r="R19" s="50">
        <f t="shared" si="5"/>
        <v>72.005488801382796</v>
      </c>
      <c r="S19" s="282">
        <f t="shared" si="8"/>
        <v>0</v>
      </c>
      <c r="T19" s="285"/>
      <c r="U19" s="50">
        <f t="shared" si="6"/>
        <v>69.772581961382798</v>
      </c>
      <c r="V19" s="282">
        <f t="shared" si="9"/>
        <v>0</v>
      </c>
    </row>
    <row r="20" spans="1:22" ht="15.6">
      <c r="A20" s="53" t="s">
        <v>323</v>
      </c>
      <c r="B20" s="19" t="s">
        <v>322</v>
      </c>
      <c r="C20" s="284">
        <v>58.122199999999999</v>
      </c>
      <c r="D20" s="283">
        <v>10</v>
      </c>
      <c r="E20" s="286">
        <v>-2870450</v>
      </c>
      <c r="F20" s="51">
        <v>89.46</v>
      </c>
      <c r="G20" s="50">
        <v>30.13</v>
      </c>
      <c r="H20" s="50">
        <v>-18.91</v>
      </c>
      <c r="I20" s="50">
        <v>49.87</v>
      </c>
      <c r="J20" s="49">
        <f t="shared" si="0"/>
        <v>2.324888E-2</v>
      </c>
      <c r="K20" s="50">
        <f t="shared" si="1"/>
        <v>9.8365326630573758E-4</v>
      </c>
      <c r="L20" s="255">
        <f t="shared" si="2"/>
        <v>-1148.18</v>
      </c>
      <c r="M20" s="279">
        <f t="shared" si="3"/>
        <v>88.816000000000003</v>
      </c>
      <c r="N20" s="51">
        <f>Combustion_Chaud3!C61/100</f>
        <v>4.0000000000000002E-4</v>
      </c>
      <c r="O20" s="50">
        <f t="shared" si="4"/>
        <v>94.755218309944979</v>
      </c>
      <c r="P20" s="52">
        <f t="shared" si="7"/>
        <v>0.16866428859170204</v>
      </c>
      <c r="Q20" s="285"/>
      <c r="R20" s="50">
        <f t="shared" si="5"/>
        <v>94.755218309944979</v>
      </c>
      <c r="S20" s="282">
        <f t="shared" si="8"/>
        <v>0</v>
      </c>
      <c r="T20" s="285"/>
      <c r="U20" s="50">
        <f t="shared" si="6"/>
        <v>91.779838829944993</v>
      </c>
      <c r="V20" s="282">
        <f t="shared" si="9"/>
        <v>0</v>
      </c>
    </row>
    <row r="21" spans="1:22" ht="15.6">
      <c r="A21" s="53" t="s">
        <v>101</v>
      </c>
      <c r="B21" s="19" t="s">
        <v>321</v>
      </c>
      <c r="C21" s="284">
        <f>C20</f>
        <v>58.122199999999999</v>
      </c>
      <c r="D21" s="283">
        <v>10</v>
      </c>
      <c r="E21" s="289">
        <v>-2879630</v>
      </c>
      <c r="F21" s="51">
        <v>92.3</v>
      </c>
      <c r="G21" s="50">
        <v>27.88</v>
      </c>
      <c r="H21" s="50">
        <v>-15.47</v>
      </c>
      <c r="I21" s="50">
        <v>34.979999999999997</v>
      </c>
      <c r="J21" s="49">
        <f t="shared" si="0"/>
        <v>1.162444E-2</v>
      </c>
      <c r="K21" s="50">
        <f t="shared" si="1"/>
        <v>4.9182663315286879E-4</v>
      </c>
      <c r="L21" s="255">
        <f t="shared" si="2"/>
        <v>-575.92600000000004</v>
      </c>
      <c r="M21" s="279">
        <f t="shared" si="3"/>
        <v>44.408000000000001</v>
      </c>
      <c r="N21" s="51">
        <f>Combustion_Chaud3!C62/100</f>
        <v>2.0000000000000001E-4</v>
      </c>
      <c r="O21" s="50">
        <f t="shared" si="4"/>
        <v>97.206232259530026</v>
      </c>
      <c r="P21" s="52">
        <f t="shared" si="7"/>
        <v>8.6513546710981701E-2</v>
      </c>
      <c r="Q21" s="285"/>
      <c r="R21" s="50">
        <f t="shared" si="5"/>
        <v>97.206232259530026</v>
      </c>
      <c r="S21" s="282">
        <f t="shared" si="8"/>
        <v>0</v>
      </c>
      <c r="T21" s="285"/>
      <c r="U21" s="50">
        <f t="shared" si="6"/>
        <v>94.449032339530021</v>
      </c>
      <c r="V21" s="282">
        <f t="shared" si="9"/>
        <v>0</v>
      </c>
    </row>
    <row r="22" spans="1:22" ht="15.6">
      <c r="A22" s="53" t="s">
        <v>320</v>
      </c>
      <c r="B22" s="19" t="s">
        <v>292</v>
      </c>
      <c r="C22" s="284">
        <v>72.148780000000002</v>
      </c>
      <c r="D22" s="283">
        <v>12</v>
      </c>
      <c r="E22" s="286">
        <v>-3531520</v>
      </c>
      <c r="F22" s="288">
        <f>F23</f>
        <v>114.8</v>
      </c>
      <c r="G22" s="287">
        <f>G23</f>
        <v>34.090000000000003</v>
      </c>
      <c r="H22" s="287">
        <f>H23</f>
        <v>-18.989999999999998</v>
      </c>
      <c r="I22" s="287">
        <f>I23</f>
        <v>42.26</v>
      </c>
      <c r="J22" s="49">
        <f t="shared" si="0"/>
        <v>0</v>
      </c>
      <c r="K22" s="50">
        <f t="shared" si="1"/>
        <v>0</v>
      </c>
      <c r="L22" s="255">
        <f t="shared" si="2"/>
        <v>0</v>
      </c>
      <c r="M22" s="279">
        <f t="shared" si="3"/>
        <v>0</v>
      </c>
      <c r="N22" s="51">
        <f>Combustion_Chaud3!C63/100</f>
        <v>0</v>
      </c>
      <c r="O22" s="50">
        <f t="shared" si="4"/>
        <v>120.79880684203513</v>
      </c>
      <c r="P22" s="52">
        <f t="shared" si="7"/>
        <v>0</v>
      </c>
      <c r="Q22" s="285"/>
      <c r="R22" s="50">
        <f t="shared" si="5"/>
        <v>120.79880684203513</v>
      </c>
      <c r="S22" s="282">
        <f t="shared" si="8"/>
        <v>0</v>
      </c>
      <c r="T22" s="285"/>
      <c r="U22" s="50">
        <f t="shared" si="6"/>
        <v>117.42761780203513</v>
      </c>
      <c r="V22" s="282">
        <f t="shared" si="9"/>
        <v>0</v>
      </c>
    </row>
    <row r="23" spans="1:22" ht="15.6">
      <c r="A23" s="53" t="s">
        <v>291</v>
      </c>
      <c r="B23" s="19" t="s">
        <v>290</v>
      </c>
      <c r="C23" s="284">
        <f>C22</f>
        <v>72.148780000000002</v>
      </c>
      <c r="D23" s="283">
        <v>12</v>
      </c>
      <c r="E23" s="286">
        <v>-3538450</v>
      </c>
      <c r="F23" s="51">
        <v>114.8</v>
      </c>
      <c r="G23" s="50">
        <v>34.090000000000003</v>
      </c>
      <c r="H23" s="50">
        <v>-18.989999999999998</v>
      </c>
      <c r="I23" s="50">
        <v>42.26</v>
      </c>
      <c r="J23" s="49">
        <f t="shared" si="0"/>
        <v>0</v>
      </c>
      <c r="K23" s="50">
        <f t="shared" si="1"/>
        <v>0</v>
      </c>
      <c r="L23" s="255">
        <f t="shared" si="2"/>
        <v>0</v>
      </c>
      <c r="M23" s="279">
        <f t="shared" si="3"/>
        <v>0</v>
      </c>
      <c r="N23" s="51">
        <f>Combustion_Chaud3!C64/100</f>
        <v>0</v>
      </c>
      <c r="O23" s="50">
        <f t="shared" si="4"/>
        <v>120.79880684203513</v>
      </c>
      <c r="P23" s="52">
        <f t="shared" si="7"/>
        <v>0</v>
      </c>
      <c r="Q23" s="285"/>
      <c r="R23" s="50">
        <f t="shared" si="5"/>
        <v>120.79880684203513</v>
      </c>
      <c r="S23" s="282">
        <f t="shared" si="8"/>
        <v>0</v>
      </c>
      <c r="T23" s="285"/>
      <c r="U23" s="50">
        <f t="shared" si="6"/>
        <v>117.42761780203513</v>
      </c>
      <c r="V23" s="282">
        <f t="shared" si="9"/>
        <v>0</v>
      </c>
    </row>
    <row r="24" spans="1:22" ht="15.6">
      <c r="A24" s="53" t="s">
        <v>289</v>
      </c>
      <c r="B24" s="19" t="s">
        <v>288</v>
      </c>
      <c r="C24" s="284">
        <v>86.175359999999998</v>
      </c>
      <c r="D24" s="283">
        <v>14</v>
      </c>
      <c r="E24" s="282">
        <v>-4198060</v>
      </c>
      <c r="F24" s="51">
        <v>137.44</v>
      </c>
      <c r="G24" s="50">
        <v>40.85</v>
      </c>
      <c r="H24" s="50">
        <v>-23.92</v>
      </c>
      <c r="I24" s="50">
        <v>57.66</v>
      </c>
      <c r="J24" s="49">
        <f t="shared" si="0"/>
        <v>0</v>
      </c>
      <c r="K24" s="50">
        <f t="shared" si="1"/>
        <v>0</v>
      </c>
      <c r="L24" s="255">
        <f t="shared" si="2"/>
        <v>0</v>
      </c>
      <c r="M24" s="279">
        <f t="shared" si="3"/>
        <v>0</v>
      </c>
      <c r="N24" s="51">
        <f>Combustion_Chaud3!C65/100</f>
        <v>0</v>
      </c>
      <c r="O24" s="50">
        <f t="shared" si="4"/>
        <v>144.62466696263243</v>
      </c>
      <c r="P24" s="52">
        <f t="shared" si="7"/>
        <v>0</v>
      </c>
      <c r="Q24" s="285"/>
      <c r="R24" s="50">
        <f t="shared" si="5"/>
        <v>144.62466696263243</v>
      </c>
      <c r="S24" s="282">
        <f t="shared" si="8"/>
        <v>0</v>
      </c>
      <c r="T24" s="285"/>
      <c r="U24" s="50">
        <f t="shared" si="6"/>
        <v>140.58727632263245</v>
      </c>
      <c r="V24" s="282">
        <f t="shared" si="9"/>
        <v>0</v>
      </c>
    </row>
    <row r="25" spans="1:22" ht="15.6">
      <c r="A25" s="53" t="s">
        <v>102</v>
      </c>
      <c r="B25" s="19" t="s">
        <v>103</v>
      </c>
      <c r="C25" s="284">
        <v>28.013400000000001</v>
      </c>
      <c r="D25" s="283">
        <v>0</v>
      </c>
      <c r="E25" s="282">
        <v>0</v>
      </c>
      <c r="F25" s="51">
        <v>29</v>
      </c>
      <c r="G25" s="50">
        <v>0.21990000000000001</v>
      </c>
      <c r="H25" s="50">
        <v>0.57230000000000003</v>
      </c>
      <c r="I25" s="50">
        <v>-2.871</v>
      </c>
      <c r="J25" s="49">
        <f t="shared" si="0"/>
        <v>0.51544656</v>
      </c>
      <c r="K25" s="50">
        <f t="shared" si="1"/>
        <v>2.1808392161259224E-2</v>
      </c>
      <c r="L25" s="255">
        <f t="shared" si="2"/>
        <v>0</v>
      </c>
      <c r="M25" s="279">
        <f t="shared" si="3"/>
        <v>0</v>
      </c>
      <c r="N25" s="51">
        <f>Combustion_Chaud3!C66/100</f>
        <v>1.84E-2</v>
      </c>
      <c r="O25" s="50">
        <f t="shared" si="4"/>
        <v>29.040906861332303</v>
      </c>
      <c r="P25" s="52">
        <f t="shared" si="7"/>
        <v>2.3778694538058889</v>
      </c>
      <c r="Q25" s="51">
        <f>Combustion_Chaud3!G87</f>
        <v>7.4501097253831423</v>
      </c>
      <c r="R25" s="50">
        <f t="shared" si="5"/>
        <v>29.040906861332303</v>
      </c>
      <c r="S25" s="282">
        <f t="shared" si="8"/>
        <v>962.79284475493216</v>
      </c>
      <c r="T25" s="51">
        <f>Combustion_Chaud3!L77</f>
        <v>7.4501097253831423</v>
      </c>
      <c r="U25" s="50">
        <f t="shared" si="6"/>
        <v>29.017783745332302</v>
      </c>
      <c r="V25" s="282">
        <f t="shared" si="9"/>
        <v>-3361.6872134420669</v>
      </c>
    </row>
    <row r="26" spans="1:22">
      <c r="A26" s="55" t="s">
        <v>104</v>
      </c>
      <c r="B26" s="56" t="s">
        <v>105</v>
      </c>
      <c r="C26" s="281">
        <v>4.0026020000000004</v>
      </c>
      <c r="D26" s="280">
        <v>0</v>
      </c>
      <c r="E26" s="275">
        <v>0</v>
      </c>
      <c r="F26" s="59">
        <v>20.8</v>
      </c>
      <c r="G26" s="60">
        <v>0</v>
      </c>
      <c r="H26" s="60">
        <v>0</v>
      </c>
      <c r="I26" s="60">
        <v>0</v>
      </c>
      <c r="J26" s="61">
        <f t="shared" si="0"/>
        <v>1.2007806E-3</v>
      </c>
      <c r="K26" s="60">
        <f t="shared" si="1"/>
        <v>5.0804673571654341E-5</v>
      </c>
      <c r="L26" s="252">
        <f t="shared" si="2"/>
        <v>0</v>
      </c>
      <c r="M26" s="279">
        <f t="shared" si="3"/>
        <v>0</v>
      </c>
      <c r="N26" s="59">
        <f>Combustion_Chaud3!C67/100</f>
        <v>2.9999999999999997E-4</v>
      </c>
      <c r="O26" s="60">
        <f t="shared" si="4"/>
        <v>20.8</v>
      </c>
      <c r="P26" s="278">
        <f t="shared" si="7"/>
        <v>2.7767999999999994E-2</v>
      </c>
      <c r="Q26" s="277"/>
      <c r="R26" s="60">
        <f t="shared" si="5"/>
        <v>20.8</v>
      </c>
      <c r="S26" s="275">
        <f t="shared" si="8"/>
        <v>0</v>
      </c>
      <c r="T26" s="276">
        <f>L80</f>
        <v>2.9999999999999997E-4</v>
      </c>
      <c r="U26" s="60">
        <f t="shared" si="6"/>
        <v>20.8</v>
      </c>
      <c r="V26" s="275">
        <f t="shared" si="9"/>
        <v>-9.7032000000000007E-2</v>
      </c>
    </row>
    <row r="27" spans="1:22">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f>SUM(Q11:Q26)</f>
        <v>9.4420021956276443</v>
      </c>
      <c r="R27" s="63"/>
      <c r="S27" s="269">
        <f>SUM(S11:S26)</f>
        <v>1706.460562812983</v>
      </c>
      <c r="T27" s="64">
        <f>SUM(T11:T26)</f>
        <v>10.434002195627643</v>
      </c>
      <c r="U27" s="63"/>
      <c r="V27" s="269">
        <f>SUM(V11:V26)</f>
        <v>-3903.8528152104623</v>
      </c>
    </row>
    <row r="28" spans="1:22">
      <c r="A28" s="38" t="s">
        <v>319</v>
      </c>
      <c r="B28" s="268">
        <v>15.55</v>
      </c>
      <c r="C28" s="38" t="s">
        <v>318</v>
      </c>
      <c r="D28" s="38" t="s">
        <v>195</v>
      </c>
      <c r="E28" s="268">
        <v>14.73</v>
      </c>
      <c r="F28" s="19" t="s">
        <v>317</v>
      </c>
    </row>
    <row r="29" spans="1:22">
      <c r="A29" s="38"/>
      <c r="B29" s="267">
        <f>B28+273.15</f>
        <v>288.7</v>
      </c>
      <c r="C29" s="38" t="s">
        <v>316</v>
      </c>
      <c r="D29" s="38"/>
      <c r="E29" s="266">
        <f>E28/0.145038*1000</f>
        <v>101559.59127952674</v>
      </c>
      <c r="F29" s="19" t="s">
        <v>155</v>
      </c>
      <c r="J29" s="1949" t="s">
        <v>315</v>
      </c>
      <c r="K29" s="1950"/>
      <c r="L29" s="1951"/>
    </row>
    <row r="30" spans="1:22">
      <c r="A30" s="38" t="s">
        <v>314</v>
      </c>
      <c r="J30" s="265" t="s">
        <v>313</v>
      </c>
      <c r="K30" s="264" t="s">
        <v>312</v>
      </c>
      <c r="L30" s="263"/>
      <c r="N30" s="23"/>
      <c r="U30" s="24"/>
      <c r="V30" s="24"/>
    </row>
    <row r="31" spans="1:22">
      <c r="D31" s="23"/>
      <c r="J31" s="262">
        <f>K31-M27/1000</f>
        <v>795.48824120000018</v>
      </c>
      <c r="K31" s="261">
        <f>ABS(L27/1000)</f>
        <v>882.99864600000012</v>
      </c>
      <c r="L31" s="66" t="s">
        <v>107</v>
      </c>
    </row>
    <row r="32" spans="1:22">
      <c r="A32" s="38" t="s">
        <v>311</v>
      </c>
      <c r="B32" s="37">
        <v>8.3144621000000001</v>
      </c>
      <c r="C32" s="19" t="s">
        <v>310</v>
      </c>
      <c r="J32" s="256">
        <f>J31/(J27/1000)</f>
        <v>47547.797336725132</v>
      </c>
      <c r="K32" s="255">
        <f>K31/(J27/1000)</f>
        <v>52778.455411580377</v>
      </c>
      <c r="L32" s="67" t="s">
        <v>108</v>
      </c>
    </row>
    <row r="33" spans="1:13" ht="15.6">
      <c r="F33" s="24"/>
      <c r="I33" s="23"/>
      <c r="J33" s="260">
        <f>(J32/1000)*K27</f>
        <v>33.656873224180529</v>
      </c>
      <c r="K33" s="259">
        <f>(K32/1000)*K27</f>
        <v>37.359412680586914</v>
      </c>
      <c r="L33" s="67" t="s">
        <v>109</v>
      </c>
      <c r="M33" s="19" t="s">
        <v>303</v>
      </c>
    </row>
    <row r="34" spans="1:13">
      <c r="A34" s="26" t="s">
        <v>309</v>
      </c>
      <c r="F34" s="24"/>
      <c r="I34" s="23"/>
      <c r="J34" s="258"/>
      <c r="K34" s="257"/>
      <c r="L34" s="67"/>
    </row>
    <row r="35" spans="1:13" ht="15.6">
      <c r="A35" s="254" t="s">
        <v>308</v>
      </c>
      <c r="F35" s="24"/>
      <c r="I35" s="24"/>
      <c r="J35" s="256">
        <f>(J33*1000)/1.055056*0.02831685</f>
        <v>903.32326488654292</v>
      </c>
      <c r="K35" s="255">
        <f>(K33*1000)/1.055056*0.02831685</f>
        <v>1002.696430297802</v>
      </c>
      <c r="L35" s="67" t="s">
        <v>307</v>
      </c>
      <c r="M35" s="19" t="s">
        <v>303</v>
      </c>
    </row>
    <row r="36" spans="1:13" ht="15.6">
      <c r="A36" s="254" t="s">
        <v>306</v>
      </c>
      <c r="J36" s="256">
        <f>(J32/1.055056)*0.4535924</f>
        <v>20441.871814082628</v>
      </c>
      <c r="K36" s="255">
        <f>(K32/1.055056)*0.4535924</f>
        <v>22690.649840796821</v>
      </c>
      <c r="L36" s="67" t="s">
        <v>305</v>
      </c>
    </row>
    <row r="37" spans="1:13">
      <c r="A37" s="254"/>
      <c r="J37" s="253">
        <f>J35/7.480519</f>
        <v>120.75676365323621</v>
      </c>
      <c r="K37" s="252">
        <f>K35/7.480519</f>
        <v>134.04102446605668</v>
      </c>
      <c r="L37" s="70" t="s">
        <v>304</v>
      </c>
      <c r="M37" s="19" t="s">
        <v>303</v>
      </c>
    </row>
    <row r="39" spans="1:13">
      <c r="B39" s="23"/>
      <c r="F39" s="38"/>
      <c r="H39" s="71"/>
    </row>
    <row r="40" spans="1:13">
      <c r="B40" s="23"/>
      <c r="F40" s="72" t="s">
        <v>112</v>
      </c>
      <c r="H40" s="38"/>
    </row>
    <row r="41" spans="1:13">
      <c r="B41" s="23"/>
      <c r="E41" s="73" t="s">
        <v>102</v>
      </c>
      <c r="F41" s="251">
        <v>0.78995048751598307</v>
      </c>
      <c r="H41" s="38"/>
    </row>
    <row r="42" spans="1:13">
      <c r="B42" s="23"/>
      <c r="E42" s="73" t="s">
        <v>88</v>
      </c>
      <c r="F42" s="251">
        <f>1-F41</f>
        <v>0.21004951248401693</v>
      </c>
      <c r="G42" s="74"/>
      <c r="H42" s="38"/>
    </row>
    <row r="43" spans="1:13">
      <c r="A43" s="26" t="s">
        <v>113</v>
      </c>
      <c r="B43" s="23"/>
      <c r="E43" s="73" t="s">
        <v>114</v>
      </c>
      <c r="F43" s="251">
        <v>0</v>
      </c>
      <c r="G43" s="74"/>
      <c r="H43" s="38"/>
    </row>
    <row r="44" spans="1:13">
      <c r="B44" s="23"/>
      <c r="F44" s="74"/>
      <c r="G44" s="74"/>
      <c r="H44" s="75"/>
    </row>
    <row r="45" spans="1:13" ht="16.2" thickBot="1">
      <c r="B45" s="23"/>
      <c r="G45" s="68"/>
      <c r="H45" s="76"/>
    </row>
    <row r="46" spans="1:13">
      <c r="A46" s="1929" t="s">
        <v>302</v>
      </c>
      <c r="B46" s="1930"/>
      <c r="C46" s="1930"/>
      <c r="D46" s="1930"/>
      <c r="E46" s="1930"/>
      <c r="F46" s="1930"/>
      <c r="G46" s="1930"/>
      <c r="H46" s="1930"/>
      <c r="I46" s="1930"/>
      <c r="J46" s="250"/>
    </row>
    <row r="47" spans="1:13">
      <c r="A47" s="77"/>
      <c r="B47" s="37"/>
      <c r="C47" s="37"/>
      <c r="D47" s="37"/>
      <c r="E47" s="37"/>
      <c r="J47" s="248"/>
    </row>
    <row r="48" spans="1:13">
      <c r="A48" s="79"/>
      <c r="B48" s="24"/>
      <c r="C48" s="27" t="s">
        <v>115</v>
      </c>
      <c r="D48" s="1920" t="s">
        <v>301</v>
      </c>
      <c r="E48" s="1921"/>
      <c r="F48" s="1921"/>
      <c r="G48" s="1921"/>
      <c r="H48" s="1937"/>
      <c r="I48" s="249" t="s">
        <v>287</v>
      </c>
      <c r="J48" s="248"/>
    </row>
    <row r="49" spans="1:9" ht="15.6">
      <c r="A49" s="79"/>
      <c r="B49" s="24"/>
      <c r="C49" s="247" t="s">
        <v>300</v>
      </c>
      <c r="D49" s="35" t="s">
        <v>116</v>
      </c>
      <c r="E49" s="37" t="s">
        <v>117</v>
      </c>
      <c r="F49" s="37" t="s">
        <v>105</v>
      </c>
      <c r="G49" s="37" t="s">
        <v>118</v>
      </c>
      <c r="H49" s="36" t="s">
        <v>119</v>
      </c>
      <c r="I49" s="80" t="s">
        <v>120</v>
      </c>
    </row>
    <row r="50" spans="1:9">
      <c r="A50" s="81" t="s">
        <v>121</v>
      </c>
      <c r="B50" s="23"/>
      <c r="C50" s="82"/>
      <c r="D50" s="35"/>
      <c r="E50" s="37"/>
      <c r="F50" s="37"/>
      <c r="G50" s="37"/>
      <c r="H50" s="36"/>
      <c r="I50" s="83"/>
    </row>
    <row r="51" spans="1:9">
      <c r="A51" s="81"/>
      <c r="B51" s="84" t="s">
        <v>119</v>
      </c>
      <c r="C51" s="85">
        <f t="shared" ref="C51:I51" si="10">SUM(C53:C67)</f>
        <v>100.00000000000001</v>
      </c>
      <c r="D51" s="86">
        <f t="shared" si="10"/>
        <v>1.0020999999999998</v>
      </c>
      <c r="E51" s="87">
        <f t="shared" si="10"/>
        <v>1.9705999999999999</v>
      </c>
      <c r="F51" s="87">
        <f t="shared" si="10"/>
        <v>2.9999999999999997E-4</v>
      </c>
      <c r="G51" s="87">
        <f t="shared" si="10"/>
        <v>1.84E-2</v>
      </c>
      <c r="H51" s="88">
        <f t="shared" si="10"/>
        <v>2.9914000000000001</v>
      </c>
      <c r="I51" s="89">
        <f t="shared" si="10"/>
        <v>1.9809999999999999</v>
      </c>
    </row>
    <row r="52" spans="1:9">
      <c r="A52" s="79"/>
      <c r="B52" s="23"/>
      <c r="H52" s="50"/>
      <c r="I52" s="78"/>
    </row>
    <row r="53" spans="1:9" ht="15.6">
      <c r="A53" s="79" t="s">
        <v>88</v>
      </c>
      <c r="B53" s="19" t="s">
        <v>89</v>
      </c>
      <c r="C53" s="50">
        <v>0</v>
      </c>
      <c r="D53" s="90"/>
      <c r="E53" s="90"/>
      <c r="F53" s="90"/>
      <c r="G53" s="90"/>
      <c r="H53" s="50">
        <f t="shared" ref="H53:H67" si="11">SUM(D53:G53)</f>
        <v>0</v>
      </c>
      <c r="I53" s="91">
        <f>-C53/100</f>
        <v>0</v>
      </c>
    </row>
    <row r="54" spans="1:9">
      <c r="A54" s="79" t="s">
        <v>299</v>
      </c>
      <c r="B54" s="19" t="s">
        <v>90</v>
      </c>
      <c r="C54" s="50">
        <v>0</v>
      </c>
      <c r="D54" s="90">
        <f>C54/100</f>
        <v>0</v>
      </c>
      <c r="E54" s="90"/>
      <c r="F54" s="90"/>
      <c r="G54" s="90"/>
      <c r="H54" s="50">
        <f t="shared" si="11"/>
        <v>0</v>
      </c>
      <c r="I54" s="246">
        <f>D54+E54/2</f>
        <v>0</v>
      </c>
    </row>
    <row r="55" spans="1:9" ht="15.6">
      <c r="A55" s="79" t="s">
        <v>284</v>
      </c>
      <c r="B55" s="19" t="s">
        <v>91</v>
      </c>
      <c r="C55" s="50">
        <v>0.64</v>
      </c>
      <c r="D55" s="90">
        <f>C55/100</f>
        <v>6.4000000000000003E-3</v>
      </c>
      <c r="E55" s="90"/>
      <c r="F55" s="90"/>
      <c r="G55" s="90"/>
      <c r="H55" s="50">
        <f t="shared" si="11"/>
        <v>6.4000000000000003E-3</v>
      </c>
      <c r="I55" s="91">
        <v>0</v>
      </c>
    </row>
    <row r="56" spans="1:9" ht="15.6">
      <c r="A56" s="79" t="s">
        <v>92</v>
      </c>
      <c r="B56" s="19" t="s">
        <v>93</v>
      </c>
      <c r="C56" s="50">
        <v>0</v>
      </c>
      <c r="D56" s="90"/>
      <c r="E56" s="90">
        <f>C56/100</f>
        <v>0</v>
      </c>
      <c r="F56" s="90"/>
      <c r="G56" s="90"/>
      <c r="H56" s="50">
        <f t="shared" si="11"/>
        <v>0</v>
      </c>
      <c r="I56" s="91">
        <f>D56+E56/2</f>
        <v>0</v>
      </c>
    </row>
    <row r="57" spans="1:9" ht="15.6">
      <c r="A57" s="79" t="s">
        <v>94</v>
      </c>
      <c r="B57" s="19" t="s">
        <v>298</v>
      </c>
      <c r="C57" s="50">
        <v>0</v>
      </c>
      <c r="D57" s="90"/>
      <c r="E57" s="90">
        <f>C57/100</f>
        <v>0</v>
      </c>
      <c r="F57" s="90"/>
      <c r="G57" s="90"/>
      <c r="H57" s="50">
        <f t="shared" si="11"/>
        <v>0</v>
      </c>
      <c r="I57" s="246">
        <v>0</v>
      </c>
    </row>
    <row r="58" spans="1:9" ht="15.6">
      <c r="A58" s="79" t="s">
        <v>97</v>
      </c>
      <c r="B58" s="19" t="s">
        <v>98</v>
      </c>
      <c r="C58" s="50">
        <v>95.67</v>
      </c>
      <c r="D58" s="90">
        <f>C58/100</f>
        <v>0.95669999999999999</v>
      </c>
      <c r="E58" s="90">
        <f>C58/100*2</f>
        <v>1.9134</v>
      </c>
      <c r="F58" s="90"/>
      <c r="G58" s="90"/>
      <c r="H58" s="50">
        <f t="shared" si="11"/>
        <v>2.8700999999999999</v>
      </c>
      <c r="I58" s="91">
        <f t="shared" ref="I58:I65" si="12">D58+E58/2</f>
        <v>1.9134</v>
      </c>
    </row>
    <row r="59" spans="1:9" ht="15.6">
      <c r="A59" s="79" t="s">
        <v>99</v>
      </c>
      <c r="B59" s="19" t="s">
        <v>297</v>
      </c>
      <c r="C59" s="50">
        <v>1.62</v>
      </c>
      <c r="D59" s="90">
        <f>C59*2/100</f>
        <v>3.2400000000000005E-2</v>
      </c>
      <c r="E59" s="90">
        <f>C59/100*3</f>
        <v>4.8600000000000004E-2</v>
      </c>
      <c r="F59" s="90"/>
      <c r="G59" s="90"/>
      <c r="H59" s="50">
        <f t="shared" si="11"/>
        <v>8.1000000000000016E-2</v>
      </c>
      <c r="I59" s="91">
        <f t="shared" si="12"/>
        <v>5.6700000000000007E-2</v>
      </c>
    </row>
    <row r="60" spans="1:9" ht="15.6">
      <c r="A60" s="79" t="s">
        <v>100</v>
      </c>
      <c r="B60" s="19" t="s">
        <v>296</v>
      </c>
      <c r="C60" s="50">
        <v>0.14000000000000001</v>
      </c>
      <c r="D60" s="90">
        <f>C60*3/100</f>
        <v>4.2000000000000006E-3</v>
      </c>
      <c r="E60" s="90">
        <f>C60/100*4</f>
        <v>5.6000000000000008E-3</v>
      </c>
      <c r="F60" s="90"/>
      <c r="G60" s="90"/>
      <c r="H60" s="50">
        <f t="shared" si="11"/>
        <v>9.8000000000000014E-3</v>
      </c>
      <c r="I60" s="91">
        <f t="shared" si="12"/>
        <v>7.000000000000001E-3</v>
      </c>
    </row>
    <row r="61" spans="1:9" ht="15.6">
      <c r="A61" s="79" t="s">
        <v>295</v>
      </c>
      <c r="B61" s="19" t="s">
        <v>294</v>
      </c>
      <c r="C61" s="50">
        <v>0.04</v>
      </c>
      <c r="D61" s="90">
        <f>C61*4/100</f>
        <v>1.6000000000000001E-3</v>
      </c>
      <c r="E61" s="90">
        <f>C61/100*5</f>
        <v>2E-3</v>
      </c>
      <c r="F61" s="90"/>
      <c r="G61" s="90"/>
      <c r="H61" s="50">
        <f t="shared" si="11"/>
        <v>3.5999999999999999E-3</v>
      </c>
      <c r="I61" s="91">
        <f t="shared" si="12"/>
        <v>2.5999999999999999E-3</v>
      </c>
    </row>
    <row r="62" spans="1:9" ht="15.6">
      <c r="A62" s="79" t="s">
        <v>101</v>
      </c>
      <c r="B62" s="19" t="s">
        <v>294</v>
      </c>
      <c r="C62" s="50">
        <v>0.02</v>
      </c>
      <c r="D62" s="90">
        <f>C62*4/100</f>
        <v>8.0000000000000004E-4</v>
      </c>
      <c r="E62" s="90">
        <f>C62/100*5</f>
        <v>1E-3</v>
      </c>
      <c r="F62" s="90"/>
      <c r="G62" s="90"/>
      <c r="H62" s="50">
        <f t="shared" si="11"/>
        <v>1.8E-3</v>
      </c>
      <c r="I62" s="91">
        <f t="shared" si="12"/>
        <v>1.2999999999999999E-3</v>
      </c>
    </row>
    <row r="63" spans="1:9" ht="15.6">
      <c r="A63" s="53" t="s">
        <v>293</v>
      </c>
      <c r="B63" s="19" t="s">
        <v>292</v>
      </c>
      <c r="C63" s="50">
        <v>0</v>
      </c>
      <c r="D63" s="90">
        <f>C63*5/100</f>
        <v>0</v>
      </c>
      <c r="E63" s="90">
        <f>C63/100*6</f>
        <v>0</v>
      </c>
      <c r="F63" s="90"/>
      <c r="G63" s="90"/>
      <c r="H63" s="50">
        <f t="shared" si="11"/>
        <v>0</v>
      </c>
      <c r="I63" s="91">
        <f t="shared" si="12"/>
        <v>0</v>
      </c>
    </row>
    <row r="64" spans="1:9" ht="15.6">
      <c r="A64" s="53" t="s">
        <v>291</v>
      </c>
      <c r="B64" s="19" t="s">
        <v>290</v>
      </c>
      <c r="C64" s="50">
        <v>0</v>
      </c>
      <c r="D64" s="90">
        <f>C64*5/100</f>
        <v>0</v>
      </c>
      <c r="E64" s="90">
        <f>C64/100*6</f>
        <v>0</v>
      </c>
      <c r="F64" s="90"/>
      <c r="G64" s="90"/>
      <c r="H64" s="50">
        <f t="shared" si="11"/>
        <v>0</v>
      </c>
      <c r="I64" s="91">
        <f t="shared" si="12"/>
        <v>0</v>
      </c>
    </row>
    <row r="65" spans="1:14" ht="15.6">
      <c r="A65" s="53" t="s">
        <v>289</v>
      </c>
      <c r="B65" s="19" t="s">
        <v>288</v>
      </c>
      <c r="C65" s="50">
        <v>0</v>
      </c>
      <c r="D65" s="90">
        <f>C65*6/100</f>
        <v>0</v>
      </c>
      <c r="E65" s="90">
        <f>C65/100*7</f>
        <v>0</v>
      </c>
      <c r="F65" s="90"/>
      <c r="G65" s="90"/>
      <c r="H65" s="50">
        <f t="shared" si="11"/>
        <v>0</v>
      </c>
      <c r="I65" s="91">
        <f t="shared" si="12"/>
        <v>0</v>
      </c>
    </row>
    <row r="66" spans="1:14" ht="15.6">
      <c r="A66" s="79" t="s">
        <v>102</v>
      </c>
      <c r="B66" s="19" t="s">
        <v>103</v>
      </c>
      <c r="C66" s="50">
        <v>1.84</v>
      </c>
      <c r="D66" s="90"/>
      <c r="E66" s="90"/>
      <c r="G66" s="90">
        <f>C66/100</f>
        <v>1.84E-2</v>
      </c>
      <c r="H66" s="50">
        <f t="shared" si="11"/>
        <v>1.84E-2</v>
      </c>
      <c r="I66" s="91">
        <v>0</v>
      </c>
    </row>
    <row r="67" spans="1:14" ht="13.8" thickBot="1">
      <c r="A67" s="92" t="s">
        <v>104</v>
      </c>
      <c r="B67" s="93" t="s">
        <v>105</v>
      </c>
      <c r="C67" s="96">
        <v>0.03</v>
      </c>
      <c r="D67" s="95"/>
      <c r="E67" s="95"/>
      <c r="F67" s="95">
        <f>C67/100</f>
        <v>2.9999999999999997E-4</v>
      </c>
      <c r="G67" s="93"/>
      <c r="H67" s="96">
        <f t="shared" si="11"/>
        <v>2.9999999999999997E-4</v>
      </c>
      <c r="I67" s="97">
        <v>0</v>
      </c>
    </row>
    <row r="68" spans="1:14">
      <c r="B68" s="23"/>
    </row>
    <row r="69" spans="1:14" ht="13.8" thickBot="1">
      <c r="B69" s="23"/>
      <c r="D69" s="37"/>
      <c r="E69" s="98"/>
      <c r="F69" s="98"/>
      <c r="G69" s="98"/>
      <c r="H69" s="98"/>
      <c r="I69" s="98"/>
      <c r="J69" s="98"/>
    </row>
    <row r="70" spans="1:14">
      <c r="A70" s="1929" t="s">
        <v>122</v>
      </c>
      <c r="B70" s="1930"/>
      <c r="C70" s="1930"/>
      <c r="D70" s="1930"/>
      <c r="E70" s="1930"/>
      <c r="F70" s="1930"/>
      <c r="G70" s="1931"/>
      <c r="H70" s="98"/>
      <c r="I70" s="1929" t="s">
        <v>123</v>
      </c>
      <c r="J70" s="1930"/>
      <c r="K70" s="1930"/>
      <c r="L70" s="1930"/>
      <c r="M70" s="1930"/>
      <c r="N70" s="1931"/>
    </row>
    <row r="71" spans="1:14">
      <c r="A71" s="99"/>
      <c r="C71" s="37"/>
      <c r="D71" s="1920" t="s">
        <v>124</v>
      </c>
      <c r="E71" s="1921"/>
      <c r="F71" s="1921"/>
      <c r="G71" s="1922"/>
      <c r="H71" s="98"/>
      <c r="I71" s="79"/>
      <c r="K71" s="37"/>
      <c r="L71" s="1923" t="s">
        <v>124</v>
      </c>
      <c r="M71" s="1924"/>
      <c r="N71" s="1925"/>
    </row>
    <row r="72" spans="1:14" ht="15.6">
      <c r="A72" s="99"/>
      <c r="C72" s="23"/>
      <c r="D72" s="35" t="s">
        <v>125</v>
      </c>
      <c r="E72" s="37" t="s">
        <v>126</v>
      </c>
      <c r="F72" s="37" t="s">
        <v>127</v>
      </c>
      <c r="G72" s="100" t="s">
        <v>128</v>
      </c>
      <c r="H72" s="90"/>
      <c r="I72" s="79"/>
      <c r="K72" s="37"/>
      <c r="L72" s="53"/>
      <c r="M72" s="1924" t="s">
        <v>129</v>
      </c>
      <c r="N72" s="1925"/>
    </row>
    <row r="73" spans="1:14" ht="26.4">
      <c r="A73" s="79"/>
      <c r="C73" s="23"/>
      <c r="D73" s="322"/>
      <c r="E73" s="304" t="b">
        <v>1</v>
      </c>
      <c r="F73" s="304"/>
      <c r="G73" s="101"/>
      <c r="H73" s="90"/>
      <c r="I73" s="77"/>
      <c r="K73" s="37"/>
      <c r="L73" s="245" t="s">
        <v>287</v>
      </c>
      <c r="M73" s="40" t="s">
        <v>130</v>
      </c>
      <c r="N73" s="102" t="s">
        <v>131</v>
      </c>
    </row>
    <row r="74" spans="1:14">
      <c r="A74" s="79"/>
      <c r="C74" s="23"/>
      <c r="D74" s="65" t="str">
        <f>IF(D73,1,"-")</f>
        <v>-</v>
      </c>
      <c r="E74" s="65">
        <f>IF(E73,2,"-")</f>
        <v>2</v>
      </c>
      <c r="F74" s="65" t="str">
        <f>IF(F73,3,"-")</f>
        <v>-</v>
      </c>
      <c r="G74" s="103">
        <f>AVERAGE(D74:F74)</f>
        <v>2</v>
      </c>
      <c r="H74" s="90"/>
      <c r="I74" s="77"/>
      <c r="K74" s="37"/>
      <c r="L74" s="37"/>
      <c r="N74" s="78"/>
    </row>
    <row r="75" spans="1:14">
      <c r="A75" s="81" t="s">
        <v>132</v>
      </c>
      <c r="C75" s="23"/>
      <c r="D75" s="244">
        <f>D83/D80</f>
        <v>0</v>
      </c>
      <c r="E75" s="104">
        <f>'3c. Calculator EEM 2-3'!K30</f>
        <v>0</v>
      </c>
      <c r="F75" s="244" t="e">
        <f>F82/F79</f>
        <v>#DIV/0!</v>
      </c>
      <c r="G75" s="238">
        <f>INDEX(D75:F75,G$74)</f>
        <v>0</v>
      </c>
      <c r="H75" s="244"/>
      <c r="I75" s="81" t="s">
        <v>119</v>
      </c>
      <c r="K75" s="239" t="s">
        <v>286</v>
      </c>
      <c r="L75" s="105">
        <f>SUM(L77:L81)</f>
        <v>10.434002195627643</v>
      </c>
      <c r="M75" s="243">
        <f>SUM(M77:M81)</f>
        <v>1.0000000000000002</v>
      </c>
      <c r="N75" s="242">
        <f>SUM(N77:N81)</f>
        <v>1</v>
      </c>
    </row>
    <row r="76" spans="1:14" ht="14.4">
      <c r="A76" s="79" t="s">
        <v>133</v>
      </c>
      <c r="C76" s="23"/>
      <c r="D76" s="318"/>
      <c r="E76" s="222">
        <f>E82/(E79*($F$41/$F$42)+H51-E51+E82/$F$42)</f>
        <v>0</v>
      </c>
      <c r="F76" s="241" t="e">
        <f>F82/(F79*($F$41/$F$42)+H51-E51+F82/$F$42)</f>
        <v>#DIV/0!</v>
      </c>
      <c r="G76" s="240">
        <f>INDEX(D76:F76,G$74)</f>
        <v>0</v>
      </c>
      <c r="H76" s="106"/>
      <c r="I76" s="77"/>
      <c r="K76" s="239"/>
      <c r="L76" s="37"/>
      <c r="N76" s="78"/>
    </row>
    <row r="77" spans="1:14" ht="14.4">
      <c r="A77" s="79" t="s">
        <v>285</v>
      </c>
      <c r="C77" s="23"/>
      <c r="D77" s="222">
        <f>$N$78</f>
        <v>0.11855650363709885</v>
      </c>
      <c r="E77" s="222">
        <f>N78</f>
        <v>0.11855650363709885</v>
      </c>
      <c r="F77" s="319"/>
      <c r="G77" s="238">
        <f>INDEX(D77:F77,G$74)</f>
        <v>0.11855650363709885</v>
      </c>
      <c r="H77" s="222"/>
      <c r="I77" s="79" t="s">
        <v>102</v>
      </c>
      <c r="K77" s="237" t="s">
        <v>276</v>
      </c>
      <c r="L77" s="50">
        <f>G87</f>
        <v>7.4501097253831423</v>
      </c>
      <c r="M77" s="222">
        <f t="shared" ref="M77:M82" si="13">L77/$L$75</f>
        <v>0.71402225011080622</v>
      </c>
      <c r="N77" s="236">
        <f>L77/($L$75-$L$81)</f>
        <v>0.88140800394588581</v>
      </c>
    </row>
    <row r="78" spans="1:14" ht="14.4">
      <c r="A78" s="79"/>
      <c r="C78" s="23"/>
      <c r="F78" s="37"/>
      <c r="G78" s="107"/>
      <c r="H78" s="106"/>
      <c r="I78" s="79" t="s">
        <v>284</v>
      </c>
      <c r="K78" s="237" t="s">
        <v>276</v>
      </c>
      <c r="L78" s="50">
        <f>D51</f>
        <v>1.0020999999999998</v>
      </c>
      <c r="M78" s="222">
        <f t="shared" si="13"/>
        <v>9.6041766257240063E-2</v>
      </c>
      <c r="N78" s="236">
        <f>L78/($L$75-$L$81)</f>
        <v>0.11855650363709885</v>
      </c>
    </row>
    <row r="79" spans="1:14"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f>G82</f>
        <v>0</v>
      </c>
      <c r="M79" s="222">
        <f t="shared" si="13"/>
        <v>0</v>
      </c>
      <c r="N79" s="236">
        <f>L79/($L$75-$L$81)</f>
        <v>0</v>
      </c>
    </row>
    <row r="80" spans="1:14"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f t="shared" si="13"/>
        <v>2.8752150361413057E-5</v>
      </c>
      <c r="N80" s="236">
        <f>L80/($L$75-$L$81)</f>
        <v>3.5492417015397323E-5</v>
      </c>
    </row>
    <row r="81" spans="1:15" ht="14.4">
      <c r="A81" s="79"/>
      <c r="C81" s="23"/>
      <c r="D81" s="50"/>
      <c r="E81" s="108"/>
      <c r="F81" s="105"/>
      <c r="G81" s="109"/>
      <c r="H81" s="50"/>
      <c r="I81" s="79" t="s">
        <v>135</v>
      </c>
      <c r="K81" s="237" t="s">
        <v>276</v>
      </c>
      <c r="L81" s="50">
        <f>G89+E51</f>
        <v>1.9814924702445025</v>
      </c>
      <c r="M81" s="222">
        <f t="shared" si="13"/>
        <v>0.18990723148159241</v>
      </c>
      <c r="N81" s="236">
        <v>0</v>
      </c>
    </row>
    <row r="82" spans="1:15" ht="14.4">
      <c r="A82" s="79" t="s">
        <v>134</v>
      </c>
      <c r="C82" s="23" t="s">
        <v>276</v>
      </c>
      <c r="D82" s="50">
        <f>D76/(1-D76/$F$42)*(($H$51-$E$51)+D79*$F$41/$F$42)</f>
        <v>0</v>
      </c>
      <c r="E82" s="50">
        <f>E79*$E$75</f>
        <v>0</v>
      </c>
      <c r="F82" s="90" t="e">
        <f>(D51/F77-(H51-E51)-F79*(F41/F42))/(1+F41/F42)</f>
        <v>#DIV/0!</v>
      </c>
      <c r="G82" s="230">
        <f>INDEX(D82:F82,G$74)</f>
        <v>0</v>
      </c>
      <c r="H82" s="50"/>
      <c r="I82" s="110" t="s">
        <v>137</v>
      </c>
      <c r="J82" s="111"/>
      <c r="K82" s="235" t="s">
        <v>276</v>
      </c>
      <c r="L82" s="112">
        <f>L92</f>
        <v>1.9186275921255749</v>
      </c>
      <c r="M82" s="234">
        <f t="shared" si="13"/>
        <v>0.18388223005450138</v>
      </c>
      <c r="N82" s="233">
        <v>1</v>
      </c>
    </row>
    <row r="83" spans="1:15" ht="14.4">
      <c r="A83" s="79" t="s">
        <v>136</v>
      </c>
      <c r="C83" s="23" t="s">
        <v>276</v>
      </c>
      <c r="D83" s="50">
        <f>D82/F42</f>
        <v>0</v>
      </c>
      <c r="E83" s="50">
        <f>E80*$E$75</f>
        <v>0</v>
      </c>
      <c r="F83" s="50" t="e">
        <f>F82/F42</f>
        <v>#DIV/0!</v>
      </c>
      <c r="G83" s="230">
        <f>INDEX(D83:F83,G$74)</f>
        <v>0</v>
      </c>
      <c r="H83" s="50"/>
      <c r="I83" s="79" t="s">
        <v>281</v>
      </c>
      <c r="K83" s="23" t="s">
        <v>138</v>
      </c>
      <c r="L83" s="50"/>
      <c r="M83" s="50">
        <f>M77*$C$12+M78*$C$13+M79*$C$11+M80*$C$26+M81*$C$15</f>
        <v>27.647931772506944</v>
      </c>
      <c r="N83" s="78"/>
      <c r="O83" s="113"/>
    </row>
    <row r="84" spans="1:15">
      <c r="A84" s="79"/>
      <c r="C84" s="23"/>
      <c r="F84" s="37"/>
      <c r="G84" s="109"/>
      <c r="I84" s="79"/>
      <c r="N84" s="78"/>
    </row>
    <row r="85" spans="1:15">
      <c r="A85" s="81" t="s">
        <v>139</v>
      </c>
      <c r="C85" s="37" t="s">
        <v>276</v>
      </c>
      <c r="D85" s="105">
        <f>SUM(D87:D89)</f>
        <v>9.4420021956276443</v>
      </c>
      <c r="E85" s="105">
        <f>SUM(E87:E89)</f>
        <v>9.4420021956276443</v>
      </c>
      <c r="F85" s="105" t="e">
        <f>SUM(F87:F89)</f>
        <v>#DIV/0!</v>
      </c>
      <c r="G85" s="230">
        <f>INDEX(D85:F85,G$74)</f>
        <v>9.4420021956276443</v>
      </c>
      <c r="H85" s="105"/>
      <c r="I85" s="81" t="s">
        <v>140</v>
      </c>
      <c r="K85" s="23"/>
      <c r="L85" s="37" t="str">
        <f>IF(L87&lt;L88,"VRAI","FAUX")</f>
        <v>VRAI</v>
      </c>
      <c r="N85" s="78"/>
    </row>
    <row r="86" spans="1:15">
      <c r="A86" s="79"/>
      <c r="G86" s="114"/>
      <c r="I86" s="79" t="s">
        <v>141</v>
      </c>
      <c r="K86" s="23" t="s">
        <v>142</v>
      </c>
      <c r="L86" s="50">
        <f>E51+G89</f>
        <v>1.9814924702445025</v>
      </c>
      <c r="N86" s="78"/>
    </row>
    <row r="87" spans="1:15" ht="15.6">
      <c r="A87" s="225" t="s">
        <v>102</v>
      </c>
      <c r="C87" s="228" t="s">
        <v>276</v>
      </c>
      <c r="D87" s="232">
        <f>D88*($F$41/$F$42)</f>
        <v>7.4501097253831423</v>
      </c>
      <c r="E87" s="232">
        <f>E88*($F$41/$F$42)</f>
        <v>7.4501097253831423</v>
      </c>
      <c r="F87" s="232" t="e">
        <f>F88*($F$41/$F$42)</f>
        <v>#DIV/0!</v>
      </c>
      <c r="G87" s="230">
        <f>INDEX(D87:F87,G$74)</f>
        <v>7.4501097253831423</v>
      </c>
      <c r="H87" s="50"/>
      <c r="I87" s="79" t="s">
        <v>143</v>
      </c>
      <c r="K87" s="116" t="s">
        <v>264</v>
      </c>
      <c r="L87" s="117">
        <f>U7</f>
        <v>0</v>
      </c>
      <c r="M87" s="24"/>
      <c r="N87" s="78"/>
    </row>
    <row r="88" spans="1:15" ht="15.6">
      <c r="A88" s="225" t="s">
        <v>88</v>
      </c>
      <c r="C88" s="228" t="s">
        <v>276</v>
      </c>
      <c r="D88" s="232">
        <f>D79+D82</f>
        <v>1.9809999999999999</v>
      </c>
      <c r="E88" s="232">
        <f>E79+E82</f>
        <v>1.9809999999999999</v>
      </c>
      <c r="F88" s="231" t="e">
        <f>F79+F82</f>
        <v>#DIV/0!</v>
      </c>
      <c r="G88" s="230">
        <f>INDEX(D88:F88,G$74)</f>
        <v>1.9809999999999999</v>
      </c>
      <c r="H88" s="50"/>
      <c r="I88" s="79" t="s">
        <v>144</v>
      </c>
      <c r="K88" s="116" t="s">
        <v>264</v>
      </c>
      <c r="L88" s="229">
        <f>Combustion_Chaud3!C136</f>
        <v>59.1942344830736</v>
      </c>
      <c r="N88" s="78"/>
    </row>
    <row r="89" spans="1:15" ht="15.6">
      <c r="A89" s="225" t="s">
        <v>145</v>
      </c>
      <c r="C89" s="228" t="s">
        <v>276</v>
      </c>
      <c r="D89" s="227">
        <f>Combustion_Chaud3!$C$115*(Combustion_Chaud3!D80+Combustion_Chaud3!D83)</f>
        <v>1.089247024450259E-2</v>
      </c>
      <c r="E89" s="227">
        <f>Combustion_Chaud3!$C$115*Combustion_Chaud3!E80</f>
        <v>1.089247024450259E-2</v>
      </c>
      <c r="F89" s="227">
        <f>Combustion_Chaud3!$C$115*Combustion_Chaud3!F80</f>
        <v>1.089247024450259E-2</v>
      </c>
      <c r="G89" s="226">
        <f>INDEX(D89:F89,G$74)</f>
        <v>1.089247024450259E-2</v>
      </c>
      <c r="H89" s="50"/>
      <c r="I89" s="79" t="s">
        <v>280</v>
      </c>
      <c r="K89" s="23" t="s">
        <v>279</v>
      </c>
      <c r="L89" s="50">
        <f>($E$29*(M83/1000))/($B$32*(L87+273.15))</f>
        <v>1.2363693512022826</v>
      </c>
      <c r="N89" s="118"/>
    </row>
    <row r="90" spans="1:15" ht="15.6">
      <c r="A90" s="225"/>
      <c r="C90" s="23"/>
      <c r="D90" s="50"/>
      <c r="F90" s="37"/>
      <c r="G90" s="119"/>
      <c r="H90" s="50"/>
      <c r="I90" s="79" t="s">
        <v>278</v>
      </c>
      <c r="K90" s="23" t="s">
        <v>142</v>
      </c>
      <c r="L90" s="224">
        <f>Combustion_Chaud3!C129</f>
        <v>0.23442652355595889</v>
      </c>
      <c r="M90" s="19" t="s">
        <v>146</v>
      </c>
      <c r="N90" s="118"/>
    </row>
    <row r="91" spans="1:15">
      <c r="A91" s="81" t="s">
        <v>147</v>
      </c>
      <c r="C91" s="23"/>
      <c r="D91" s="50"/>
      <c r="F91" s="37"/>
      <c r="G91" s="119"/>
      <c r="H91" s="50"/>
      <c r="I91" s="79" t="s">
        <v>148</v>
      </c>
      <c r="K91" s="23" t="s">
        <v>142</v>
      </c>
      <c r="L91" s="224">
        <f>Combustion_Chaud3!C140</f>
        <v>0.18388223005450138</v>
      </c>
      <c r="M91" s="19" t="s">
        <v>277</v>
      </c>
      <c r="N91" s="118"/>
    </row>
    <row r="92" spans="1:15" ht="15" thickBot="1">
      <c r="A92" s="79" t="s">
        <v>149</v>
      </c>
      <c r="C92" s="23"/>
      <c r="D92" s="223">
        <f>Hypothèses!D26</f>
        <v>0.05</v>
      </c>
      <c r="E92" s="222"/>
      <c r="F92" s="222"/>
      <c r="G92" s="119"/>
      <c r="H92" s="222"/>
      <c r="I92" s="92"/>
      <c r="J92" s="93"/>
      <c r="K92" s="221" t="s">
        <v>276</v>
      </c>
      <c r="L92" s="220">
        <f>Combustion_Chaud3!C141</f>
        <v>1.9186275921255749</v>
      </c>
      <c r="M92" s="93"/>
      <c r="N92" s="94"/>
    </row>
    <row r="93" spans="1:15" ht="16.8" thickBot="1">
      <c r="A93" s="92" t="s">
        <v>144</v>
      </c>
      <c r="B93" s="93"/>
      <c r="C93" s="120" t="s">
        <v>264</v>
      </c>
      <c r="D93" s="219" t="e">
        <f>IF(D92&lt;&gt;0,Combustion_Chaud3!$C$119,"-")</f>
        <v>#N/A</v>
      </c>
      <c r="E93" s="218"/>
      <c r="F93" s="218"/>
      <c r="G93" s="121"/>
      <c r="H93" s="90"/>
    </row>
    <row r="94" spans="1:15" ht="16.2">
      <c r="A94" s="19" t="s">
        <v>275</v>
      </c>
      <c r="B94" s="116"/>
      <c r="C94" s="217">
        <v>28.96546</v>
      </c>
      <c r="D94" s="215" t="s">
        <v>138</v>
      </c>
      <c r="E94" s="216"/>
      <c r="F94" s="122"/>
      <c r="G94" s="98"/>
      <c r="H94" s="98"/>
    </row>
    <row r="95" spans="1:15">
      <c r="G95" s="98"/>
    </row>
    <row r="96" spans="1:15">
      <c r="G96" s="98"/>
    </row>
    <row r="97" spans="1:8">
      <c r="G97" s="98"/>
    </row>
    <row r="98" spans="1:8">
      <c r="G98" s="98"/>
    </row>
    <row r="99" spans="1:8">
      <c r="G99" s="98"/>
    </row>
    <row r="100" spans="1:8">
      <c r="G100" s="98"/>
    </row>
    <row r="101" spans="1:8">
      <c r="A101" s="26" t="s">
        <v>274</v>
      </c>
      <c r="G101" s="98"/>
    </row>
    <row r="102" spans="1:8">
      <c r="G102" s="98"/>
    </row>
    <row r="103" spans="1:8">
      <c r="A103" s="123" t="s">
        <v>150</v>
      </c>
      <c r="B103" s="57"/>
      <c r="C103" s="57"/>
      <c r="D103" s="57"/>
      <c r="E103" s="23"/>
      <c r="F103" s="26" t="s">
        <v>151</v>
      </c>
      <c r="G103" s="26"/>
    </row>
    <row r="104" spans="1:8" ht="15.6">
      <c r="A104" s="19" t="s">
        <v>152</v>
      </c>
      <c r="B104" s="23" t="s">
        <v>273</v>
      </c>
      <c r="C104" s="320">
        <v>0</v>
      </c>
      <c r="D104" s="315" t="s">
        <v>272</v>
      </c>
      <c r="E104" s="23"/>
      <c r="F104" s="37" t="s">
        <v>153</v>
      </c>
      <c r="G104" s="37" t="s">
        <v>154</v>
      </c>
      <c r="H104" s="37" t="s">
        <v>153</v>
      </c>
    </row>
    <row r="105" spans="1:8">
      <c r="A105" s="19" t="s">
        <v>271</v>
      </c>
      <c r="B105" s="23" t="s">
        <v>155</v>
      </c>
      <c r="C105" s="321">
        <v>101325</v>
      </c>
      <c r="D105" s="317"/>
      <c r="E105" s="23"/>
      <c r="F105" s="23">
        <v>0</v>
      </c>
      <c r="G105" s="24">
        <v>610.48326959999986</v>
      </c>
      <c r="H105" s="23">
        <f t="shared" ref="H105:H136" si="14">F105</f>
        <v>0</v>
      </c>
    </row>
    <row r="106" spans="1:8">
      <c r="A106" s="19" t="s">
        <v>270</v>
      </c>
      <c r="B106" s="23" t="s">
        <v>155</v>
      </c>
      <c r="C106" s="213">
        <f>C105*EXP(-Combustion_Chaud3!C94/1000*9.80665/Combustion_Chaud3!B32/Combustion_Chaud3!B29*C104)</f>
        <v>101325</v>
      </c>
      <c r="D106" s="316"/>
      <c r="E106" s="213"/>
      <c r="F106" s="23">
        <v>2</v>
      </c>
      <c r="G106" s="24">
        <v>705.80878559999985</v>
      </c>
      <c r="H106" s="23">
        <f t="shared" si="14"/>
        <v>2</v>
      </c>
    </row>
    <row r="107" spans="1:8">
      <c r="B107" s="23"/>
      <c r="C107" s="23"/>
      <c r="D107" s="213"/>
      <c r="E107" s="23"/>
      <c r="F107" s="23">
        <v>4</v>
      </c>
      <c r="G107" s="24">
        <v>813.39996239999994</v>
      </c>
      <c r="H107" s="23">
        <f t="shared" si="14"/>
        <v>4</v>
      </c>
    </row>
    <row r="108" spans="1:8">
      <c r="A108" s="123" t="s">
        <v>122</v>
      </c>
      <c r="B108" s="57"/>
      <c r="C108" s="57"/>
      <c r="D108" s="57"/>
      <c r="E108" s="23"/>
      <c r="F108" s="23">
        <v>6</v>
      </c>
      <c r="G108" s="24">
        <v>934.98999119999985</v>
      </c>
      <c r="H108" s="23">
        <f t="shared" si="14"/>
        <v>6</v>
      </c>
    </row>
    <row r="109" spans="1:8" ht="15.6">
      <c r="A109" s="19" t="s">
        <v>156</v>
      </c>
      <c r="B109" s="116" t="s">
        <v>264</v>
      </c>
      <c r="C109" s="212">
        <f>R7</f>
        <v>20</v>
      </c>
      <c r="D109" s="23"/>
      <c r="E109" s="23"/>
      <c r="F109" s="23">
        <v>8</v>
      </c>
      <c r="G109" s="24">
        <v>1072.5787079999998</v>
      </c>
      <c r="H109" s="23">
        <f t="shared" si="14"/>
        <v>8</v>
      </c>
    </row>
    <row r="110" spans="1:8">
      <c r="A110" s="19" t="s">
        <v>149</v>
      </c>
      <c r="B110" s="23"/>
      <c r="C110" s="211">
        <f>D92</f>
        <v>0.05</v>
      </c>
      <c r="D110" s="23"/>
      <c r="E110" s="23"/>
      <c r="F110" s="23">
        <v>10</v>
      </c>
      <c r="G110" s="24">
        <v>1227.7659815999998</v>
      </c>
      <c r="H110" s="23">
        <f t="shared" si="14"/>
        <v>10</v>
      </c>
    </row>
    <row r="111" spans="1:8">
      <c r="B111" s="23"/>
      <c r="C111" s="23"/>
      <c r="D111" s="23"/>
      <c r="E111" s="23"/>
      <c r="F111" s="23">
        <v>12</v>
      </c>
      <c r="G111" s="24">
        <v>1402.2850031999999</v>
      </c>
      <c r="H111" s="23">
        <f t="shared" si="14"/>
        <v>12</v>
      </c>
    </row>
    <row r="112" spans="1:8">
      <c r="A112" s="19" t="s">
        <v>157</v>
      </c>
      <c r="B112" s="23" t="s">
        <v>155</v>
      </c>
      <c r="C112" s="24">
        <f>IF(C109&lt;0,0.09*6895,G197)</f>
        <v>2337.8082839999997</v>
      </c>
      <c r="D112" s="23"/>
      <c r="E112" s="23"/>
      <c r="F112" s="23">
        <v>14</v>
      </c>
      <c r="G112" s="24">
        <v>1598.1356087999998</v>
      </c>
      <c r="H112" s="23">
        <f t="shared" si="14"/>
        <v>14</v>
      </c>
    </row>
    <row r="113" spans="1:8">
      <c r="A113" s="19" t="s">
        <v>158</v>
      </c>
      <c r="B113" s="23" t="s">
        <v>155</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159</v>
      </c>
      <c r="B115" s="23" t="s">
        <v>160</v>
      </c>
      <c r="C115" s="50">
        <f>C113/(C106-C113)</f>
        <v>1.1549510674429225E-3</v>
      </c>
      <c r="D115" s="23"/>
      <c r="E115" s="23"/>
      <c r="F115" s="23">
        <v>20</v>
      </c>
      <c r="G115" s="24">
        <v>2337.8082839999997</v>
      </c>
      <c r="H115" s="23">
        <f t="shared" si="14"/>
        <v>20</v>
      </c>
    </row>
    <row r="116" spans="1:8">
      <c r="A116" s="19" t="s">
        <v>159</v>
      </c>
      <c r="B116" s="23" t="s">
        <v>161</v>
      </c>
      <c r="C116" s="50">
        <f>C115*Combustion_Chaud3!$C$15/Combustion_Chaud3!$C$94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162</v>
      </c>
      <c r="B118" s="23" t="s">
        <v>160</v>
      </c>
      <c r="C118" s="50">
        <f>C113/C106</f>
        <v>1.153618694300518E-3</v>
      </c>
      <c r="D118" s="23"/>
      <c r="E118" s="23"/>
      <c r="F118" s="23">
        <v>26</v>
      </c>
      <c r="G118" s="24">
        <v>3360.9243815999998</v>
      </c>
      <c r="H118" s="23">
        <f t="shared" si="14"/>
        <v>26</v>
      </c>
    </row>
    <row r="119" spans="1:8" ht="15.6">
      <c r="A119" s="19" t="s">
        <v>163</v>
      </c>
      <c r="B119" s="116" t="s">
        <v>264</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123</v>
      </c>
      <c r="B121" s="57"/>
      <c r="C121" s="57"/>
      <c r="D121" s="57"/>
      <c r="E121" s="23"/>
      <c r="F121" s="23">
        <v>32</v>
      </c>
      <c r="G121" s="24">
        <v>4754.6767511999988</v>
      </c>
      <c r="H121" s="23">
        <f t="shared" si="14"/>
        <v>32</v>
      </c>
    </row>
    <row r="122" spans="1:8" ht="15.6">
      <c r="A122" s="19" t="s">
        <v>156</v>
      </c>
      <c r="B122" s="116" t="s">
        <v>264</v>
      </c>
      <c r="C122" s="117">
        <f>U7</f>
        <v>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164</v>
      </c>
      <c r="B124" s="23" t="s">
        <v>86</v>
      </c>
      <c r="C124" s="301">
        <f>Combustion_Chaud3!L75</f>
        <v>10.434002195627643</v>
      </c>
      <c r="D124" s="23"/>
      <c r="E124" s="23"/>
      <c r="F124" s="23">
        <v>38</v>
      </c>
      <c r="G124" s="24">
        <v>6625.0567007999998</v>
      </c>
      <c r="H124" s="23">
        <f t="shared" si="14"/>
        <v>38</v>
      </c>
    </row>
    <row r="125" spans="1:8" ht="15.6">
      <c r="A125" s="19" t="s">
        <v>269</v>
      </c>
      <c r="B125" s="23" t="s">
        <v>86</v>
      </c>
      <c r="C125" s="302">
        <f>Combustion_Chaud3!L86</f>
        <v>1.9814924702445025</v>
      </c>
      <c r="D125" s="124" t="s">
        <v>165</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166</v>
      </c>
      <c r="B127" s="23" t="s">
        <v>155</v>
      </c>
      <c r="C127" s="24">
        <f>C132*C106</f>
        <v>19242.350229872351</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267</v>
      </c>
      <c r="B129" s="23" t="s">
        <v>160</v>
      </c>
      <c r="C129" s="50">
        <f>C125/(C124-C125)</f>
        <v>0.23442652355595889</v>
      </c>
      <c r="D129" s="37" t="s">
        <v>268</v>
      </c>
      <c r="E129" s="23"/>
      <c r="F129" s="23">
        <v>48</v>
      </c>
      <c r="G129" s="24">
        <v>11160.418103999998</v>
      </c>
      <c r="H129" s="23">
        <f t="shared" si="14"/>
        <v>48</v>
      </c>
    </row>
    <row r="130" spans="1:8">
      <c r="A130" s="19" t="s">
        <v>267</v>
      </c>
      <c r="B130" s="23" t="s">
        <v>161</v>
      </c>
      <c r="C130" s="50">
        <f>C129*Combustion_Chaud3!$C$15/D130</f>
        <v>0.17430557114648773</v>
      </c>
      <c r="D130" s="125">
        <f>(Combustion_Chaud3!M77*Combustion_Chaud3!$C$25+Combustion_Chaud3!M78*Combustion_Chaud3!$C$13+Combustion_Chaud3!M79*Combustion_Chaud3!$C$11+Combustion_Chaud3!M80*Combustion_Chaud3!$C$26)</f>
        <v>24.229056096766609</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266</v>
      </c>
      <c r="B132" s="23" t="s">
        <v>160</v>
      </c>
      <c r="C132" s="50">
        <f>C125/C124</f>
        <v>0.18990723148159241</v>
      </c>
      <c r="D132" s="23"/>
      <c r="E132" s="23"/>
      <c r="F132" s="23">
        <v>60</v>
      </c>
      <c r="G132" s="24">
        <v>19915.700111999999</v>
      </c>
      <c r="H132" s="23">
        <f t="shared" si="14"/>
        <v>60</v>
      </c>
    </row>
    <row r="133" spans="1:8">
      <c r="A133" s="19" t="s">
        <v>265</v>
      </c>
      <c r="B133" s="23" t="s">
        <v>160</v>
      </c>
      <c r="C133" s="115">
        <f>C132*C124</f>
        <v>1.9814924702445025</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148</v>
      </c>
      <c r="B135" s="23"/>
      <c r="C135" s="37" t="str">
        <f>IF(C136&gt;C122,"VRAI","FAUX")</f>
        <v>VRAI</v>
      </c>
      <c r="D135" s="23"/>
      <c r="E135" s="23"/>
      <c r="F135" s="23">
        <v>75</v>
      </c>
      <c r="G135" s="24">
        <v>38543.505839999998</v>
      </c>
      <c r="H135" s="23">
        <f t="shared" si="14"/>
        <v>75</v>
      </c>
    </row>
    <row r="136" spans="1:8" ht="15.6">
      <c r="A136" s="19" t="s">
        <v>144</v>
      </c>
      <c r="B136" s="116" t="s">
        <v>264</v>
      </c>
      <c r="C136" s="115">
        <f>F209</f>
        <v>59.1942344830736</v>
      </c>
      <c r="D136" s="23"/>
      <c r="E136" s="23"/>
      <c r="F136" s="23">
        <v>80</v>
      </c>
      <c r="G136" s="24">
        <v>47342.784240000001</v>
      </c>
      <c r="H136" s="23">
        <f t="shared" si="14"/>
        <v>80</v>
      </c>
    </row>
    <row r="137" spans="1:8">
      <c r="B137" s="23"/>
      <c r="C137" s="23"/>
      <c r="D137" s="23"/>
      <c r="E137" s="23"/>
      <c r="F137" s="23">
        <v>85</v>
      </c>
      <c r="G137" s="24">
        <v>57808.592639999995</v>
      </c>
      <c r="H137" s="23">
        <f t="shared" ref="H137:H168" si="15">F137</f>
        <v>85</v>
      </c>
    </row>
    <row r="138" spans="1:8">
      <c r="A138" s="124" t="s">
        <v>157</v>
      </c>
      <c r="B138" s="23" t="s">
        <v>155</v>
      </c>
      <c r="C138" s="24">
        <f>G215</f>
        <v>610.48326959999986</v>
      </c>
      <c r="D138" s="23"/>
      <c r="E138" s="23"/>
      <c r="F138" s="23">
        <v>90</v>
      </c>
      <c r="G138" s="24">
        <v>70095.585023999985</v>
      </c>
      <c r="H138" s="23">
        <f t="shared" si="15"/>
        <v>90</v>
      </c>
    </row>
    <row r="139" spans="1:8">
      <c r="A139" s="23" t="s">
        <v>167</v>
      </c>
      <c r="B139" s="23" t="s">
        <v>263</v>
      </c>
      <c r="C139" s="50">
        <f>IF(C135,C138/C106,"-")</f>
        <v>6.0250014270910425E-3</v>
      </c>
      <c r="D139" s="23"/>
      <c r="E139" s="23"/>
      <c r="F139" s="23">
        <v>91</v>
      </c>
      <c r="G139" s="24">
        <v>72800.696519999983</v>
      </c>
      <c r="H139" s="23">
        <f t="shared" si="15"/>
        <v>91</v>
      </c>
    </row>
    <row r="140" spans="1:8">
      <c r="A140" s="23" t="s">
        <v>148</v>
      </c>
      <c r="B140" s="23" t="s">
        <v>263</v>
      </c>
      <c r="C140" s="50">
        <f>IF(C135,C132-C139,0)</f>
        <v>0.18388223005450138</v>
      </c>
      <c r="D140" s="23"/>
      <c r="E140" s="23"/>
      <c r="F140" s="23">
        <v>92</v>
      </c>
      <c r="G140" s="24">
        <v>75592.467575999995</v>
      </c>
      <c r="H140" s="23">
        <f t="shared" si="15"/>
        <v>92</v>
      </c>
    </row>
    <row r="141" spans="1:8">
      <c r="A141" s="23" t="s">
        <v>148</v>
      </c>
      <c r="B141" s="23" t="s">
        <v>86</v>
      </c>
      <c r="C141" s="50">
        <f>IF(C135,C140*C124,0)</f>
        <v>1.9186275921255749</v>
      </c>
      <c r="D141" s="23"/>
      <c r="E141" s="23"/>
      <c r="F141" s="23">
        <v>93</v>
      </c>
      <c r="G141" s="24">
        <v>78473.564639999997</v>
      </c>
      <c r="H141" s="23">
        <f t="shared" si="15"/>
        <v>93</v>
      </c>
    </row>
    <row r="142" spans="1:8">
      <c r="A142" s="23" t="s">
        <v>148</v>
      </c>
      <c r="B142" s="23" t="s">
        <v>168</v>
      </c>
      <c r="C142" s="68">
        <f>IF(C135,C141*Combustion_Chaud3!$C$15,0)</f>
        <v>34.564613287868028</v>
      </c>
      <c r="D142" s="23"/>
      <c r="E142" s="23"/>
      <c r="F142" s="23">
        <v>94</v>
      </c>
      <c r="G142" s="24">
        <v>81446.654159999991</v>
      </c>
      <c r="H142" s="23">
        <f t="shared" si="15"/>
        <v>94</v>
      </c>
    </row>
    <row r="143" spans="1:8">
      <c r="B143" s="23"/>
      <c r="C143" s="23"/>
      <c r="D143" s="23"/>
      <c r="E143" s="23"/>
      <c r="F143" s="23">
        <v>95</v>
      </c>
      <c r="G143" s="24">
        <v>84513.069359999994</v>
      </c>
      <c r="H143" s="23">
        <f t="shared" si="15"/>
        <v>95</v>
      </c>
    </row>
    <row r="144" spans="1:8" ht="14.4">
      <c r="A144" s="19" t="s">
        <v>262</v>
      </c>
      <c r="B144" s="23"/>
      <c r="C144" s="126">
        <f>IF(C135,1,IF(C122&lt;100,C127/C138,"N / A"))</f>
        <v>1</v>
      </c>
      <c r="D144" s="23"/>
      <c r="E144" s="23"/>
      <c r="F144" s="23">
        <v>96</v>
      </c>
      <c r="G144" s="24">
        <v>87675.476687999995</v>
      </c>
      <c r="H144" s="23">
        <f t="shared" si="15"/>
        <v>96</v>
      </c>
    </row>
    <row r="145" spans="2:8">
      <c r="B145" s="23"/>
      <c r="C145" s="23"/>
      <c r="D145" s="23"/>
      <c r="E145" s="23"/>
      <c r="F145" s="23">
        <v>97</v>
      </c>
      <c r="G145" s="24">
        <v>90935.209367999996</v>
      </c>
      <c r="H145" s="23">
        <f t="shared" si="15"/>
        <v>97</v>
      </c>
    </row>
    <row r="146" spans="2:8">
      <c r="B146" s="23"/>
      <c r="C146" s="23"/>
      <c r="D146" s="23"/>
      <c r="E146" s="23"/>
      <c r="F146" s="23">
        <v>98</v>
      </c>
      <c r="G146" s="24">
        <v>94294.933847999986</v>
      </c>
      <c r="H146" s="23">
        <f t="shared" si="15"/>
        <v>98</v>
      </c>
    </row>
    <row r="147" spans="2:8">
      <c r="B147" s="23"/>
      <c r="C147" s="23"/>
      <c r="D147" s="23"/>
      <c r="E147" s="23"/>
      <c r="F147" s="23">
        <v>99</v>
      </c>
      <c r="G147" s="24">
        <v>97757.316575999997</v>
      </c>
      <c r="H147" s="23">
        <f t="shared" si="15"/>
        <v>99</v>
      </c>
    </row>
    <row r="148" spans="2:8">
      <c r="B148" s="23"/>
      <c r="C148" s="23"/>
      <c r="D148" s="23"/>
      <c r="E148" s="23"/>
      <c r="F148" s="23">
        <v>100</v>
      </c>
      <c r="G148" s="24">
        <v>101325.02399999999</v>
      </c>
      <c r="H148" s="23">
        <f t="shared" si="15"/>
        <v>100</v>
      </c>
    </row>
    <row r="149" spans="2:8">
      <c r="B149" s="23"/>
      <c r="C149" s="23"/>
      <c r="D149" s="23"/>
      <c r="E149" s="23"/>
      <c r="F149" s="23">
        <v>105</v>
      </c>
      <c r="G149" s="24">
        <v>120820</v>
      </c>
      <c r="H149" s="23">
        <f t="shared" si="15"/>
        <v>105</v>
      </c>
    </row>
    <row r="150" spans="2:8">
      <c r="B150" s="23"/>
      <c r="C150" s="23"/>
      <c r="D150" s="23"/>
      <c r="E150" s="23"/>
      <c r="F150" s="23">
        <v>110</v>
      </c>
      <c r="G150" s="24">
        <v>143270</v>
      </c>
      <c r="H150" s="23">
        <f t="shared" si="15"/>
        <v>110</v>
      </c>
    </row>
    <row r="151" spans="2:8">
      <c r="B151" s="23"/>
      <c r="C151" s="23"/>
      <c r="D151" s="23"/>
      <c r="E151" s="23"/>
      <c r="F151" s="23">
        <v>115</v>
      </c>
      <c r="G151" s="24">
        <v>169060</v>
      </c>
      <c r="H151" s="23">
        <f t="shared" si="15"/>
        <v>115</v>
      </c>
    </row>
    <row r="152" spans="2:8">
      <c r="B152" s="23"/>
      <c r="C152" s="23"/>
      <c r="D152" s="23"/>
      <c r="E152" s="23"/>
      <c r="F152" s="23">
        <v>120</v>
      </c>
      <c r="G152" s="24">
        <v>198530</v>
      </c>
      <c r="H152" s="23">
        <f t="shared" si="15"/>
        <v>120</v>
      </c>
    </row>
    <row r="153" spans="2:8">
      <c r="B153" s="23"/>
      <c r="C153" s="23"/>
      <c r="D153" s="23"/>
      <c r="E153" s="23"/>
      <c r="F153" s="23">
        <v>125</v>
      </c>
      <c r="G153" s="24">
        <v>232100</v>
      </c>
      <c r="H153" s="23">
        <f t="shared" si="15"/>
        <v>125</v>
      </c>
    </row>
    <row r="154" spans="2:8">
      <c r="B154" s="23"/>
      <c r="C154" s="23"/>
      <c r="D154" s="23"/>
      <c r="E154" s="23"/>
      <c r="F154" s="23">
        <v>130</v>
      </c>
      <c r="G154" s="24">
        <v>270100</v>
      </c>
      <c r="H154" s="23">
        <f t="shared" si="15"/>
        <v>130</v>
      </c>
    </row>
    <row r="155" spans="2:8">
      <c r="B155" s="23"/>
      <c r="C155" s="23"/>
      <c r="D155" s="23"/>
      <c r="E155" s="23"/>
      <c r="F155" s="23">
        <v>135</v>
      </c>
      <c r="G155" s="24">
        <v>313000</v>
      </c>
      <c r="H155" s="23">
        <f t="shared" si="15"/>
        <v>135</v>
      </c>
    </row>
    <row r="156" spans="2:8">
      <c r="B156" s="23"/>
      <c r="C156" s="23"/>
      <c r="D156" s="23"/>
      <c r="E156" s="23"/>
      <c r="F156" s="23">
        <v>140</v>
      </c>
      <c r="G156" s="24">
        <v>361300</v>
      </c>
      <c r="H156" s="23">
        <f t="shared" si="15"/>
        <v>140</v>
      </c>
    </row>
    <row r="157" spans="2:8">
      <c r="B157" s="23"/>
      <c r="C157" s="23"/>
      <c r="D157" s="23"/>
      <c r="E157" s="23"/>
      <c r="F157" s="23">
        <v>145</v>
      </c>
      <c r="G157" s="24">
        <v>415400</v>
      </c>
      <c r="H157" s="23">
        <f t="shared" si="15"/>
        <v>145</v>
      </c>
    </row>
    <row r="158" spans="2:8">
      <c r="B158" s="23"/>
      <c r="C158" s="23"/>
      <c r="D158" s="23"/>
      <c r="E158" s="23"/>
      <c r="F158" s="23">
        <v>150</v>
      </c>
      <c r="G158" s="24">
        <v>475800</v>
      </c>
      <c r="H158" s="23">
        <f t="shared" si="15"/>
        <v>150</v>
      </c>
    </row>
    <row r="159" spans="2:8">
      <c r="B159" s="23"/>
      <c r="C159" s="23"/>
      <c r="D159" s="23"/>
      <c r="E159" s="23"/>
      <c r="F159" s="23">
        <v>155</v>
      </c>
      <c r="G159" s="24">
        <v>543100</v>
      </c>
      <c r="H159" s="23">
        <f t="shared" si="15"/>
        <v>155</v>
      </c>
    </row>
    <row r="160" spans="2:8">
      <c r="B160" s="23"/>
      <c r="C160" s="23"/>
      <c r="D160" s="23"/>
      <c r="E160" s="23"/>
      <c r="F160" s="23">
        <v>160</v>
      </c>
      <c r="G160" s="24">
        <v>617800</v>
      </c>
      <c r="H160" s="23">
        <f t="shared" si="15"/>
        <v>160</v>
      </c>
    </row>
    <row r="161" spans="2:8">
      <c r="B161" s="23"/>
      <c r="C161" s="23"/>
      <c r="D161" s="23"/>
      <c r="E161" s="23"/>
      <c r="F161" s="23">
        <v>165</v>
      </c>
      <c r="G161" s="24">
        <v>700500</v>
      </c>
      <c r="H161" s="23">
        <f t="shared" si="15"/>
        <v>165</v>
      </c>
    </row>
    <row r="162" spans="2:8">
      <c r="B162" s="23"/>
      <c r="C162" s="23"/>
      <c r="D162" s="23"/>
      <c r="E162" s="23"/>
      <c r="F162" s="23">
        <v>170</v>
      </c>
      <c r="G162" s="24">
        <v>791700</v>
      </c>
      <c r="H162" s="23">
        <f t="shared" si="15"/>
        <v>170</v>
      </c>
    </row>
    <row r="163" spans="2:8">
      <c r="B163" s="23"/>
      <c r="C163" s="23"/>
      <c r="D163" s="23"/>
      <c r="E163" s="23"/>
      <c r="F163" s="23">
        <v>175</v>
      </c>
      <c r="G163" s="24">
        <v>892000</v>
      </c>
      <c r="H163" s="23">
        <f t="shared" si="15"/>
        <v>175</v>
      </c>
    </row>
    <row r="164" spans="2:8">
      <c r="B164" s="23"/>
      <c r="C164" s="23"/>
      <c r="D164" s="23"/>
      <c r="E164" s="23"/>
      <c r="F164" s="23">
        <v>180</v>
      </c>
      <c r="G164" s="24">
        <v>1002100</v>
      </c>
      <c r="H164" s="23">
        <f t="shared" si="15"/>
        <v>180</v>
      </c>
    </row>
    <row r="165" spans="2:8">
      <c r="B165" s="23"/>
      <c r="C165" s="23"/>
      <c r="D165" s="23"/>
      <c r="E165" s="23"/>
      <c r="F165" s="23">
        <v>185</v>
      </c>
      <c r="G165" s="24">
        <v>1122700</v>
      </c>
      <c r="H165" s="23">
        <f t="shared" si="15"/>
        <v>185</v>
      </c>
    </row>
    <row r="166" spans="2:8">
      <c r="B166" s="23"/>
      <c r="C166" s="23"/>
      <c r="D166" s="23"/>
      <c r="E166" s="23"/>
      <c r="F166" s="23">
        <v>190</v>
      </c>
      <c r="G166" s="24">
        <v>1254400</v>
      </c>
      <c r="H166" s="23">
        <f t="shared" si="15"/>
        <v>190</v>
      </c>
    </row>
    <row r="167" spans="2:8">
      <c r="B167" s="23"/>
      <c r="C167" s="23"/>
      <c r="D167" s="23"/>
      <c r="E167" s="23"/>
      <c r="F167" s="23">
        <v>195</v>
      </c>
      <c r="G167" s="24">
        <v>1397800</v>
      </c>
      <c r="H167" s="23">
        <f t="shared" si="15"/>
        <v>195</v>
      </c>
    </row>
    <row r="168" spans="2:8">
      <c r="B168" s="23"/>
      <c r="C168" s="23"/>
      <c r="D168" s="23"/>
      <c r="E168" s="23"/>
      <c r="F168" s="23">
        <v>200</v>
      </c>
      <c r="G168" s="24">
        <v>1553800</v>
      </c>
      <c r="H168" s="23">
        <f t="shared" si="15"/>
        <v>200</v>
      </c>
    </row>
    <row r="169" spans="2:8">
      <c r="B169" s="23"/>
      <c r="C169" s="23"/>
      <c r="D169" s="23"/>
      <c r="E169" s="23"/>
      <c r="F169" s="23">
        <v>205</v>
      </c>
      <c r="G169" s="24">
        <v>1723000</v>
      </c>
      <c r="H169" s="23">
        <f t="shared" ref="H169:H192" si="16">F169</f>
        <v>205</v>
      </c>
    </row>
    <row r="170" spans="2:8">
      <c r="B170" s="23"/>
      <c r="C170" s="23"/>
      <c r="D170" s="23"/>
      <c r="E170" s="23"/>
      <c r="F170" s="23">
        <v>210</v>
      </c>
      <c r="G170" s="24">
        <v>1906200</v>
      </c>
      <c r="H170" s="23">
        <f t="shared" si="16"/>
        <v>210</v>
      </c>
    </row>
    <row r="171" spans="2:8">
      <c r="B171" s="23"/>
      <c r="C171" s="23"/>
      <c r="D171" s="23"/>
      <c r="E171" s="23"/>
      <c r="F171" s="23">
        <v>215</v>
      </c>
      <c r="G171" s="24">
        <v>2104000</v>
      </c>
      <c r="H171" s="23">
        <f t="shared" si="16"/>
        <v>215</v>
      </c>
    </row>
    <row r="172" spans="2:8">
      <c r="B172" s="23"/>
      <c r="C172" s="23"/>
      <c r="D172" s="23"/>
      <c r="E172" s="23"/>
      <c r="F172" s="23">
        <v>220</v>
      </c>
      <c r="G172" s="24">
        <v>2318000</v>
      </c>
      <c r="H172" s="23">
        <f t="shared" si="16"/>
        <v>220</v>
      </c>
    </row>
    <row r="173" spans="2:8">
      <c r="B173" s="23"/>
      <c r="C173" s="23"/>
      <c r="D173" s="23"/>
      <c r="E173" s="23"/>
      <c r="F173" s="23">
        <v>225</v>
      </c>
      <c r="G173" s="24">
        <v>2548000</v>
      </c>
      <c r="H173" s="23">
        <f t="shared" si="16"/>
        <v>225</v>
      </c>
    </row>
    <row r="174" spans="2:8">
      <c r="B174" s="23"/>
      <c r="C174" s="23"/>
      <c r="D174" s="23"/>
      <c r="E174" s="23"/>
      <c r="F174" s="23">
        <v>230</v>
      </c>
      <c r="G174" s="24">
        <v>2795000</v>
      </c>
      <c r="H174" s="23">
        <f t="shared" si="16"/>
        <v>230</v>
      </c>
    </row>
    <row r="175" spans="2:8">
      <c r="B175" s="23"/>
      <c r="C175" s="23"/>
      <c r="D175" s="23"/>
      <c r="E175" s="23"/>
      <c r="F175" s="23">
        <v>235</v>
      </c>
      <c r="G175" s="24">
        <v>3060000</v>
      </c>
      <c r="H175" s="23">
        <f t="shared" si="16"/>
        <v>235</v>
      </c>
    </row>
    <row r="176" spans="2:8">
      <c r="B176" s="23"/>
      <c r="C176" s="23"/>
      <c r="D176" s="23"/>
      <c r="E176" s="23"/>
      <c r="F176" s="23">
        <v>240</v>
      </c>
      <c r="G176" s="24">
        <v>3344000</v>
      </c>
      <c r="H176" s="23">
        <f t="shared" si="16"/>
        <v>240</v>
      </c>
    </row>
    <row r="177" spans="2:8">
      <c r="B177" s="23"/>
      <c r="C177" s="23"/>
      <c r="D177" s="23"/>
      <c r="E177" s="23"/>
      <c r="F177" s="23">
        <v>245</v>
      </c>
      <c r="G177" s="24">
        <v>3648000</v>
      </c>
      <c r="H177" s="23">
        <f t="shared" si="16"/>
        <v>245</v>
      </c>
    </row>
    <row r="178" spans="2:8">
      <c r="B178" s="23"/>
      <c r="C178" s="23"/>
      <c r="D178" s="23"/>
      <c r="E178" s="23"/>
      <c r="F178" s="23">
        <v>250</v>
      </c>
      <c r="G178" s="24">
        <v>3973000</v>
      </c>
      <c r="H178" s="23">
        <f t="shared" si="16"/>
        <v>250</v>
      </c>
    </row>
    <row r="179" spans="2:8">
      <c r="B179" s="23"/>
      <c r="C179" s="23"/>
      <c r="D179" s="23"/>
      <c r="E179" s="23"/>
      <c r="F179" s="23">
        <v>255</v>
      </c>
      <c r="G179" s="24">
        <v>4319000</v>
      </c>
      <c r="H179" s="23">
        <f t="shared" si="16"/>
        <v>255</v>
      </c>
    </row>
    <row r="180" spans="2:8">
      <c r="B180" s="23"/>
      <c r="C180" s="23"/>
      <c r="D180" s="23"/>
      <c r="E180" s="23"/>
      <c r="F180" s="23">
        <v>260</v>
      </c>
      <c r="G180" s="24">
        <v>4688000</v>
      </c>
      <c r="H180" s="23">
        <f t="shared" si="16"/>
        <v>260</v>
      </c>
    </row>
    <row r="181" spans="2:8">
      <c r="B181" s="23"/>
      <c r="C181" s="23"/>
      <c r="D181" s="23"/>
      <c r="E181" s="23"/>
      <c r="F181" s="23">
        <v>265</v>
      </c>
      <c r="G181" s="24">
        <v>5081000</v>
      </c>
      <c r="H181" s="23">
        <f t="shared" si="16"/>
        <v>265</v>
      </c>
    </row>
    <row r="182" spans="2:8">
      <c r="B182" s="23"/>
      <c r="C182" s="23"/>
      <c r="D182" s="23"/>
      <c r="E182" s="23"/>
      <c r="F182" s="23">
        <v>270</v>
      </c>
      <c r="G182" s="24">
        <v>5499000</v>
      </c>
      <c r="H182" s="23">
        <f t="shared" si="16"/>
        <v>270</v>
      </c>
    </row>
    <row r="183" spans="2:8">
      <c r="B183" s="23"/>
      <c r="C183" s="23"/>
      <c r="D183" s="23"/>
      <c r="E183" s="23"/>
      <c r="F183" s="23">
        <v>275</v>
      </c>
      <c r="G183" s="24">
        <v>5942000</v>
      </c>
      <c r="H183" s="23">
        <f t="shared" si="16"/>
        <v>275</v>
      </c>
    </row>
    <row r="184" spans="2:8">
      <c r="B184" s="23"/>
      <c r="C184" s="23"/>
      <c r="D184" s="23"/>
      <c r="E184" s="23"/>
      <c r="F184" s="23">
        <v>280</v>
      </c>
      <c r="G184" s="24">
        <v>6412000</v>
      </c>
      <c r="H184" s="23">
        <f t="shared" si="16"/>
        <v>280</v>
      </c>
    </row>
    <row r="185" spans="2:8">
      <c r="B185" s="23"/>
      <c r="C185" s="23"/>
      <c r="D185" s="23"/>
      <c r="E185" s="23"/>
      <c r="F185" s="23">
        <v>285</v>
      </c>
      <c r="G185" s="24">
        <v>6909000</v>
      </c>
      <c r="H185" s="23">
        <f t="shared" si="16"/>
        <v>285</v>
      </c>
    </row>
    <row r="186" spans="2:8">
      <c r="B186" s="23"/>
      <c r="C186" s="23"/>
      <c r="D186" s="23"/>
      <c r="E186" s="23"/>
      <c r="F186" s="23">
        <v>290</v>
      </c>
      <c r="G186" s="24">
        <v>7436000</v>
      </c>
      <c r="H186" s="23">
        <f t="shared" si="16"/>
        <v>290</v>
      </c>
    </row>
    <row r="187" spans="2:8">
      <c r="B187" s="23"/>
      <c r="C187" s="23"/>
      <c r="D187" s="23"/>
      <c r="E187" s="23"/>
      <c r="F187" s="23">
        <v>295</v>
      </c>
      <c r="G187" s="24">
        <v>7993000</v>
      </c>
      <c r="H187" s="23">
        <f t="shared" si="16"/>
        <v>295</v>
      </c>
    </row>
    <row r="188" spans="2:8">
      <c r="B188" s="23"/>
      <c r="C188" s="23"/>
      <c r="D188" s="23"/>
      <c r="E188" s="23"/>
      <c r="F188" s="23">
        <v>300</v>
      </c>
      <c r="G188" s="24">
        <v>8581000</v>
      </c>
      <c r="H188" s="23">
        <f t="shared" si="16"/>
        <v>300</v>
      </c>
    </row>
    <row r="189" spans="2:8">
      <c r="B189" s="23"/>
      <c r="C189" s="23"/>
      <c r="D189" s="23"/>
      <c r="E189" s="23"/>
      <c r="F189" s="23">
        <v>320</v>
      </c>
      <c r="G189" s="23">
        <v>11274000</v>
      </c>
      <c r="H189" s="23">
        <f t="shared" si="16"/>
        <v>320</v>
      </c>
    </row>
    <row r="190" spans="2:8">
      <c r="B190" s="23"/>
      <c r="C190" s="23"/>
      <c r="D190" s="23"/>
      <c r="E190" s="23"/>
      <c r="F190" s="23">
        <v>340</v>
      </c>
      <c r="G190" s="23">
        <v>14586000</v>
      </c>
      <c r="H190" s="23">
        <f t="shared" si="16"/>
        <v>340</v>
      </c>
    </row>
    <row r="191" spans="2:8">
      <c r="B191" s="23"/>
      <c r="C191" s="23"/>
      <c r="D191" s="23"/>
      <c r="E191" s="23"/>
      <c r="F191" s="23">
        <v>360</v>
      </c>
      <c r="G191" s="23">
        <v>18651000</v>
      </c>
      <c r="H191" s="23">
        <f t="shared" si="16"/>
        <v>360</v>
      </c>
    </row>
    <row r="192" spans="2:8">
      <c r="B192" s="23"/>
      <c r="C192" s="23"/>
      <c r="D192" s="23"/>
      <c r="E192" s="23"/>
      <c r="F192" s="24">
        <v>374.14</v>
      </c>
      <c r="G192" s="24">
        <v>22090000</v>
      </c>
      <c r="H192" s="24">
        <f t="shared" si="16"/>
        <v>374.14</v>
      </c>
    </row>
    <row r="193" spans="2:8">
      <c r="B193" s="23"/>
      <c r="C193" s="23"/>
      <c r="D193" s="23"/>
      <c r="E193" s="23"/>
      <c r="F193" s="23"/>
      <c r="G193" s="23"/>
      <c r="H193" s="23"/>
    </row>
    <row r="194" spans="2:8">
      <c r="B194" s="23"/>
      <c r="C194" s="23"/>
      <c r="D194" s="23"/>
      <c r="E194" s="23"/>
      <c r="F194" s="1920" t="s">
        <v>169</v>
      </c>
      <c r="G194" s="1921"/>
      <c r="H194" s="1937"/>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20" t="s">
        <v>172</v>
      </c>
      <c r="G200" s="1921"/>
      <c r="H200" s="1937"/>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20" t="s">
        <v>261</v>
      </c>
      <c r="G206" s="1921"/>
      <c r="H206" s="1937"/>
    </row>
    <row r="207" spans="2:8">
      <c r="B207" s="23"/>
      <c r="C207" s="23"/>
      <c r="D207" s="23"/>
      <c r="E207" s="23"/>
      <c r="F207" s="35" t="s">
        <v>170</v>
      </c>
      <c r="G207" s="37" t="s">
        <v>171</v>
      </c>
      <c r="H207" s="67"/>
    </row>
    <row r="208" spans="2:8">
      <c r="B208" s="23"/>
      <c r="C208" s="23"/>
      <c r="D208" s="23"/>
      <c r="E208" s="23"/>
      <c r="F208" s="49">
        <f>VLOOKUP(G208,$G$105:$H$192,2)</f>
        <v>55</v>
      </c>
      <c r="G208" s="24">
        <f>VLOOKUP(C127,G105:H192,1)</f>
        <v>15737.376096</v>
      </c>
      <c r="H208" s="46">
        <f>MATCH(F208,F105:F192,1)</f>
        <v>27</v>
      </c>
    </row>
    <row r="209" spans="2:8">
      <c r="B209" s="23"/>
      <c r="C209" s="23"/>
      <c r="D209" s="23"/>
      <c r="E209" s="23"/>
      <c r="F209" s="49">
        <f>F208+(G209-G208)/(G210-G208)*(F210-F208)</f>
        <v>59.1942344830736</v>
      </c>
      <c r="G209" s="24">
        <f>C127</f>
        <v>19242.350229872351</v>
      </c>
      <c r="H209" s="46"/>
    </row>
    <row r="210" spans="2:8">
      <c r="B210" s="23"/>
      <c r="C210" s="23"/>
      <c r="D210" s="23"/>
      <c r="E210" s="23"/>
      <c r="F210" s="61">
        <f>INDEX(F105:F192,H210)</f>
        <v>60</v>
      </c>
      <c r="G210" s="69">
        <f>VLOOKUP(F210,F105:G192,2)</f>
        <v>19915.700111999999</v>
      </c>
      <c r="H210" s="58">
        <f>H208+1</f>
        <v>28</v>
      </c>
    </row>
    <row r="211" spans="2:8">
      <c r="B211" s="23"/>
      <c r="C211" s="23"/>
      <c r="D211" s="23"/>
      <c r="E211" s="23"/>
    </row>
    <row r="212" spans="2:8">
      <c r="B212" s="23"/>
      <c r="C212" s="23"/>
      <c r="D212" s="23"/>
      <c r="E212" s="23"/>
      <c r="F212" s="1920" t="s">
        <v>173</v>
      </c>
      <c r="G212" s="1921"/>
      <c r="H212" s="1937"/>
    </row>
    <row r="213" spans="2:8">
      <c r="B213" s="23"/>
      <c r="C213" s="23"/>
      <c r="D213" s="23"/>
      <c r="E213" s="23"/>
      <c r="F213" s="35" t="s">
        <v>170</v>
      </c>
      <c r="G213" s="37" t="s">
        <v>171</v>
      </c>
      <c r="H213" s="67"/>
    </row>
    <row r="214" spans="2:8">
      <c r="B214" s="23"/>
      <c r="C214" s="23"/>
      <c r="D214" s="23"/>
      <c r="E214" s="23"/>
      <c r="F214" s="49">
        <f>VLOOKUP(F215,F105:G192,1)</f>
        <v>0</v>
      </c>
      <c r="G214" s="24">
        <f>VLOOKUP(F214,$F$105:$G$192,2)</f>
        <v>610.48326959999986</v>
      </c>
      <c r="H214" s="46">
        <f>MATCH(F214,F105:F192,1)</f>
        <v>1</v>
      </c>
    </row>
    <row r="215" spans="2:8">
      <c r="B215" s="23"/>
      <c r="C215" s="23"/>
      <c r="D215" s="23"/>
      <c r="E215" s="23"/>
      <c r="F215" s="49">
        <f>C122</f>
        <v>0</v>
      </c>
      <c r="G215" s="24">
        <f>G214+((F215-F214)/(F216-F214))*(G216-G214)</f>
        <v>610.48326959999986</v>
      </c>
      <c r="H215" s="46"/>
    </row>
    <row r="216" spans="2:8">
      <c r="B216" s="23"/>
      <c r="C216" s="23"/>
      <c r="D216" s="23"/>
      <c r="E216" s="23"/>
      <c r="F216" s="61">
        <f>INDEX(F105:F192,H216)</f>
        <v>2</v>
      </c>
      <c r="G216" s="69">
        <f>VLOOKUP(F216,$F$105:$G$192,2)</f>
        <v>705.80878559999985</v>
      </c>
      <c r="H216" s="58">
        <f>H214+1</f>
        <v>2</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mergeCells count="25">
    <mergeCell ref="J5:M5"/>
    <mergeCell ref="N5:V5"/>
    <mergeCell ref="J6:M6"/>
    <mergeCell ref="N6:P6"/>
    <mergeCell ref="Q6:S6"/>
    <mergeCell ref="T6:V6"/>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M72:N72"/>
    <mergeCell ref="F194:H194"/>
    <mergeCell ref="F200:H200"/>
    <mergeCell ref="F206:H206"/>
    <mergeCell ref="F212:H21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9647-029F-436A-8781-ED6AC8A4F0F9}">
  <sheetPr codeName="Feuil51">
    <tabColor rgb="FFFFC000"/>
  </sheetPr>
  <dimension ref="A2:X355"/>
  <sheetViews>
    <sheetView workbookViewId="0">
      <selection activeCell="C116" sqref="C116:D116"/>
    </sheetView>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16384" width="11.44140625" style="19"/>
  </cols>
  <sheetData>
    <row r="2" spans="1:24">
      <c r="E2" s="20" t="s">
        <v>64</v>
      </c>
      <c r="F2" s="21" t="s">
        <v>16</v>
      </c>
      <c r="G2" s="22">
        <f>1-(G4/(G5+ABS(L27)))</f>
        <v>1.0044118150193189</v>
      </c>
    </row>
    <row r="4" spans="1:24">
      <c r="E4" s="23" t="s">
        <v>65</v>
      </c>
      <c r="F4" s="23" t="s">
        <v>66</v>
      </c>
      <c r="G4" s="255">
        <f>V27</f>
        <v>-3903.8528152104623</v>
      </c>
      <c r="H4" s="25"/>
    </row>
    <row r="5" spans="1:24">
      <c r="A5" s="26" t="s">
        <v>67</v>
      </c>
      <c r="E5" s="23" t="s">
        <v>68</v>
      </c>
      <c r="F5" s="23" t="s">
        <v>66</v>
      </c>
      <c r="G5" s="255">
        <f>P27+S27</f>
        <v>1864.5674656378285</v>
      </c>
      <c r="J5" s="1941" t="s">
        <v>339</v>
      </c>
      <c r="K5" s="1942"/>
      <c r="L5" s="1942"/>
      <c r="M5" s="1943"/>
      <c r="N5" s="1938" t="s">
        <v>69</v>
      </c>
      <c r="O5" s="1939"/>
      <c r="P5" s="1939"/>
      <c r="Q5" s="1939"/>
      <c r="R5" s="1939"/>
      <c r="S5" s="1939"/>
      <c r="T5" s="1939"/>
      <c r="U5" s="1939"/>
      <c r="V5" s="1940"/>
    </row>
    <row r="6" spans="1:24">
      <c r="A6" s="300" t="s">
        <v>338</v>
      </c>
      <c r="J6" s="1944" t="s">
        <v>337</v>
      </c>
      <c r="K6" s="1945"/>
      <c r="L6" s="1945"/>
      <c r="M6" s="1946"/>
      <c r="N6" s="1926" t="s">
        <v>336</v>
      </c>
      <c r="O6" s="1927"/>
      <c r="P6" s="1928"/>
      <c r="Q6" s="1926" t="s">
        <v>70</v>
      </c>
      <c r="R6" s="1927"/>
      <c r="S6" s="1928"/>
      <c r="T6" s="1926" t="s">
        <v>123</v>
      </c>
      <c r="U6" s="1927"/>
      <c r="V6" s="1928"/>
    </row>
    <row r="7" spans="1:24" ht="14.25" customHeight="1">
      <c r="C7" s="1935" t="s">
        <v>335</v>
      </c>
      <c r="D7" s="1920" t="s">
        <v>334</v>
      </c>
      <c r="E7" s="1937"/>
      <c r="F7" s="1920" t="s">
        <v>333</v>
      </c>
      <c r="G7" s="1921"/>
      <c r="H7" s="1921"/>
      <c r="I7" s="1921"/>
      <c r="J7" s="28" t="s">
        <v>71</v>
      </c>
      <c r="K7" s="29" t="s">
        <v>72</v>
      </c>
      <c r="L7" s="29" t="s">
        <v>332</v>
      </c>
      <c r="M7" s="1947" t="s">
        <v>331</v>
      </c>
      <c r="N7" s="30" t="s">
        <v>73</v>
      </c>
      <c r="O7" s="31">
        <f>'3c. Calculator EEM 2-3'!M34</f>
        <v>20</v>
      </c>
      <c r="P7" s="32"/>
      <c r="Q7" s="33" t="s">
        <v>73</v>
      </c>
      <c r="R7" s="34">
        <f>'3c. Calculator EEM 2-3'!M33</f>
        <v>20</v>
      </c>
      <c r="S7" s="32"/>
      <c r="T7" s="33" t="s">
        <v>73</v>
      </c>
      <c r="U7" s="34">
        <f>'3c. Calculator EEM 2-3'!M32</f>
        <v>0</v>
      </c>
      <c r="V7" s="32"/>
    </row>
    <row r="8" spans="1:24" ht="42">
      <c r="C8" s="1936"/>
      <c r="D8" s="299" t="s">
        <v>330</v>
      </c>
      <c r="E8" s="298" t="s">
        <v>329</v>
      </c>
      <c r="F8" s="1923" t="s">
        <v>74</v>
      </c>
      <c r="G8" s="1924"/>
      <c r="H8" s="1924"/>
      <c r="I8" s="1924"/>
      <c r="J8" s="35" t="s">
        <v>75</v>
      </c>
      <c r="K8" s="37" t="s">
        <v>75</v>
      </c>
      <c r="L8" s="37"/>
      <c r="M8" s="1948"/>
      <c r="N8" s="37" t="s">
        <v>76</v>
      </c>
      <c r="O8" s="37" t="s">
        <v>77</v>
      </c>
      <c r="P8" s="36" t="s">
        <v>78</v>
      </c>
      <c r="Q8" s="35" t="s">
        <v>76</v>
      </c>
      <c r="R8" s="37" t="s">
        <v>77</v>
      </c>
      <c r="S8" s="36" t="s">
        <v>78</v>
      </c>
      <c r="T8" s="35" t="s">
        <v>76</v>
      </c>
      <c r="U8" s="37" t="s">
        <v>77</v>
      </c>
      <c r="V8" s="36" t="s">
        <v>78</v>
      </c>
    </row>
    <row r="9" spans="1:24" ht="20.399999999999999">
      <c r="B9" s="19" t="s">
        <v>35</v>
      </c>
      <c r="C9" s="247" t="s">
        <v>328</v>
      </c>
      <c r="D9" s="1954" t="s">
        <v>328</v>
      </c>
      <c r="E9" s="1955"/>
      <c r="F9" s="1932" t="s">
        <v>111</v>
      </c>
      <c r="G9" s="1933"/>
      <c r="H9" s="1933"/>
      <c r="I9" s="1934"/>
      <c r="J9" s="35"/>
      <c r="K9" s="37"/>
      <c r="L9" s="37"/>
      <c r="M9" s="297" t="s">
        <v>327</v>
      </c>
      <c r="N9" s="37"/>
      <c r="O9" s="37"/>
      <c r="P9" s="36"/>
      <c r="Q9" s="37"/>
      <c r="R9" s="37"/>
      <c r="S9" s="36"/>
      <c r="T9" s="37"/>
      <c r="U9" s="37"/>
      <c r="V9" s="36"/>
    </row>
    <row r="10" spans="1:24" ht="2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row>
    <row r="11" spans="1:24" ht="15.6">
      <c r="A11" s="44" t="s">
        <v>88</v>
      </c>
      <c r="B11" s="45" t="s">
        <v>89</v>
      </c>
      <c r="C11" s="290">
        <v>31.998799999999999</v>
      </c>
      <c r="D11" s="283">
        <v>0</v>
      </c>
      <c r="E11" s="282">
        <v>0</v>
      </c>
      <c r="F11" s="47">
        <v>29.1</v>
      </c>
      <c r="G11" s="48">
        <v>1.1579999999999999</v>
      </c>
      <c r="H11" s="48">
        <v>-0.60760000000000003</v>
      </c>
      <c r="I11" s="48">
        <v>1.3109999999999999</v>
      </c>
      <c r="J11" s="49">
        <f t="shared" ref="J11:J26" si="0">N11*C11</f>
        <v>0</v>
      </c>
      <c r="K11" s="48">
        <f t="shared" ref="K11:K26" si="1">($E$29*(C11/1000))/($B$32*$B$29)*N11</f>
        <v>0</v>
      </c>
      <c r="L11" s="255">
        <f t="shared" ref="L11:L26" si="2">N11*E11</f>
        <v>0</v>
      </c>
      <c r="M11" s="279">
        <f t="shared" ref="M11:M26" si="3">N11*D11/2*$W$15</f>
        <v>0</v>
      </c>
      <c r="N11" s="51">
        <f>Combustion_Chaud4!C53/100</f>
        <v>0</v>
      </c>
      <c r="O11" s="50">
        <f t="shared" ref="O11:O26" si="4">AVERAGE($F11+$G11/100*O$7+$H11/100000*O$7^2+$I11/1000000000*O$7^3,$F11+$G11/100*$B$28+$H11/100000*$B$28^2+$I11/1000000000*$B$28^3)</f>
        <v>29.303892412703927</v>
      </c>
      <c r="P11" s="52">
        <f>N11*O11*(O$7-$B$28)</f>
        <v>0</v>
      </c>
      <c r="Q11" s="51">
        <f>Combustion_Chaud4!G88</f>
        <v>1.9809999999999999</v>
      </c>
      <c r="R11" s="50">
        <f t="shared" ref="R11:R26" si="5">AVERAGE($F11+$G11/100*R$7+$H11/100000*R$7^2+$I11/1000000000*R$7^3,$F11+$G11/100*$B$28+$H11/100000*$B$28^2+$I11/1000000000*$B$28^3)</f>
        <v>29.303892412703927</v>
      </c>
      <c r="S11" s="282">
        <f>Q11*R11*(R$7-$B$28)</f>
        <v>258.32699836957079</v>
      </c>
      <c r="T11" s="51">
        <f>Combustion_Chaud4!L79</f>
        <v>0</v>
      </c>
      <c r="U11" s="50">
        <f t="shared" ref="U11:U26" si="6">AVERAGE($F11+$G11/100*U$7+$H11/100000*U$7^2+$I11/1000000000*U$7^3,$F11+$G11/100*$B$28+$H11/100000*$B$28^2+$I11/1000000000*$B$28^3)</f>
        <v>29.189302368703927</v>
      </c>
      <c r="V11" s="282">
        <f>T11*U11*(U$7-$B$28)</f>
        <v>0</v>
      </c>
    </row>
    <row r="12" spans="1:24">
      <c r="A12" s="53" t="s">
        <v>299</v>
      </c>
      <c r="B12" s="19" t="s">
        <v>90</v>
      </c>
      <c r="C12" s="284">
        <v>28.010100000000001</v>
      </c>
      <c r="D12" s="283">
        <v>0</v>
      </c>
      <c r="E12" s="282">
        <v>-282910</v>
      </c>
      <c r="F12" s="51">
        <v>28.95</v>
      </c>
      <c r="G12" s="50">
        <v>0.41099999999999998</v>
      </c>
      <c r="H12" s="50">
        <v>0.3548</v>
      </c>
      <c r="I12" s="50">
        <v>-2.2200000000000002</v>
      </c>
      <c r="J12" s="49">
        <f t="shared" si="0"/>
        <v>0</v>
      </c>
      <c r="K12" s="50">
        <f t="shared" si="1"/>
        <v>0</v>
      </c>
      <c r="L12" s="255">
        <f t="shared" si="2"/>
        <v>0</v>
      </c>
      <c r="M12" s="279">
        <f t="shared" si="3"/>
        <v>0</v>
      </c>
      <c r="N12" s="51">
        <f>Combustion_Chaud4!C54/100</f>
        <v>0</v>
      </c>
      <c r="O12" s="50">
        <f t="shared" si="4"/>
        <v>29.024180754002948</v>
      </c>
      <c r="P12" s="52">
        <f>N12*O12*(O$7-$B$28)</f>
        <v>0</v>
      </c>
      <c r="Q12" s="285"/>
      <c r="R12" s="50">
        <f t="shared" si="5"/>
        <v>29.024180754002948</v>
      </c>
      <c r="S12" s="282">
        <f>Q12*R12*(R$7-$B$28)</f>
        <v>0</v>
      </c>
      <c r="T12" s="285"/>
      <c r="U12" s="50">
        <f t="shared" si="6"/>
        <v>28.982380034002947</v>
      </c>
      <c r="V12" s="282">
        <f>T12*U12*(U$7-$B$28)</f>
        <v>0</v>
      </c>
    </row>
    <row r="13" spans="1:24" ht="15.6">
      <c r="A13" s="53" t="s">
        <v>284</v>
      </c>
      <c r="B13" s="19" t="s">
        <v>91</v>
      </c>
      <c r="C13" s="284">
        <v>44.009500000000003</v>
      </c>
      <c r="D13" s="283">
        <v>0</v>
      </c>
      <c r="E13" s="282">
        <v>0</v>
      </c>
      <c r="F13" s="51">
        <v>36.11</v>
      </c>
      <c r="G13" s="50">
        <v>4.2329999999999997</v>
      </c>
      <c r="H13" s="50">
        <v>-2.887</v>
      </c>
      <c r="I13" s="50">
        <v>7.4640000000000004</v>
      </c>
      <c r="J13" s="49">
        <f t="shared" si="0"/>
        <v>0.28166080000000004</v>
      </c>
      <c r="K13" s="50">
        <f t="shared" si="1"/>
        <v>1.1916985502539782E-2</v>
      </c>
      <c r="L13" s="255">
        <f t="shared" si="2"/>
        <v>0</v>
      </c>
      <c r="M13" s="279">
        <f t="shared" si="3"/>
        <v>0</v>
      </c>
      <c r="N13" s="51">
        <f>Combustion_Chaud4!C55/100</f>
        <v>6.4000000000000003E-3</v>
      </c>
      <c r="O13" s="50">
        <f t="shared" si="4"/>
        <v>36.853195219340265</v>
      </c>
      <c r="P13" s="52">
        <f>N13*O13*(O$7-$B$28)</f>
        <v>1.0495789998468106</v>
      </c>
      <c r="Q13" s="285"/>
      <c r="R13" s="50">
        <f t="shared" si="5"/>
        <v>36.853195219340265</v>
      </c>
      <c r="S13" s="282">
        <f>Q13*R13*(R$7-$B$28)</f>
        <v>0</v>
      </c>
      <c r="T13" s="51">
        <f>Combustion_Chaud4!L78</f>
        <v>1.0020999999999998</v>
      </c>
      <c r="U13" s="50">
        <f t="shared" si="6"/>
        <v>36.435639363340258</v>
      </c>
      <c r="V13" s="282">
        <f>T13*U13*(U$7-$B$28)</f>
        <v>-567.76399790335086</v>
      </c>
    </row>
    <row r="14" spans="1:24" ht="15.6">
      <c r="A14" s="53" t="s">
        <v>92</v>
      </c>
      <c r="B14" s="19" t="s">
        <v>93</v>
      </c>
      <c r="C14" s="284">
        <v>2.0158800000000001</v>
      </c>
      <c r="D14" s="283">
        <v>2</v>
      </c>
      <c r="E14" s="282">
        <v>-286130</v>
      </c>
      <c r="F14" s="51">
        <v>28.84</v>
      </c>
      <c r="G14" s="50">
        <v>7.6499999999999997E-3</v>
      </c>
      <c r="H14" s="50">
        <v>0.32879999999999998</v>
      </c>
      <c r="I14" s="50">
        <v>-0.86980000000000002</v>
      </c>
      <c r="J14" s="49">
        <f t="shared" si="0"/>
        <v>0</v>
      </c>
      <c r="K14" s="50">
        <f t="shared" si="1"/>
        <v>0</v>
      </c>
      <c r="L14" s="255">
        <f t="shared" si="2"/>
        <v>0</v>
      </c>
      <c r="M14" s="279">
        <f t="shared" si="3"/>
        <v>0</v>
      </c>
      <c r="N14" s="51">
        <f>Combustion_Chaud4!C56/100</f>
        <v>0</v>
      </c>
      <c r="O14" s="50">
        <f t="shared" si="4"/>
        <v>28.842409796373442</v>
      </c>
      <c r="P14" s="52">
        <f>N14*O14*(O$7-$B$28)</f>
        <v>0</v>
      </c>
      <c r="Q14" s="285"/>
      <c r="R14" s="50">
        <f t="shared" si="5"/>
        <v>28.842409796373442</v>
      </c>
      <c r="S14" s="282">
        <f>Q14*R14*(R$7-$B$28)</f>
        <v>0</v>
      </c>
      <c r="T14" s="285"/>
      <c r="U14" s="50">
        <f t="shared" si="6"/>
        <v>28.840990675573444</v>
      </c>
      <c r="V14" s="282">
        <f>T14*U14*(U$7-$B$28)</f>
        <v>0</v>
      </c>
    </row>
    <row r="15" spans="1:24" ht="15.6">
      <c r="A15" s="53" t="s">
        <v>94</v>
      </c>
      <c r="B15" s="19" t="s">
        <v>298</v>
      </c>
      <c r="C15" s="284">
        <v>18.015280000000001</v>
      </c>
      <c r="D15" s="283">
        <v>2</v>
      </c>
      <c r="E15" s="282">
        <v>0</v>
      </c>
      <c r="F15" s="51">
        <v>33.46</v>
      </c>
      <c r="G15" s="50">
        <v>0.68799999999999994</v>
      </c>
      <c r="H15" s="50">
        <v>0.76039999999999996</v>
      </c>
      <c r="I15" s="50">
        <v>-3.593</v>
      </c>
      <c r="J15" s="49">
        <f t="shared" si="0"/>
        <v>0</v>
      </c>
      <c r="K15" s="50">
        <f t="shared" si="1"/>
        <v>0</v>
      </c>
      <c r="L15" s="255">
        <f t="shared" si="2"/>
        <v>0</v>
      </c>
      <c r="M15" s="279">
        <f t="shared" si="3"/>
        <v>0</v>
      </c>
      <c r="N15" s="51">
        <f>Combustion_Chaud4!C57/100</f>
        <v>0</v>
      </c>
      <c r="O15" s="50">
        <f t="shared" si="4"/>
        <v>33.584711006213126</v>
      </c>
      <c r="P15" s="52">
        <f>N15*(W15+O15*(O$7-$B$28))</f>
        <v>0</v>
      </c>
      <c r="Q15" s="51">
        <f>Combustion_Chaud4!G89</f>
        <v>1.089247024450259E-2</v>
      </c>
      <c r="R15" s="50">
        <f t="shared" si="5"/>
        <v>33.584711006213126</v>
      </c>
      <c r="S15" s="282">
        <f>Q15*(W15+R15*(R$7-$B$28))</f>
        <v>485.34071968848002</v>
      </c>
      <c r="T15" s="51">
        <f>Combustion_Chaud4!L81-T16</f>
        <v>6.2864878118927603E-2</v>
      </c>
      <c r="U15" s="50">
        <f t="shared" si="6"/>
        <v>33.514404578213124</v>
      </c>
      <c r="V15" s="286">
        <f>((T15-G89)*$W$15)+(T15*U15*(U$7-$B$28))</f>
        <v>2275.2287210744284</v>
      </c>
      <c r="W15" s="257">
        <v>44408</v>
      </c>
      <c r="X15" s="19" t="s">
        <v>95</v>
      </c>
    </row>
    <row r="16" spans="1:24" ht="15.6">
      <c r="A16" s="53" t="s">
        <v>96</v>
      </c>
      <c r="B16" s="19" t="s">
        <v>324</v>
      </c>
      <c r="C16" s="284">
        <f>C15</f>
        <v>18.015280000000001</v>
      </c>
      <c r="D16" s="283">
        <v>2</v>
      </c>
      <c r="E16" s="282">
        <v>0</v>
      </c>
      <c r="F16" s="51">
        <v>75.400000000000006</v>
      </c>
      <c r="G16" s="50">
        <v>0</v>
      </c>
      <c r="H16" s="50">
        <v>0</v>
      </c>
      <c r="I16" s="50">
        <v>0</v>
      </c>
      <c r="J16" s="49">
        <f t="shared" si="0"/>
        <v>0</v>
      </c>
      <c r="K16" s="50">
        <f t="shared" si="1"/>
        <v>0</v>
      </c>
      <c r="L16" s="255">
        <f t="shared" si="2"/>
        <v>0</v>
      </c>
      <c r="M16" s="279">
        <f t="shared" si="3"/>
        <v>0</v>
      </c>
      <c r="N16" s="51">
        <v>0</v>
      </c>
      <c r="O16" s="50">
        <f t="shared" si="4"/>
        <v>75.400000000000006</v>
      </c>
      <c r="P16" s="52">
        <f t="shared" ref="P16:P26" si="7">N16*O16*(O$7-$B$28)</f>
        <v>0</v>
      </c>
      <c r="Q16" s="285"/>
      <c r="R16" s="50">
        <f t="shared" si="5"/>
        <v>75.400000000000006</v>
      </c>
      <c r="S16" s="282">
        <f t="shared" ref="S16:S26" si="8">Q16*R16*(R$7-$B$28)</f>
        <v>0</v>
      </c>
      <c r="T16" s="51">
        <f>Combustion_Chaud4!L92</f>
        <v>1.9186275921255749</v>
      </c>
      <c r="U16" s="50">
        <f t="shared" si="6"/>
        <v>75.400000000000006</v>
      </c>
      <c r="V16" s="286">
        <f t="shared" ref="V16:V26" si="9">T16*U16*(U$7-$B$28)</f>
        <v>-2249.5332929394731</v>
      </c>
    </row>
    <row r="17" spans="1:22" ht="15.6">
      <c r="A17" s="53" t="s">
        <v>97</v>
      </c>
      <c r="B17" s="19" t="s">
        <v>98</v>
      </c>
      <c r="C17" s="284">
        <v>16.042459999999998</v>
      </c>
      <c r="D17" s="283">
        <v>4</v>
      </c>
      <c r="E17" s="282">
        <v>-891460</v>
      </c>
      <c r="F17" s="51">
        <v>34.31</v>
      </c>
      <c r="G17" s="50">
        <v>5.4690000000000003</v>
      </c>
      <c r="H17" s="50">
        <v>0.36609999999999998</v>
      </c>
      <c r="I17" s="50">
        <v>-11</v>
      </c>
      <c r="J17" s="49">
        <f t="shared" si="0"/>
        <v>15.347821481999999</v>
      </c>
      <c r="K17" s="50">
        <f t="shared" si="1"/>
        <v>0.6493618071686319</v>
      </c>
      <c r="L17" s="255">
        <f t="shared" si="2"/>
        <v>-852859.78200000001</v>
      </c>
      <c r="M17" s="279">
        <f t="shared" si="3"/>
        <v>84970.267200000002</v>
      </c>
      <c r="N17" s="51">
        <f>Combustion_Chaud4!C58/100</f>
        <v>0.95669999999999999</v>
      </c>
      <c r="O17" s="50">
        <f t="shared" si="4"/>
        <v>35.283224889317438</v>
      </c>
      <c r="P17" s="52">
        <f t="shared" si="7"/>
        <v>150.21180256966446</v>
      </c>
      <c r="Q17" s="285"/>
      <c r="R17" s="50">
        <f t="shared" si="5"/>
        <v>35.283224889317438</v>
      </c>
      <c r="S17" s="282">
        <f t="shared" si="8"/>
        <v>0</v>
      </c>
      <c r="T17" s="285"/>
      <c r="U17" s="50">
        <f t="shared" si="6"/>
        <v>34.735636689317438</v>
      </c>
      <c r="V17" s="282">
        <f t="shared" si="9"/>
        <v>0</v>
      </c>
    </row>
    <row r="18" spans="1:22" ht="15.6">
      <c r="A18" s="53" t="s">
        <v>99</v>
      </c>
      <c r="B18" s="19" t="s">
        <v>297</v>
      </c>
      <c r="C18" s="284">
        <v>30.09562</v>
      </c>
      <c r="D18" s="283">
        <v>6</v>
      </c>
      <c r="E18" s="282">
        <v>-1562060</v>
      </c>
      <c r="F18" s="51">
        <v>49.37</v>
      </c>
      <c r="G18" s="50">
        <v>13.92</v>
      </c>
      <c r="H18" s="50">
        <v>-5.8159999999999998</v>
      </c>
      <c r="I18" s="50">
        <v>7.28</v>
      </c>
      <c r="J18" s="49">
        <f t="shared" si="0"/>
        <v>0.4875490440000001</v>
      </c>
      <c r="K18" s="50">
        <f t="shared" si="1"/>
        <v>2.0628056474756629E-2</v>
      </c>
      <c r="L18" s="255">
        <f t="shared" si="2"/>
        <v>-25305.372000000003</v>
      </c>
      <c r="M18" s="279">
        <f t="shared" si="3"/>
        <v>2158.2288000000003</v>
      </c>
      <c r="N18" s="51">
        <f>Combustion_Chaud4!C59/100</f>
        <v>1.6200000000000003E-2</v>
      </c>
      <c r="O18" s="50">
        <f t="shared" si="4"/>
        <v>51.825659189805108</v>
      </c>
      <c r="P18" s="52">
        <f t="shared" si="7"/>
        <v>3.73611177099305</v>
      </c>
      <c r="Q18" s="285"/>
      <c r="R18" s="50">
        <f t="shared" si="5"/>
        <v>51.825659189805108</v>
      </c>
      <c r="S18" s="282">
        <f t="shared" si="8"/>
        <v>0</v>
      </c>
      <c r="T18" s="285"/>
      <c r="U18" s="50">
        <f t="shared" si="6"/>
        <v>50.445262069805104</v>
      </c>
      <c r="V18" s="282">
        <f t="shared" si="9"/>
        <v>0</v>
      </c>
    </row>
    <row r="19" spans="1:22" ht="15.6">
      <c r="A19" s="53" t="s">
        <v>100</v>
      </c>
      <c r="B19" s="19" t="s">
        <v>296</v>
      </c>
      <c r="C19" s="284">
        <v>44.095619999999997</v>
      </c>
      <c r="D19" s="283">
        <v>8</v>
      </c>
      <c r="E19" s="282">
        <v>-2220990</v>
      </c>
      <c r="F19" s="51">
        <v>68.031999999999996</v>
      </c>
      <c r="G19" s="50">
        <v>22.59</v>
      </c>
      <c r="H19" s="50">
        <v>-13.11</v>
      </c>
      <c r="I19" s="50">
        <v>31.71</v>
      </c>
      <c r="J19" s="49">
        <f t="shared" si="0"/>
        <v>6.1733868000000004E-2</v>
      </c>
      <c r="K19" s="50">
        <f t="shared" si="1"/>
        <v>2.611941775254862E-3</v>
      </c>
      <c r="L19" s="255">
        <f t="shared" si="2"/>
        <v>-3109.3860000000004</v>
      </c>
      <c r="M19" s="279">
        <f t="shared" si="3"/>
        <v>248.68480000000002</v>
      </c>
      <c r="N19" s="51">
        <f>Combustion_Chaud4!C60/100</f>
        <v>1.4000000000000002E-3</v>
      </c>
      <c r="O19" s="50">
        <f t="shared" si="4"/>
        <v>72.005488801382796</v>
      </c>
      <c r="P19" s="52">
        <f t="shared" si="7"/>
        <v>0.44859419523261485</v>
      </c>
      <c r="Q19" s="285"/>
      <c r="R19" s="50">
        <f t="shared" si="5"/>
        <v>72.005488801382796</v>
      </c>
      <c r="S19" s="282">
        <f t="shared" si="8"/>
        <v>0</v>
      </c>
      <c r="T19" s="285"/>
      <c r="U19" s="50">
        <f t="shared" si="6"/>
        <v>69.772581961382798</v>
      </c>
      <c r="V19" s="282">
        <f t="shared" si="9"/>
        <v>0</v>
      </c>
    </row>
    <row r="20" spans="1:22" ht="15.6">
      <c r="A20" s="53" t="s">
        <v>323</v>
      </c>
      <c r="B20" s="19" t="s">
        <v>322</v>
      </c>
      <c r="C20" s="284">
        <v>58.122199999999999</v>
      </c>
      <c r="D20" s="283">
        <v>10</v>
      </c>
      <c r="E20" s="286">
        <v>-2870450</v>
      </c>
      <c r="F20" s="51">
        <v>89.46</v>
      </c>
      <c r="G20" s="50">
        <v>30.13</v>
      </c>
      <c r="H20" s="50">
        <v>-18.91</v>
      </c>
      <c r="I20" s="50">
        <v>49.87</v>
      </c>
      <c r="J20" s="49">
        <f t="shared" si="0"/>
        <v>2.324888E-2</v>
      </c>
      <c r="K20" s="50">
        <f t="shared" si="1"/>
        <v>9.8365326630573758E-4</v>
      </c>
      <c r="L20" s="255">
        <f t="shared" si="2"/>
        <v>-1148.18</v>
      </c>
      <c r="M20" s="279">
        <f t="shared" si="3"/>
        <v>88.816000000000003</v>
      </c>
      <c r="N20" s="51">
        <f>Combustion_Chaud4!C61/100</f>
        <v>4.0000000000000002E-4</v>
      </c>
      <c r="O20" s="50">
        <f t="shared" si="4"/>
        <v>94.755218309944979</v>
      </c>
      <c r="P20" s="52">
        <f t="shared" si="7"/>
        <v>0.16866428859170204</v>
      </c>
      <c r="Q20" s="285"/>
      <c r="R20" s="50">
        <f t="shared" si="5"/>
        <v>94.755218309944979</v>
      </c>
      <c r="S20" s="282">
        <f t="shared" si="8"/>
        <v>0</v>
      </c>
      <c r="T20" s="285"/>
      <c r="U20" s="50">
        <f t="shared" si="6"/>
        <v>91.779838829944993</v>
      </c>
      <c r="V20" s="282">
        <f t="shared" si="9"/>
        <v>0</v>
      </c>
    </row>
    <row r="21" spans="1:22" ht="15.6">
      <c r="A21" s="53" t="s">
        <v>101</v>
      </c>
      <c r="B21" s="19" t="s">
        <v>321</v>
      </c>
      <c r="C21" s="284">
        <f>C20</f>
        <v>58.122199999999999</v>
      </c>
      <c r="D21" s="283">
        <v>10</v>
      </c>
      <c r="E21" s="289">
        <v>-2879630</v>
      </c>
      <c r="F21" s="51">
        <v>92.3</v>
      </c>
      <c r="G21" s="50">
        <v>27.88</v>
      </c>
      <c r="H21" s="50">
        <v>-15.47</v>
      </c>
      <c r="I21" s="50">
        <v>34.979999999999997</v>
      </c>
      <c r="J21" s="49">
        <f t="shared" si="0"/>
        <v>1.162444E-2</v>
      </c>
      <c r="K21" s="50">
        <f t="shared" si="1"/>
        <v>4.9182663315286879E-4</v>
      </c>
      <c r="L21" s="255">
        <f t="shared" si="2"/>
        <v>-575.92600000000004</v>
      </c>
      <c r="M21" s="279">
        <f t="shared" si="3"/>
        <v>44.408000000000001</v>
      </c>
      <c r="N21" s="51">
        <f>Combustion_Chaud4!C62/100</f>
        <v>2.0000000000000001E-4</v>
      </c>
      <c r="O21" s="50">
        <f t="shared" si="4"/>
        <v>97.206232259530026</v>
      </c>
      <c r="P21" s="52">
        <f t="shared" si="7"/>
        <v>8.6513546710981701E-2</v>
      </c>
      <c r="Q21" s="285"/>
      <c r="R21" s="50">
        <f t="shared" si="5"/>
        <v>97.206232259530026</v>
      </c>
      <c r="S21" s="282">
        <f t="shared" si="8"/>
        <v>0</v>
      </c>
      <c r="T21" s="285"/>
      <c r="U21" s="50">
        <f t="shared" si="6"/>
        <v>94.449032339530021</v>
      </c>
      <c r="V21" s="282">
        <f t="shared" si="9"/>
        <v>0</v>
      </c>
    </row>
    <row r="22" spans="1:22" ht="15.6">
      <c r="A22" s="53" t="s">
        <v>320</v>
      </c>
      <c r="B22" s="19" t="s">
        <v>292</v>
      </c>
      <c r="C22" s="284">
        <v>72.148780000000002</v>
      </c>
      <c r="D22" s="283">
        <v>12</v>
      </c>
      <c r="E22" s="286">
        <v>-3531520</v>
      </c>
      <c r="F22" s="288">
        <f>F23</f>
        <v>114.8</v>
      </c>
      <c r="G22" s="287">
        <f>G23</f>
        <v>34.090000000000003</v>
      </c>
      <c r="H22" s="287">
        <f>H23</f>
        <v>-18.989999999999998</v>
      </c>
      <c r="I22" s="287">
        <f>I23</f>
        <v>42.26</v>
      </c>
      <c r="J22" s="49">
        <f t="shared" si="0"/>
        <v>0</v>
      </c>
      <c r="K22" s="50">
        <f t="shared" si="1"/>
        <v>0</v>
      </c>
      <c r="L22" s="255">
        <f t="shared" si="2"/>
        <v>0</v>
      </c>
      <c r="M22" s="279">
        <f t="shared" si="3"/>
        <v>0</v>
      </c>
      <c r="N22" s="51">
        <f>Combustion_Chaud4!C63/100</f>
        <v>0</v>
      </c>
      <c r="O22" s="50">
        <f t="shared" si="4"/>
        <v>120.79880684203513</v>
      </c>
      <c r="P22" s="52">
        <f t="shared" si="7"/>
        <v>0</v>
      </c>
      <c r="Q22" s="285"/>
      <c r="R22" s="50">
        <f t="shared" si="5"/>
        <v>120.79880684203513</v>
      </c>
      <c r="S22" s="282">
        <f t="shared" si="8"/>
        <v>0</v>
      </c>
      <c r="T22" s="285"/>
      <c r="U22" s="50">
        <f t="shared" si="6"/>
        <v>117.42761780203513</v>
      </c>
      <c r="V22" s="282">
        <f t="shared" si="9"/>
        <v>0</v>
      </c>
    </row>
    <row r="23" spans="1:22" ht="15.6">
      <c r="A23" s="53" t="s">
        <v>291</v>
      </c>
      <c r="B23" s="19" t="s">
        <v>290</v>
      </c>
      <c r="C23" s="284">
        <f>C22</f>
        <v>72.148780000000002</v>
      </c>
      <c r="D23" s="283">
        <v>12</v>
      </c>
      <c r="E23" s="286">
        <v>-3538450</v>
      </c>
      <c r="F23" s="51">
        <v>114.8</v>
      </c>
      <c r="G23" s="50">
        <v>34.090000000000003</v>
      </c>
      <c r="H23" s="50">
        <v>-18.989999999999998</v>
      </c>
      <c r="I23" s="50">
        <v>42.26</v>
      </c>
      <c r="J23" s="49">
        <f t="shared" si="0"/>
        <v>0</v>
      </c>
      <c r="K23" s="50">
        <f t="shared" si="1"/>
        <v>0</v>
      </c>
      <c r="L23" s="255">
        <f t="shared" si="2"/>
        <v>0</v>
      </c>
      <c r="M23" s="279">
        <f t="shared" si="3"/>
        <v>0</v>
      </c>
      <c r="N23" s="51">
        <f>Combustion_Chaud4!C64/100</f>
        <v>0</v>
      </c>
      <c r="O23" s="50">
        <f t="shared" si="4"/>
        <v>120.79880684203513</v>
      </c>
      <c r="P23" s="52">
        <f t="shared" si="7"/>
        <v>0</v>
      </c>
      <c r="Q23" s="285"/>
      <c r="R23" s="50">
        <f t="shared" si="5"/>
        <v>120.79880684203513</v>
      </c>
      <c r="S23" s="282">
        <f t="shared" si="8"/>
        <v>0</v>
      </c>
      <c r="T23" s="285"/>
      <c r="U23" s="50">
        <f t="shared" si="6"/>
        <v>117.42761780203513</v>
      </c>
      <c r="V23" s="282">
        <f t="shared" si="9"/>
        <v>0</v>
      </c>
    </row>
    <row r="24" spans="1:22" ht="15.6">
      <c r="A24" s="53" t="s">
        <v>289</v>
      </c>
      <c r="B24" s="19" t="s">
        <v>288</v>
      </c>
      <c r="C24" s="284">
        <v>86.175359999999998</v>
      </c>
      <c r="D24" s="283">
        <v>14</v>
      </c>
      <c r="E24" s="282">
        <v>-4198060</v>
      </c>
      <c r="F24" s="51">
        <v>137.44</v>
      </c>
      <c r="G24" s="50">
        <v>40.85</v>
      </c>
      <c r="H24" s="50">
        <v>-23.92</v>
      </c>
      <c r="I24" s="50">
        <v>57.66</v>
      </c>
      <c r="J24" s="49">
        <f t="shared" si="0"/>
        <v>0</v>
      </c>
      <c r="K24" s="50">
        <f t="shared" si="1"/>
        <v>0</v>
      </c>
      <c r="L24" s="255">
        <f t="shared" si="2"/>
        <v>0</v>
      </c>
      <c r="M24" s="279">
        <f t="shared" si="3"/>
        <v>0</v>
      </c>
      <c r="N24" s="51">
        <f>Combustion_Chaud4!C65/100</f>
        <v>0</v>
      </c>
      <c r="O24" s="50">
        <f t="shared" si="4"/>
        <v>144.62466696263243</v>
      </c>
      <c r="P24" s="52">
        <f t="shared" si="7"/>
        <v>0</v>
      </c>
      <c r="Q24" s="285"/>
      <c r="R24" s="50">
        <f t="shared" si="5"/>
        <v>144.62466696263243</v>
      </c>
      <c r="S24" s="282">
        <f t="shared" si="8"/>
        <v>0</v>
      </c>
      <c r="T24" s="285"/>
      <c r="U24" s="50">
        <f t="shared" si="6"/>
        <v>140.58727632263245</v>
      </c>
      <c r="V24" s="282">
        <f t="shared" si="9"/>
        <v>0</v>
      </c>
    </row>
    <row r="25" spans="1:22" ht="15.6">
      <c r="A25" s="53" t="s">
        <v>102</v>
      </c>
      <c r="B25" s="19" t="s">
        <v>103</v>
      </c>
      <c r="C25" s="284">
        <v>28.013400000000001</v>
      </c>
      <c r="D25" s="283">
        <v>0</v>
      </c>
      <c r="E25" s="282">
        <v>0</v>
      </c>
      <c r="F25" s="51">
        <v>29</v>
      </c>
      <c r="G25" s="50">
        <v>0.21990000000000001</v>
      </c>
      <c r="H25" s="50">
        <v>0.57230000000000003</v>
      </c>
      <c r="I25" s="50">
        <v>-2.871</v>
      </c>
      <c r="J25" s="49">
        <f t="shared" si="0"/>
        <v>0.51544656</v>
      </c>
      <c r="K25" s="50">
        <f t="shared" si="1"/>
        <v>2.1808392161259224E-2</v>
      </c>
      <c r="L25" s="255">
        <f t="shared" si="2"/>
        <v>0</v>
      </c>
      <c r="M25" s="279">
        <f t="shared" si="3"/>
        <v>0</v>
      </c>
      <c r="N25" s="51">
        <f>Combustion_Chaud4!C66/100</f>
        <v>1.84E-2</v>
      </c>
      <c r="O25" s="50">
        <f t="shared" si="4"/>
        <v>29.040906861332303</v>
      </c>
      <c r="P25" s="52">
        <f t="shared" si="7"/>
        <v>2.3778694538058889</v>
      </c>
      <c r="Q25" s="51">
        <f>Combustion_Chaud4!G87</f>
        <v>7.4501097253831423</v>
      </c>
      <c r="R25" s="50">
        <f t="shared" si="5"/>
        <v>29.040906861332303</v>
      </c>
      <c r="S25" s="282">
        <f t="shared" si="8"/>
        <v>962.79284475493216</v>
      </c>
      <c r="T25" s="51">
        <f>Combustion_Chaud4!L77</f>
        <v>7.4501097253831423</v>
      </c>
      <c r="U25" s="50">
        <f t="shared" si="6"/>
        <v>29.017783745332302</v>
      </c>
      <c r="V25" s="282">
        <f t="shared" si="9"/>
        <v>-3361.6872134420669</v>
      </c>
    </row>
    <row r="26" spans="1:22">
      <c r="A26" s="55" t="s">
        <v>104</v>
      </c>
      <c r="B26" s="56" t="s">
        <v>105</v>
      </c>
      <c r="C26" s="281">
        <v>4.0026020000000004</v>
      </c>
      <c r="D26" s="280">
        <v>0</v>
      </c>
      <c r="E26" s="275">
        <v>0</v>
      </c>
      <c r="F26" s="59">
        <v>20.8</v>
      </c>
      <c r="G26" s="60">
        <v>0</v>
      </c>
      <c r="H26" s="60">
        <v>0</v>
      </c>
      <c r="I26" s="60">
        <v>0</v>
      </c>
      <c r="J26" s="61">
        <f t="shared" si="0"/>
        <v>1.2007806E-3</v>
      </c>
      <c r="K26" s="60">
        <f t="shared" si="1"/>
        <v>5.0804673571654341E-5</v>
      </c>
      <c r="L26" s="252">
        <f t="shared" si="2"/>
        <v>0</v>
      </c>
      <c r="M26" s="279">
        <f t="shared" si="3"/>
        <v>0</v>
      </c>
      <c r="N26" s="59">
        <f>Combustion_Chaud4!C67/100</f>
        <v>2.9999999999999997E-4</v>
      </c>
      <c r="O26" s="60">
        <f t="shared" si="4"/>
        <v>20.8</v>
      </c>
      <c r="P26" s="278">
        <f t="shared" si="7"/>
        <v>2.7767999999999994E-2</v>
      </c>
      <c r="Q26" s="277"/>
      <c r="R26" s="60">
        <f t="shared" si="5"/>
        <v>20.8</v>
      </c>
      <c r="S26" s="275">
        <f t="shared" si="8"/>
        <v>0</v>
      </c>
      <c r="T26" s="276">
        <f>L80</f>
        <v>2.9999999999999997E-4</v>
      </c>
      <c r="U26" s="60">
        <f t="shared" si="6"/>
        <v>20.8</v>
      </c>
      <c r="V26" s="275">
        <f t="shared" si="9"/>
        <v>-9.7032000000000007E-2</v>
      </c>
    </row>
    <row r="27" spans="1:22">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f>SUM(Q11:Q26)</f>
        <v>9.4420021956276443</v>
      </c>
      <c r="R27" s="63"/>
      <c r="S27" s="269">
        <f>SUM(S11:S26)</f>
        <v>1706.460562812983</v>
      </c>
      <c r="T27" s="64">
        <f>SUM(T11:T26)</f>
        <v>10.434002195627643</v>
      </c>
      <c r="U27" s="63"/>
      <c r="V27" s="269">
        <f>SUM(V11:V26)</f>
        <v>-3903.8528152104623</v>
      </c>
    </row>
    <row r="28" spans="1:22">
      <c r="A28" s="38" t="s">
        <v>319</v>
      </c>
      <c r="B28" s="268">
        <v>15.55</v>
      </c>
      <c r="C28" s="38" t="s">
        <v>318</v>
      </c>
      <c r="D28" s="38" t="s">
        <v>195</v>
      </c>
      <c r="E28" s="268">
        <v>14.73</v>
      </c>
      <c r="F28" s="19" t="s">
        <v>317</v>
      </c>
    </row>
    <row r="29" spans="1:22">
      <c r="A29" s="38"/>
      <c r="B29" s="267">
        <f>B28+273.15</f>
        <v>288.7</v>
      </c>
      <c r="C29" s="38" t="s">
        <v>316</v>
      </c>
      <c r="D29" s="38"/>
      <c r="E29" s="266">
        <f>E28/0.145038*1000</f>
        <v>101559.59127952674</v>
      </c>
      <c r="F29" s="19" t="s">
        <v>155</v>
      </c>
      <c r="J29" s="1949" t="s">
        <v>315</v>
      </c>
      <c r="K29" s="1950"/>
      <c r="L29" s="1951"/>
    </row>
    <row r="30" spans="1:22">
      <c r="A30" s="38" t="s">
        <v>314</v>
      </c>
      <c r="J30" s="265" t="s">
        <v>313</v>
      </c>
      <c r="K30" s="264" t="s">
        <v>312</v>
      </c>
      <c r="L30" s="263"/>
      <c r="N30" s="23"/>
      <c r="U30" s="24"/>
      <c r="V30" s="24"/>
    </row>
    <row r="31" spans="1:22">
      <c r="D31" s="23"/>
      <c r="J31" s="262">
        <f>K31-M27/1000</f>
        <v>795.48824120000018</v>
      </c>
      <c r="K31" s="261">
        <f>ABS(L27/1000)</f>
        <v>882.99864600000012</v>
      </c>
      <c r="L31" s="66" t="s">
        <v>107</v>
      </c>
    </row>
    <row r="32" spans="1:22">
      <c r="A32" s="38" t="s">
        <v>311</v>
      </c>
      <c r="B32" s="37">
        <v>8.3144621000000001</v>
      </c>
      <c r="C32" s="19" t="s">
        <v>310</v>
      </c>
      <c r="J32" s="256">
        <f>J31/(J27/1000)</f>
        <v>47547.797336725132</v>
      </c>
      <c r="K32" s="255">
        <f>K31/(J27/1000)</f>
        <v>52778.455411580377</v>
      </c>
      <c r="L32" s="67" t="s">
        <v>108</v>
      </c>
    </row>
    <row r="33" spans="1:13" ht="15.6">
      <c r="F33" s="24"/>
      <c r="I33" s="23"/>
      <c r="J33" s="260">
        <f>(J32/1000)*K27</f>
        <v>33.656873224180529</v>
      </c>
      <c r="K33" s="259">
        <f>(K32/1000)*K27</f>
        <v>37.359412680586914</v>
      </c>
      <c r="L33" s="67" t="s">
        <v>109</v>
      </c>
      <c r="M33" s="19" t="s">
        <v>303</v>
      </c>
    </row>
    <row r="34" spans="1:13">
      <c r="A34" s="26" t="s">
        <v>309</v>
      </c>
      <c r="F34" s="24"/>
      <c r="I34" s="23"/>
      <c r="J34" s="258"/>
      <c r="K34" s="257"/>
      <c r="L34" s="67"/>
    </row>
    <row r="35" spans="1:13" ht="15.6">
      <c r="A35" s="254" t="s">
        <v>308</v>
      </c>
      <c r="F35" s="24"/>
      <c r="I35" s="24"/>
      <c r="J35" s="256">
        <f>(J33*1000)/1.055056*0.02831685</f>
        <v>903.32326488654292</v>
      </c>
      <c r="K35" s="255">
        <f>(K33*1000)/1.055056*0.02831685</f>
        <v>1002.696430297802</v>
      </c>
      <c r="L35" s="67" t="s">
        <v>307</v>
      </c>
      <c r="M35" s="19" t="s">
        <v>303</v>
      </c>
    </row>
    <row r="36" spans="1:13" ht="15.6">
      <c r="A36" s="254" t="s">
        <v>306</v>
      </c>
      <c r="J36" s="256">
        <f>(J32/1.055056)*0.4535924</f>
        <v>20441.871814082628</v>
      </c>
      <c r="K36" s="255">
        <f>(K32/1.055056)*0.4535924</f>
        <v>22690.649840796821</v>
      </c>
      <c r="L36" s="67" t="s">
        <v>305</v>
      </c>
    </row>
    <row r="37" spans="1:13">
      <c r="A37" s="254"/>
      <c r="J37" s="253">
        <f>J35/7.480519</f>
        <v>120.75676365323621</v>
      </c>
      <c r="K37" s="252">
        <f>K35/7.480519</f>
        <v>134.04102446605668</v>
      </c>
      <c r="L37" s="70" t="s">
        <v>304</v>
      </c>
      <c r="M37" s="19" t="s">
        <v>303</v>
      </c>
    </row>
    <row r="39" spans="1:13">
      <c r="B39" s="23"/>
      <c r="F39" s="38"/>
      <c r="H39" s="71"/>
    </row>
    <row r="40" spans="1:13">
      <c r="B40" s="23"/>
      <c r="F40" s="72" t="s">
        <v>112</v>
      </c>
      <c r="H40" s="38"/>
    </row>
    <row r="41" spans="1:13">
      <c r="B41" s="23"/>
      <c r="E41" s="73" t="s">
        <v>102</v>
      </c>
      <c r="F41" s="251">
        <v>0.78995048751598307</v>
      </c>
      <c r="H41" s="38"/>
    </row>
    <row r="42" spans="1:13">
      <c r="B42" s="23"/>
      <c r="E42" s="73" t="s">
        <v>88</v>
      </c>
      <c r="F42" s="251">
        <f>1-F41</f>
        <v>0.21004951248401693</v>
      </c>
      <c r="G42" s="74"/>
      <c r="H42" s="38"/>
    </row>
    <row r="43" spans="1:13">
      <c r="A43" s="26" t="s">
        <v>113</v>
      </c>
      <c r="B43" s="23"/>
      <c r="E43" s="73" t="s">
        <v>114</v>
      </c>
      <c r="F43" s="251">
        <v>0</v>
      </c>
      <c r="G43" s="74"/>
      <c r="H43" s="38"/>
    </row>
    <row r="44" spans="1:13">
      <c r="B44" s="23"/>
      <c r="F44" s="74"/>
      <c r="G44" s="74"/>
      <c r="H44" s="75"/>
    </row>
    <row r="45" spans="1:13" ht="16.2" thickBot="1">
      <c r="B45" s="23"/>
      <c r="G45" s="68"/>
      <c r="H45" s="76"/>
    </row>
    <row r="46" spans="1:13">
      <c r="A46" s="1929" t="s">
        <v>302</v>
      </c>
      <c r="B46" s="1930"/>
      <c r="C46" s="1930"/>
      <c r="D46" s="1930"/>
      <c r="E46" s="1930"/>
      <c r="F46" s="1930"/>
      <c r="G46" s="1930"/>
      <c r="H46" s="1930"/>
      <c r="I46" s="1930"/>
      <c r="J46" s="250"/>
    </row>
    <row r="47" spans="1:13">
      <c r="A47" s="77"/>
      <c r="B47" s="37"/>
      <c r="C47" s="37"/>
      <c r="D47" s="37"/>
      <c r="E47" s="37"/>
      <c r="J47" s="248"/>
    </row>
    <row r="48" spans="1:13">
      <c r="A48" s="79"/>
      <c r="B48" s="24"/>
      <c r="C48" s="27" t="s">
        <v>115</v>
      </c>
      <c r="D48" s="1920" t="s">
        <v>301</v>
      </c>
      <c r="E48" s="1921"/>
      <c r="F48" s="1921"/>
      <c r="G48" s="1921"/>
      <c r="H48" s="1937"/>
      <c r="I48" s="249" t="s">
        <v>287</v>
      </c>
      <c r="J48" s="248"/>
    </row>
    <row r="49" spans="1:9" ht="15.6">
      <c r="A49" s="79"/>
      <c r="B49" s="24"/>
      <c r="C49" s="247" t="s">
        <v>300</v>
      </c>
      <c r="D49" s="35" t="s">
        <v>116</v>
      </c>
      <c r="E49" s="37" t="s">
        <v>117</v>
      </c>
      <c r="F49" s="37" t="s">
        <v>105</v>
      </c>
      <c r="G49" s="37" t="s">
        <v>118</v>
      </c>
      <c r="H49" s="36" t="s">
        <v>119</v>
      </c>
      <c r="I49" s="80" t="s">
        <v>120</v>
      </c>
    </row>
    <row r="50" spans="1:9">
      <c r="A50" s="81" t="s">
        <v>121</v>
      </c>
      <c r="B50" s="23"/>
      <c r="C50" s="82"/>
      <c r="D50" s="35"/>
      <c r="E50" s="37"/>
      <c r="F50" s="37"/>
      <c r="G50" s="37"/>
      <c r="H50" s="36"/>
      <c r="I50" s="83"/>
    </row>
    <row r="51" spans="1:9">
      <c r="A51" s="81"/>
      <c r="B51" s="84" t="s">
        <v>119</v>
      </c>
      <c r="C51" s="85">
        <f t="shared" ref="C51:I51" si="10">SUM(C53:C67)</f>
        <v>100.00000000000001</v>
      </c>
      <c r="D51" s="86">
        <f t="shared" si="10"/>
        <v>1.0020999999999998</v>
      </c>
      <c r="E51" s="87">
        <f t="shared" si="10"/>
        <v>1.9705999999999999</v>
      </c>
      <c r="F51" s="87">
        <f t="shared" si="10"/>
        <v>2.9999999999999997E-4</v>
      </c>
      <c r="G51" s="87">
        <f t="shared" si="10"/>
        <v>1.84E-2</v>
      </c>
      <c r="H51" s="88">
        <f t="shared" si="10"/>
        <v>2.9914000000000001</v>
      </c>
      <c r="I51" s="89">
        <f t="shared" si="10"/>
        <v>1.9809999999999999</v>
      </c>
    </row>
    <row r="52" spans="1:9">
      <c r="A52" s="79"/>
      <c r="B52" s="23"/>
      <c r="H52" s="50"/>
      <c r="I52" s="78"/>
    </row>
    <row r="53" spans="1:9" ht="15.6">
      <c r="A53" s="79" t="s">
        <v>88</v>
      </c>
      <c r="B53" s="19" t="s">
        <v>89</v>
      </c>
      <c r="C53" s="50">
        <v>0</v>
      </c>
      <c r="D53" s="90"/>
      <c r="E53" s="90"/>
      <c r="F53" s="90"/>
      <c r="G53" s="90"/>
      <c r="H53" s="50">
        <f t="shared" ref="H53:H67" si="11">SUM(D53:G53)</f>
        <v>0</v>
      </c>
      <c r="I53" s="91">
        <f>-C53/100</f>
        <v>0</v>
      </c>
    </row>
    <row r="54" spans="1:9">
      <c r="A54" s="79" t="s">
        <v>299</v>
      </c>
      <c r="B54" s="19" t="s">
        <v>90</v>
      </c>
      <c r="C54" s="50">
        <v>0</v>
      </c>
      <c r="D54" s="90">
        <f>C54/100</f>
        <v>0</v>
      </c>
      <c r="E54" s="90"/>
      <c r="F54" s="90"/>
      <c r="G54" s="90"/>
      <c r="H54" s="50">
        <f t="shared" si="11"/>
        <v>0</v>
      </c>
      <c r="I54" s="246">
        <f>D54+E54/2</f>
        <v>0</v>
      </c>
    </row>
    <row r="55" spans="1:9" ht="15.6">
      <c r="A55" s="79" t="s">
        <v>284</v>
      </c>
      <c r="B55" s="19" t="s">
        <v>91</v>
      </c>
      <c r="C55" s="50">
        <v>0.64</v>
      </c>
      <c r="D55" s="90">
        <f>C55/100</f>
        <v>6.4000000000000003E-3</v>
      </c>
      <c r="E55" s="90"/>
      <c r="F55" s="90"/>
      <c r="G55" s="90"/>
      <c r="H55" s="50">
        <f t="shared" si="11"/>
        <v>6.4000000000000003E-3</v>
      </c>
      <c r="I55" s="91">
        <v>0</v>
      </c>
    </row>
    <row r="56" spans="1:9" ht="15.6">
      <c r="A56" s="79" t="s">
        <v>92</v>
      </c>
      <c r="B56" s="19" t="s">
        <v>93</v>
      </c>
      <c r="C56" s="50">
        <v>0</v>
      </c>
      <c r="D56" s="90"/>
      <c r="E56" s="90">
        <f>C56/100</f>
        <v>0</v>
      </c>
      <c r="F56" s="90"/>
      <c r="G56" s="90"/>
      <c r="H56" s="50">
        <f t="shared" si="11"/>
        <v>0</v>
      </c>
      <c r="I56" s="91">
        <f>D56+E56/2</f>
        <v>0</v>
      </c>
    </row>
    <row r="57" spans="1:9" ht="15.6">
      <c r="A57" s="79" t="s">
        <v>94</v>
      </c>
      <c r="B57" s="19" t="s">
        <v>298</v>
      </c>
      <c r="C57" s="50">
        <v>0</v>
      </c>
      <c r="D57" s="90"/>
      <c r="E57" s="90">
        <f>C57/100</f>
        <v>0</v>
      </c>
      <c r="F57" s="90"/>
      <c r="G57" s="90"/>
      <c r="H57" s="50">
        <f t="shared" si="11"/>
        <v>0</v>
      </c>
      <c r="I57" s="246">
        <v>0</v>
      </c>
    </row>
    <row r="58" spans="1:9" ht="15.6">
      <c r="A58" s="79" t="s">
        <v>97</v>
      </c>
      <c r="B58" s="19" t="s">
        <v>98</v>
      </c>
      <c r="C58" s="50">
        <v>95.67</v>
      </c>
      <c r="D58" s="90">
        <f>C58/100</f>
        <v>0.95669999999999999</v>
      </c>
      <c r="E58" s="90">
        <f>C58/100*2</f>
        <v>1.9134</v>
      </c>
      <c r="F58" s="90"/>
      <c r="G58" s="90"/>
      <c r="H58" s="50">
        <f t="shared" si="11"/>
        <v>2.8700999999999999</v>
      </c>
      <c r="I58" s="91">
        <f t="shared" ref="I58:I65" si="12">D58+E58/2</f>
        <v>1.9134</v>
      </c>
    </row>
    <row r="59" spans="1:9" ht="15.6">
      <c r="A59" s="79" t="s">
        <v>99</v>
      </c>
      <c r="B59" s="19" t="s">
        <v>297</v>
      </c>
      <c r="C59" s="50">
        <v>1.62</v>
      </c>
      <c r="D59" s="90">
        <f>C59*2/100</f>
        <v>3.2400000000000005E-2</v>
      </c>
      <c r="E59" s="90">
        <f>C59/100*3</f>
        <v>4.8600000000000004E-2</v>
      </c>
      <c r="F59" s="90"/>
      <c r="G59" s="90"/>
      <c r="H59" s="50">
        <f t="shared" si="11"/>
        <v>8.1000000000000016E-2</v>
      </c>
      <c r="I59" s="91">
        <f t="shared" si="12"/>
        <v>5.6700000000000007E-2</v>
      </c>
    </row>
    <row r="60" spans="1:9" ht="15.6">
      <c r="A60" s="79" t="s">
        <v>100</v>
      </c>
      <c r="B60" s="19" t="s">
        <v>296</v>
      </c>
      <c r="C60" s="50">
        <v>0.14000000000000001</v>
      </c>
      <c r="D60" s="90">
        <f>C60*3/100</f>
        <v>4.2000000000000006E-3</v>
      </c>
      <c r="E60" s="90">
        <f>C60/100*4</f>
        <v>5.6000000000000008E-3</v>
      </c>
      <c r="F60" s="90"/>
      <c r="G60" s="90"/>
      <c r="H60" s="50">
        <f t="shared" si="11"/>
        <v>9.8000000000000014E-3</v>
      </c>
      <c r="I60" s="91">
        <f t="shared" si="12"/>
        <v>7.000000000000001E-3</v>
      </c>
    </row>
    <row r="61" spans="1:9" ht="15.6">
      <c r="A61" s="79" t="s">
        <v>295</v>
      </c>
      <c r="B61" s="19" t="s">
        <v>294</v>
      </c>
      <c r="C61" s="50">
        <v>0.04</v>
      </c>
      <c r="D61" s="90">
        <f>C61*4/100</f>
        <v>1.6000000000000001E-3</v>
      </c>
      <c r="E61" s="90">
        <f>C61/100*5</f>
        <v>2E-3</v>
      </c>
      <c r="F61" s="90"/>
      <c r="G61" s="90"/>
      <c r="H61" s="50">
        <f t="shared" si="11"/>
        <v>3.5999999999999999E-3</v>
      </c>
      <c r="I61" s="91">
        <f t="shared" si="12"/>
        <v>2.5999999999999999E-3</v>
      </c>
    </row>
    <row r="62" spans="1:9" ht="15.6">
      <c r="A62" s="79" t="s">
        <v>101</v>
      </c>
      <c r="B62" s="19" t="s">
        <v>294</v>
      </c>
      <c r="C62" s="50">
        <v>0.02</v>
      </c>
      <c r="D62" s="90">
        <f>C62*4/100</f>
        <v>8.0000000000000004E-4</v>
      </c>
      <c r="E62" s="90">
        <f>C62/100*5</f>
        <v>1E-3</v>
      </c>
      <c r="F62" s="90"/>
      <c r="G62" s="90"/>
      <c r="H62" s="50">
        <f t="shared" si="11"/>
        <v>1.8E-3</v>
      </c>
      <c r="I62" s="91">
        <f t="shared" si="12"/>
        <v>1.2999999999999999E-3</v>
      </c>
    </row>
    <row r="63" spans="1:9" ht="15.6">
      <c r="A63" s="53" t="s">
        <v>293</v>
      </c>
      <c r="B63" s="19" t="s">
        <v>292</v>
      </c>
      <c r="C63" s="50">
        <v>0</v>
      </c>
      <c r="D63" s="90">
        <f>C63*5/100</f>
        <v>0</v>
      </c>
      <c r="E63" s="90">
        <f>C63/100*6</f>
        <v>0</v>
      </c>
      <c r="F63" s="90"/>
      <c r="G63" s="90"/>
      <c r="H63" s="50">
        <f t="shared" si="11"/>
        <v>0</v>
      </c>
      <c r="I63" s="91">
        <f t="shared" si="12"/>
        <v>0</v>
      </c>
    </row>
    <row r="64" spans="1:9" ht="15.6">
      <c r="A64" s="53" t="s">
        <v>291</v>
      </c>
      <c r="B64" s="19" t="s">
        <v>290</v>
      </c>
      <c r="C64" s="50">
        <v>0</v>
      </c>
      <c r="D64" s="90">
        <f>C64*5/100</f>
        <v>0</v>
      </c>
      <c r="E64" s="90">
        <f>C64/100*6</f>
        <v>0</v>
      </c>
      <c r="F64" s="90"/>
      <c r="G64" s="90"/>
      <c r="H64" s="50">
        <f t="shared" si="11"/>
        <v>0</v>
      </c>
      <c r="I64" s="91">
        <f t="shared" si="12"/>
        <v>0</v>
      </c>
    </row>
    <row r="65" spans="1:14" ht="15.6">
      <c r="A65" s="53" t="s">
        <v>289</v>
      </c>
      <c r="B65" s="19" t="s">
        <v>288</v>
      </c>
      <c r="C65" s="50">
        <v>0</v>
      </c>
      <c r="D65" s="90">
        <f>C65*6/100</f>
        <v>0</v>
      </c>
      <c r="E65" s="90">
        <f>C65/100*7</f>
        <v>0</v>
      </c>
      <c r="F65" s="90"/>
      <c r="G65" s="90"/>
      <c r="H65" s="50">
        <f t="shared" si="11"/>
        <v>0</v>
      </c>
      <c r="I65" s="91">
        <f t="shared" si="12"/>
        <v>0</v>
      </c>
    </row>
    <row r="66" spans="1:14" ht="15.6">
      <c r="A66" s="79" t="s">
        <v>102</v>
      </c>
      <c r="B66" s="19" t="s">
        <v>103</v>
      </c>
      <c r="C66" s="50">
        <v>1.84</v>
      </c>
      <c r="D66" s="90"/>
      <c r="E66" s="90"/>
      <c r="G66" s="90">
        <f>C66/100</f>
        <v>1.84E-2</v>
      </c>
      <c r="H66" s="50">
        <f t="shared" si="11"/>
        <v>1.84E-2</v>
      </c>
      <c r="I66" s="91">
        <v>0</v>
      </c>
    </row>
    <row r="67" spans="1:14" ht="13.8" thickBot="1">
      <c r="A67" s="92" t="s">
        <v>104</v>
      </c>
      <c r="B67" s="93" t="s">
        <v>105</v>
      </c>
      <c r="C67" s="96">
        <v>0.03</v>
      </c>
      <c r="D67" s="95"/>
      <c r="E67" s="95"/>
      <c r="F67" s="95">
        <f>C67/100</f>
        <v>2.9999999999999997E-4</v>
      </c>
      <c r="G67" s="93"/>
      <c r="H67" s="96">
        <f t="shared" si="11"/>
        <v>2.9999999999999997E-4</v>
      </c>
      <c r="I67" s="97">
        <v>0</v>
      </c>
    </row>
    <row r="68" spans="1:14">
      <c r="B68" s="23"/>
    </row>
    <row r="69" spans="1:14" ht="13.8" thickBot="1">
      <c r="B69" s="23"/>
      <c r="D69" s="37"/>
      <c r="E69" s="98"/>
      <c r="F69" s="98"/>
      <c r="G69" s="98"/>
      <c r="H69" s="98"/>
      <c r="I69" s="98"/>
      <c r="J69" s="98"/>
    </row>
    <row r="70" spans="1:14">
      <c r="A70" s="1929" t="s">
        <v>122</v>
      </c>
      <c r="B70" s="1930"/>
      <c r="C70" s="1930"/>
      <c r="D70" s="1930"/>
      <c r="E70" s="1930"/>
      <c r="F70" s="1930"/>
      <c r="G70" s="1931"/>
      <c r="H70" s="98"/>
      <c r="I70" s="1929" t="s">
        <v>123</v>
      </c>
      <c r="J70" s="1930"/>
      <c r="K70" s="1930"/>
      <c r="L70" s="1930"/>
      <c r="M70" s="1930"/>
      <c r="N70" s="1931"/>
    </row>
    <row r="71" spans="1:14">
      <c r="A71" s="99"/>
      <c r="C71" s="37"/>
      <c r="D71" s="1920" t="s">
        <v>124</v>
      </c>
      <c r="E71" s="1921"/>
      <c r="F71" s="1921"/>
      <c r="G71" s="1922"/>
      <c r="H71" s="98"/>
      <c r="I71" s="79"/>
      <c r="K71" s="37"/>
      <c r="L71" s="1923" t="s">
        <v>124</v>
      </c>
      <c r="M71" s="1924"/>
      <c r="N71" s="1925"/>
    </row>
    <row r="72" spans="1:14" ht="15.6">
      <c r="A72" s="99"/>
      <c r="C72" s="23"/>
      <c r="D72" s="35" t="s">
        <v>125</v>
      </c>
      <c r="E72" s="37" t="s">
        <v>126</v>
      </c>
      <c r="F72" s="37" t="s">
        <v>127</v>
      </c>
      <c r="G72" s="100" t="s">
        <v>128</v>
      </c>
      <c r="H72" s="90"/>
      <c r="I72" s="79"/>
      <c r="K72" s="37"/>
      <c r="L72" s="53"/>
      <c r="M72" s="1924" t="s">
        <v>129</v>
      </c>
      <c r="N72" s="1925"/>
    </row>
    <row r="73" spans="1:14" ht="26.4">
      <c r="A73" s="79"/>
      <c r="C73" s="23"/>
      <c r="D73" s="322"/>
      <c r="E73" s="304" t="b">
        <v>1</v>
      </c>
      <c r="F73" s="304"/>
      <c r="G73" s="101"/>
      <c r="H73" s="90"/>
      <c r="I73" s="77"/>
      <c r="K73" s="37"/>
      <c r="L73" s="245" t="s">
        <v>287</v>
      </c>
      <c r="M73" s="40" t="s">
        <v>130</v>
      </c>
      <c r="N73" s="102" t="s">
        <v>131</v>
      </c>
    </row>
    <row r="74" spans="1:14">
      <c r="A74" s="79"/>
      <c r="C74" s="23"/>
      <c r="D74" s="65" t="str">
        <f>IF(D73,1,"-")</f>
        <v>-</v>
      </c>
      <c r="E74" s="65">
        <f>IF(E73,2,"-")</f>
        <v>2</v>
      </c>
      <c r="F74" s="65" t="str">
        <f>IF(F73,3,"-")</f>
        <v>-</v>
      </c>
      <c r="G74" s="103">
        <f>AVERAGE(D74:F74)</f>
        <v>2</v>
      </c>
      <c r="H74" s="90"/>
      <c r="I74" s="77"/>
      <c r="K74" s="37"/>
      <c r="L74" s="37"/>
      <c r="N74" s="78"/>
    </row>
    <row r="75" spans="1:14">
      <c r="A75" s="81" t="s">
        <v>132</v>
      </c>
      <c r="C75" s="23"/>
      <c r="D75" s="244">
        <f>D83/D80</f>
        <v>0</v>
      </c>
      <c r="E75" s="104">
        <f>'3c. Calculator EEM 2-3'!M30</f>
        <v>0</v>
      </c>
      <c r="F75" s="244" t="e">
        <f>F82/F79</f>
        <v>#DIV/0!</v>
      </c>
      <c r="G75" s="238">
        <f>INDEX(D75:F75,G$74)</f>
        <v>0</v>
      </c>
      <c r="H75" s="244"/>
      <c r="I75" s="81" t="s">
        <v>119</v>
      </c>
      <c r="K75" s="239" t="s">
        <v>286</v>
      </c>
      <c r="L75" s="105">
        <f>SUM(L77:L81)</f>
        <v>10.434002195627643</v>
      </c>
      <c r="M75" s="243">
        <f>SUM(M77:M81)</f>
        <v>1.0000000000000002</v>
      </c>
      <c r="N75" s="242">
        <f>SUM(N77:N81)</f>
        <v>1</v>
      </c>
    </row>
    <row r="76" spans="1:14" ht="14.4">
      <c r="A76" s="79" t="s">
        <v>133</v>
      </c>
      <c r="C76" s="23"/>
      <c r="D76" s="318"/>
      <c r="E76" s="222">
        <f>E82/(E79*($F$41/$F$42)+H51-E51+E82/$F$42)</f>
        <v>0</v>
      </c>
      <c r="F76" s="241" t="e">
        <f>F82/(F79*($F$41/$F$42)+H51-E51+F82/$F$42)</f>
        <v>#DIV/0!</v>
      </c>
      <c r="G76" s="240">
        <f>INDEX(D76:F76,G$74)</f>
        <v>0</v>
      </c>
      <c r="H76" s="106"/>
      <c r="I76" s="77"/>
      <c r="K76" s="239"/>
      <c r="L76" s="37"/>
      <c r="N76" s="78"/>
    </row>
    <row r="77" spans="1:14" ht="14.4">
      <c r="A77" s="79" t="s">
        <v>285</v>
      </c>
      <c r="C77" s="23"/>
      <c r="D77" s="222">
        <f>$N$78</f>
        <v>0.11855650363709885</v>
      </c>
      <c r="E77" s="222">
        <f>N78</f>
        <v>0.11855650363709885</v>
      </c>
      <c r="F77" s="319"/>
      <c r="G77" s="238">
        <f>INDEX(D77:F77,G$74)</f>
        <v>0.11855650363709885</v>
      </c>
      <c r="H77" s="222"/>
      <c r="I77" s="79" t="s">
        <v>102</v>
      </c>
      <c r="K77" s="237" t="s">
        <v>276</v>
      </c>
      <c r="L77" s="50">
        <f>G87</f>
        <v>7.4501097253831423</v>
      </c>
      <c r="M77" s="222">
        <f t="shared" ref="M77:M82" si="13">L77/$L$75</f>
        <v>0.71402225011080622</v>
      </c>
      <c r="N77" s="236">
        <f>L77/($L$75-$L$81)</f>
        <v>0.88140800394588581</v>
      </c>
    </row>
    <row r="78" spans="1:14" ht="14.4">
      <c r="A78" s="79"/>
      <c r="C78" s="23"/>
      <c r="F78" s="37"/>
      <c r="G78" s="107"/>
      <c r="H78" s="106"/>
      <c r="I78" s="79" t="s">
        <v>284</v>
      </c>
      <c r="K78" s="237" t="s">
        <v>276</v>
      </c>
      <c r="L78" s="50">
        <f>D51</f>
        <v>1.0020999999999998</v>
      </c>
      <c r="M78" s="222">
        <f t="shared" si="13"/>
        <v>9.6041766257240063E-2</v>
      </c>
      <c r="N78" s="236">
        <f>L78/($L$75-$L$81)</f>
        <v>0.11855650363709885</v>
      </c>
    </row>
    <row r="79" spans="1:14"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f>G82</f>
        <v>0</v>
      </c>
      <c r="M79" s="222">
        <f t="shared" si="13"/>
        <v>0</v>
      </c>
      <c r="N79" s="236">
        <f>L79/($L$75-$L$81)</f>
        <v>0</v>
      </c>
    </row>
    <row r="80" spans="1:14"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f t="shared" si="13"/>
        <v>2.8752150361413057E-5</v>
      </c>
      <c r="N80" s="236">
        <f>L80/($L$75-$L$81)</f>
        <v>3.5492417015397323E-5</v>
      </c>
    </row>
    <row r="81" spans="1:15" ht="14.4">
      <c r="A81" s="79"/>
      <c r="C81" s="23"/>
      <c r="D81" s="50"/>
      <c r="E81" s="108"/>
      <c r="F81" s="105"/>
      <c r="G81" s="109"/>
      <c r="H81" s="50"/>
      <c r="I81" s="79" t="s">
        <v>135</v>
      </c>
      <c r="K81" s="237" t="s">
        <v>276</v>
      </c>
      <c r="L81" s="50">
        <f>G89+E51</f>
        <v>1.9814924702445025</v>
      </c>
      <c r="M81" s="222">
        <f t="shared" si="13"/>
        <v>0.18990723148159241</v>
      </c>
      <c r="N81" s="236">
        <v>0</v>
      </c>
    </row>
    <row r="82" spans="1:15" ht="14.4">
      <c r="A82" s="79" t="s">
        <v>134</v>
      </c>
      <c r="C82" s="23" t="s">
        <v>276</v>
      </c>
      <c r="D82" s="50">
        <f>D76/(1-D76/$F$42)*(($H$51-$E$51)+D79*$F$41/$F$42)</f>
        <v>0</v>
      </c>
      <c r="E82" s="50">
        <f>E79*$E$75</f>
        <v>0</v>
      </c>
      <c r="F82" s="90" t="e">
        <f>(D51/F77-(H51-E51)-F79*(F41/F42))/(1+F41/F42)</f>
        <v>#DIV/0!</v>
      </c>
      <c r="G82" s="230">
        <f>INDEX(D82:F82,G$74)</f>
        <v>0</v>
      </c>
      <c r="H82" s="50"/>
      <c r="I82" s="110" t="s">
        <v>137</v>
      </c>
      <c r="J82" s="111"/>
      <c r="K82" s="235" t="s">
        <v>276</v>
      </c>
      <c r="L82" s="112">
        <f>L92</f>
        <v>1.9186275921255749</v>
      </c>
      <c r="M82" s="234">
        <f t="shared" si="13"/>
        <v>0.18388223005450138</v>
      </c>
      <c r="N82" s="233">
        <v>1</v>
      </c>
    </row>
    <row r="83" spans="1:15" ht="14.4">
      <c r="A83" s="79" t="s">
        <v>136</v>
      </c>
      <c r="C83" s="23" t="s">
        <v>276</v>
      </c>
      <c r="D83" s="50">
        <f>D82/F42</f>
        <v>0</v>
      </c>
      <c r="E83" s="50">
        <f>E80*$E$75</f>
        <v>0</v>
      </c>
      <c r="F83" s="50" t="e">
        <f>F82/F42</f>
        <v>#DIV/0!</v>
      </c>
      <c r="G83" s="230">
        <f>INDEX(D83:F83,G$74)</f>
        <v>0</v>
      </c>
      <c r="H83" s="50"/>
      <c r="I83" s="79" t="s">
        <v>281</v>
      </c>
      <c r="K83" s="23" t="s">
        <v>138</v>
      </c>
      <c r="L83" s="50"/>
      <c r="M83" s="50">
        <f>M77*$C$12+M78*$C$13+M79*$C$11+M80*$C$26+M81*$C$15</f>
        <v>27.647931772506944</v>
      </c>
      <c r="N83" s="78"/>
      <c r="O83" s="113"/>
    </row>
    <row r="84" spans="1:15">
      <c r="A84" s="79"/>
      <c r="C84" s="23"/>
      <c r="F84" s="37"/>
      <c r="G84" s="109"/>
      <c r="I84" s="79"/>
      <c r="N84" s="78"/>
    </row>
    <row r="85" spans="1:15">
      <c r="A85" s="81" t="s">
        <v>139</v>
      </c>
      <c r="C85" s="37" t="s">
        <v>276</v>
      </c>
      <c r="D85" s="105">
        <f>SUM(D87:D89)</f>
        <v>9.4420021956276443</v>
      </c>
      <c r="E85" s="105">
        <f>SUM(E87:E89)</f>
        <v>9.4420021956276443</v>
      </c>
      <c r="F85" s="105" t="e">
        <f>SUM(F87:F89)</f>
        <v>#DIV/0!</v>
      </c>
      <c r="G85" s="230">
        <f>INDEX(D85:F85,G$74)</f>
        <v>9.4420021956276443</v>
      </c>
      <c r="H85" s="105"/>
      <c r="I85" s="81" t="s">
        <v>140</v>
      </c>
      <c r="K85" s="23"/>
      <c r="L85" s="37" t="str">
        <f>IF(L87&lt;L88,"VRAI","FAUX")</f>
        <v>VRAI</v>
      </c>
      <c r="N85" s="78"/>
    </row>
    <row r="86" spans="1:15">
      <c r="A86" s="79"/>
      <c r="G86" s="114"/>
      <c r="I86" s="79" t="s">
        <v>141</v>
      </c>
      <c r="K86" s="23" t="s">
        <v>142</v>
      </c>
      <c r="L86" s="50">
        <f>E51+G89</f>
        <v>1.9814924702445025</v>
      </c>
      <c r="N86" s="78"/>
    </row>
    <row r="87" spans="1:15" ht="15.6">
      <c r="A87" s="225" t="s">
        <v>102</v>
      </c>
      <c r="C87" s="228" t="s">
        <v>276</v>
      </c>
      <c r="D87" s="232">
        <f>D88*($F$41/$F$42)</f>
        <v>7.4501097253831423</v>
      </c>
      <c r="E87" s="232">
        <f>E88*($F$41/$F$42)</f>
        <v>7.4501097253831423</v>
      </c>
      <c r="F87" s="232" t="e">
        <f>F88*($F$41/$F$42)</f>
        <v>#DIV/0!</v>
      </c>
      <c r="G87" s="230">
        <f>INDEX(D87:F87,G$74)</f>
        <v>7.4501097253831423</v>
      </c>
      <c r="H87" s="50"/>
      <c r="I87" s="79" t="s">
        <v>143</v>
      </c>
      <c r="K87" s="116" t="s">
        <v>264</v>
      </c>
      <c r="L87" s="117">
        <f>U7</f>
        <v>0</v>
      </c>
      <c r="M87" s="24"/>
      <c r="N87" s="78"/>
    </row>
    <row r="88" spans="1:15" ht="15.6">
      <c r="A88" s="225" t="s">
        <v>88</v>
      </c>
      <c r="C88" s="228" t="s">
        <v>276</v>
      </c>
      <c r="D88" s="232">
        <f>D79+D82</f>
        <v>1.9809999999999999</v>
      </c>
      <c r="E88" s="232">
        <f>E79+E82</f>
        <v>1.9809999999999999</v>
      </c>
      <c r="F88" s="231" t="e">
        <f>F79+F82</f>
        <v>#DIV/0!</v>
      </c>
      <c r="G88" s="230">
        <f>INDEX(D88:F88,G$74)</f>
        <v>1.9809999999999999</v>
      </c>
      <c r="H88" s="50"/>
      <c r="I88" s="79" t="s">
        <v>144</v>
      </c>
      <c r="K88" s="116" t="s">
        <v>264</v>
      </c>
      <c r="L88" s="229">
        <f>Combustion_Chaud4!C136</f>
        <v>59.1942344830736</v>
      </c>
      <c r="N88" s="78"/>
    </row>
    <row r="89" spans="1:15" ht="15.6">
      <c r="A89" s="225" t="s">
        <v>145</v>
      </c>
      <c r="C89" s="228" t="s">
        <v>276</v>
      </c>
      <c r="D89" s="227">
        <f>Combustion_Chaud4!$C$115*(Combustion_Chaud4!D80+Combustion_Chaud4!D83)</f>
        <v>1.089247024450259E-2</v>
      </c>
      <c r="E89" s="227">
        <f>Combustion_Chaud4!$C$115*Combustion_Chaud4!E80</f>
        <v>1.089247024450259E-2</v>
      </c>
      <c r="F89" s="227">
        <f>Combustion_Chaud4!$C$115*Combustion_Chaud4!F80</f>
        <v>1.089247024450259E-2</v>
      </c>
      <c r="G89" s="226">
        <f>INDEX(D89:F89,G$74)</f>
        <v>1.089247024450259E-2</v>
      </c>
      <c r="H89" s="50"/>
      <c r="I89" s="79" t="s">
        <v>280</v>
      </c>
      <c r="K89" s="23" t="s">
        <v>279</v>
      </c>
      <c r="L89" s="50">
        <f>($E$29*(M83/1000))/($B$32*(L87+273.15))</f>
        <v>1.2363693512022826</v>
      </c>
      <c r="N89" s="118"/>
    </row>
    <row r="90" spans="1:15" ht="15.6">
      <c r="A90" s="225"/>
      <c r="C90" s="23"/>
      <c r="D90" s="50"/>
      <c r="F90" s="37"/>
      <c r="G90" s="119"/>
      <c r="H90" s="50"/>
      <c r="I90" s="79" t="s">
        <v>278</v>
      </c>
      <c r="K90" s="23" t="s">
        <v>142</v>
      </c>
      <c r="L90" s="224">
        <f>Combustion_Chaud4!C129</f>
        <v>0.23442652355595889</v>
      </c>
      <c r="M90" s="19" t="s">
        <v>146</v>
      </c>
      <c r="N90" s="118"/>
    </row>
    <row r="91" spans="1:15">
      <c r="A91" s="81" t="s">
        <v>147</v>
      </c>
      <c r="C91" s="23"/>
      <c r="D91" s="50"/>
      <c r="F91" s="37"/>
      <c r="G91" s="119"/>
      <c r="H91" s="50"/>
      <c r="I91" s="79" t="s">
        <v>148</v>
      </c>
      <c r="K91" s="23" t="s">
        <v>142</v>
      </c>
      <c r="L91" s="224">
        <f>Combustion_Chaud4!C140</f>
        <v>0.18388223005450138</v>
      </c>
      <c r="M91" s="19" t="s">
        <v>277</v>
      </c>
      <c r="N91" s="118"/>
    </row>
    <row r="92" spans="1:15" ht="15" thickBot="1">
      <c r="A92" s="79" t="s">
        <v>149</v>
      </c>
      <c r="C92" s="23"/>
      <c r="D92" s="223">
        <f>Hypothèses!D26</f>
        <v>0.05</v>
      </c>
      <c r="E92" s="222"/>
      <c r="F92" s="222"/>
      <c r="G92" s="119"/>
      <c r="H92" s="222"/>
      <c r="I92" s="92"/>
      <c r="J92" s="93"/>
      <c r="K92" s="221" t="s">
        <v>276</v>
      </c>
      <c r="L92" s="220">
        <f>Combustion_Chaud4!C141</f>
        <v>1.9186275921255749</v>
      </c>
      <c r="M92" s="93"/>
      <c r="N92" s="94"/>
    </row>
    <row r="93" spans="1:15" ht="16.8" thickBot="1">
      <c r="A93" s="92" t="s">
        <v>144</v>
      </c>
      <c r="B93" s="93"/>
      <c r="C93" s="120" t="s">
        <v>264</v>
      </c>
      <c r="D93" s="219" t="e">
        <f>IF(D92&lt;&gt;0,Combustion_Chaud4!$C$119,"-")</f>
        <v>#N/A</v>
      </c>
      <c r="E93" s="218"/>
      <c r="F93" s="218"/>
      <c r="G93" s="121"/>
      <c r="H93" s="90"/>
    </row>
    <row r="94" spans="1:15" ht="16.2">
      <c r="A94" s="19" t="s">
        <v>275</v>
      </c>
      <c r="B94" s="116"/>
      <c r="C94" s="217">
        <v>28.96546</v>
      </c>
      <c r="D94" s="215" t="s">
        <v>138</v>
      </c>
      <c r="E94" s="216"/>
      <c r="F94" s="122"/>
      <c r="G94" s="98"/>
      <c r="H94" s="98"/>
    </row>
    <row r="95" spans="1:15">
      <c r="G95" s="98"/>
    </row>
    <row r="96" spans="1:15">
      <c r="G96" s="98"/>
    </row>
    <row r="97" spans="1:8">
      <c r="G97" s="98"/>
    </row>
    <row r="98" spans="1:8">
      <c r="G98" s="98"/>
    </row>
    <row r="99" spans="1:8">
      <c r="G99" s="98"/>
    </row>
    <row r="100" spans="1:8">
      <c r="G100" s="98"/>
    </row>
    <row r="101" spans="1:8">
      <c r="A101" s="26" t="s">
        <v>274</v>
      </c>
      <c r="G101" s="98"/>
    </row>
    <row r="102" spans="1:8">
      <c r="G102" s="98"/>
    </row>
    <row r="103" spans="1:8">
      <c r="A103" s="123" t="s">
        <v>150</v>
      </c>
      <c r="B103" s="57"/>
      <c r="C103" s="57"/>
      <c r="D103" s="57"/>
      <c r="E103" s="23"/>
      <c r="F103" s="26" t="s">
        <v>151</v>
      </c>
      <c r="G103" s="26"/>
    </row>
    <row r="104" spans="1:8" ht="15.6">
      <c r="A104" s="19" t="s">
        <v>152</v>
      </c>
      <c r="B104" s="23" t="s">
        <v>273</v>
      </c>
      <c r="C104" s="320">
        <v>0</v>
      </c>
      <c r="D104" s="214" t="s">
        <v>272</v>
      </c>
      <c r="E104" s="23"/>
      <c r="F104" s="37" t="s">
        <v>153</v>
      </c>
      <c r="G104" s="37" t="s">
        <v>154</v>
      </c>
      <c r="H104" s="37" t="s">
        <v>153</v>
      </c>
    </row>
    <row r="105" spans="1:8">
      <c r="A105" s="19" t="s">
        <v>271</v>
      </c>
      <c r="B105" s="23" t="s">
        <v>155</v>
      </c>
      <c r="C105" s="321">
        <v>101325</v>
      </c>
      <c r="D105" s="23"/>
      <c r="E105" s="23"/>
      <c r="F105" s="23">
        <v>0</v>
      </c>
      <c r="G105" s="24">
        <v>610.48326959999986</v>
      </c>
      <c r="H105" s="23">
        <f t="shared" ref="H105:H136" si="14">F105</f>
        <v>0</v>
      </c>
    </row>
    <row r="106" spans="1:8">
      <c r="A106" s="19" t="s">
        <v>270</v>
      </c>
      <c r="B106" s="23" t="s">
        <v>155</v>
      </c>
      <c r="C106" s="213">
        <f>C105*EXP(-Combustion_Chaud4!C94/1000*9.80665/Combustion_Chaud4!B32/Combustion_Chaud4!B29*C104)</f>
        <v>101325</v>
      </c>
      <c r="D106" s="213"/>
      <c r="E106" s="213"/>
      <c r="F106" s="23">
        <v>2</v>
      </c>
      <c r="G106" s="24">
        <v>705.80878559999985</v>
      </c>
      <c r="H106" s="23">
        <f t="shared" si="14"/>
        <v>2</v>
      </c>
    </row>
    <row r="107" spans="1:8">
      <c r="B107" s="23"/>
      <c r="C107" s="23"/>
      <c r="D107" s="213"/>
      <c r="E107" s="23"/>
      <c r="F107" s="23">
        <v>4</v>
      </c>
      <c r="G107" s="24">
        <v>813.39996239999994</v>
      </c>
      <c r="H107" s="23">
        <f t="shared" si="14"/>
        <v>4</v>
      </c>
    </row>
    <row r="108" spans="1:8">
      <c r="A108" s="123" t="s">
        <v>122</v>
      </c>
      <c r="B108" s="57"/>
      <c r="C108" s="57"/>
      <c r="D108" s="57"/>
      <c r="E108" s="23"/>
      <c r="F108" s="23">
        <v>6</v>
      </c>
      <c r="G108" s="24">
        <v>934.98999119999985</v>
      </c>
      <c r="H108" s="23">
        <f t="shared" si="14"/>
        <v>6</v>
      </c>
    </row>
    <row r="109" spans="1:8" ht="15.6">
      <c r="A109" s="19" t="s">
        <v>156</v>
      </c>
      <c r="B109" s="116" t="s">
        <v>264</v>
      </c>
      <c r="C109" s="212">
        <f>R7</f>
        <v>20</v>
      </c>
      <c r="D109" s="23"/>
      <c r="E109" s="23"/>
      <c r="F109" s="23">
        <v>8</v>
      </c>
      <c r="G109" s="24">
        <v>1072.5787079999998</v>
      </c>
      <c r="H109" s="23">
        <f t="shared" si="14"/>
        <v>8</v>
      </c>
    </row>
    <row r="110" spans="1:8">
      <c r="A110" s="19" t="s">
        <v>149</v>
      </c>
      <c r="B110" s="23"/>
      <c r="C110" s="211">
        <f>D92</f>
        <v>0.05</v>
      </c>
      <c r="D110" s="23"/>
      <c r="E110" s="23"/>
      <c r="F110" s="23">
        <v>10</v>
      </c>
      <c r="G110" s="24">
        <v>1227.7659815999998</v>
      </c>
      <c r="H110" s="23">
        <f t="shared" si="14"/>
        <v>10</v>
      </c>
    </row>
    <row r="111" spans="1:8">
      <c r="B111" s="23"/>
      <c r="C111" s="23"/>
      <c r="D111" s="23"/>
      <c r="E111" s="23"/>
      <c r="F111" s="23">
        <v>12</v>
      </c>
      <c r="G111" s="24">
        <v>1402.2850031999999</v>
      </c>
      <c r="H111" s="23">
        <f t="shared" si="14"/>
        <v>12</v>
      </c>
    </row>
    <row r="112" spans="1:8">
      <c r="A112" s="19" t="s">
        <v>157</v>
      </c>
      <c r="B112" s="23" t="s">
        <v>155</v>
      </c>
      <c r="C112" s="24">
        <f>IF(C109&lt;0,0.09*6895,G197)</f>
        <v>2337.8082839999997</v>
      </c>
      <c r="D112" s="23"/>
      <c r="E112" s="23"/>
      <c r="F112" s="23">
        <v>14</v>
      </c>
      <c r="G112" s="24">
        <v>1598.1356087999998</v>
      </c>
      <c r="H112" s="23">
        <f t="shared" si="14"/>
        <v>14</v>
      </c>
    </row>
    <row r="113" spans="1:8">
      <c r="A113" s="19" t="s">
        <v>158</v>
      </c>
      <c r="B113" s="23" t="s">
        <v>155</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159</v>
      </c>
      <c r="B115" s="23" t="s">
        <v>160</v>
      </c>
      <c r="C115" s="50">
        <f>C113/(C106-C113)</f>
        <v>1.1549510674429225E-3</v>
      </c>
      <c r="D115" s="23"/>
      <c r="E115" s="23"/>
      <c r="F115" s="23">
        <v>20</v>
      </c>
      <c r="G115" s="24">
        <v>2337.8082839999997</v>
      </c>
      <c r="H115" s="23">
        <f t="shared" si="14"/>
        <v>20</v>
      </c>
    </row>
    <row r="116" spans="1:8">
      <c r="A116" s="19" t="s">
        <v>159</v>
      </c>
      <c r="B116" s="23" t="s">
        <v>161</v>
      </c>
      <c r="C116" s="50">
        <f>C115*Combustion_Chaud4!$C$15/Combustion_Chaud4!$C$94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162</v>
      </c>
      <c r="B118" s="23" t="s">
        <v>160</v>
      </c>
      <c r="C118" s="50">
        <f>C113/C106</f>
        <v>1.153618694300518E-3</v>
      </c>
      <c r="D118" s="23"/>
      <c r="E118" s="23"/>
      <c r="F118" s="23">
        <v>26</v>
      </c>
      <c r="G118" s="24">
        <v>3360.9243815999998</v>
      </c>
      <c r="H118" s="23">
        <f t="shared" si="14"/>
        <v>26</v>
      </c>
    </row>
    <row r="119" spans="1:8" ht="15.6">
      <c r="A119" s="19" t="s">
        <v>163</v>
      </c>
      <c r="B119" s="116" t="s">
        <v>264</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123</v>
      </c>
      <c r="B121" s="57"/>
      <c r="C121" s="57"/>
      <c r="D121" s="57"/>
      <c r="E121" s="23"/>
      <c r="F121" s="23">
        <v>32</v>
      </c>
      <c r="G121" s="24">
        <v>4754.6767511999988</v>
      </c>
      <c r="H121" s="23">
        <f t="shared" si="14"/>
        <v>32</v>
      </c>
    </row>
    <row r="122" spans="1:8" ht="15.6">
      <c r="A122" s="19" t="s">
        <v>156</v>
      </c>
      <c r="B122" s="116" t="s">
        <v>264</v>
      </c>
      <c r="C122" s="117">
        <f>U7</f>
        <v>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164</v>
      </c>
      <c r="B124" s="23" t="s">
        <v>86</v>
      </c>
      <c r="C124" s="301">
        <f>Combustion_Chaud4!L75</f>
        <v>10.434002195627643</v>
      </c>
      <c r="D124" s="23"/>
      <c r="E124" s="23"/>
      <c r="F124" s="23">
        <v>38</v>
      </c>
      <c r="G124" s="24">
        <v>6625.0567007999998</v>
      </c>
      <c r="H124" s="23">
        <f t="shared" si="14"/>
        <v>38</v>
      </c>
    </row>
    <row r="125" spans="1:8" ht="15.6">
      <c r="A125" s="19" t="s">
        <v>269</v>
      </c>
      <c r="B125" s="23" t="s">
        <v>86</v>
      </c>
      <c r="C125" s="302">
        <f>Combustion_Chaud4!L86</f>
        <v>1.9814924702445025</v>
      </c>
      <c r="D125" s="124" t="s">
        <v>165</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166</v>
      </c>
      <c r="B127" s="23" t="s">
        <v>155</v>
      </c>
      <c r="C127" s="24">
        <f>C132*C106</f>
        <v>19242.350229872351</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267</v>
      </c>
      <c r="B129" s="23" t="s">
        <v>160</v>
      </c>
      <c r="C129" s="50">
        <f>C125/(C124-C125)</f>
        <v>0.23442652355595889</v>
      </c>
      <c r="D129" s="37" t="s">
        <v>268</v>
      </c>
      <c r="E129" s="23"/>
      <c r="F129" s="23">
        <v>48</v>
      </c>
      <c r="G129" s="24">
        <v>11160.418103999998</v>
      </c>
      <c r="H129" s="23">
        <f t="shared" si="14"/>
        <v>48</v>
      </c>
    </row>
    <row r="130" spans="1:8">
      <c r="A130" s="19" t="s">
        <v>267</v>
      </c>
      <c r="B130" s="23" t="s">
        <v>161</v>
      </c>
      <c r="C130" s="50">
        <f>C129*Combustion_Chaud4!$C$15/D130</f>
        <v>0.17430557114648773</v>
      </c>
      <c r="D130" s="125">
        <f>(Combustion_Chaud4!M77*Combustion_Chaud4!$C$25+Combustion_Chaud4!M78*Combustion_Chaud4!$C$13+Combustion_Chaud4!M79*Combustion_Chaud4!$C$11+Combustion_Chaud4!M80*Combustion_Chaud4!$C$26)</f>
        <v>24.229056096766609</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266</v>
      </c>
      <c r="B132" s="23" t="s">
        <v>160</v>
      </c>
      <c r="C132" s="50">
        <f>C125/C124</f>
        <v>0.18990723148159241</v>
      </c>
      <c r="D132" s="23"/>
      <c r="E132" s="23"/>
      <c r="F132" s="23">
        <v>60</v>
      </c>
      <c r="G132" s="24">
        <v>19915.700111999999</v>
      </c>
      <c r="H132" s="23">
        <f t="shared" si="14"/>
        <v>60</v>
      </c>
    </row>
    <row r="133" spans="1:8">
      <c r="A133" s="19" t="s">
        <v>265</v>
      </c>
      <c r="B133" s="23" t="s">
        <v>160</v>
      </c>
      <c r="C133" s="115">
        <f>C132*C124</f>
        <v>1.9814924702445025</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148</v>
      </c>
      <c r="B135" s="23"/>
      <c r="C135" s="37" t="str">
        <f>IF(C136&gt;C122,"VRAI","FAUX")</f>
        <v>VRAI</v>
      </c>
      <c r="D135" s="23"/>
      <c r="E135" s="23"/>
      <c r="F135" s="23">
        <v>75</v>
      </c>
      <c r="G135" s="24">
        <v>38543.505839999998</v>
      </c>
      <c r="H135" s="23">
        <f t="shared" si="14"/>
        <v>75</v>
      </c>
    </row>
    <row r="136" spans="1:8" ht="15.6">
      <c r="A136" s="19" t="s">
        <v>144</v>
      </c>
      <c r="B136" s="116" t="s">
        <v>264</v>
      </c>
      <c r="C136" s="115">
        <f>F209</f>
        <v>59.1942344830736</v>
      </c>
      <c r="D136" s="23"/>
      <c r="E136" s="23"/>
      <c r="F136" s="23">
        <v>80</v>
      </c>
      <c r="G136" s="24">
        <v>47342.784240000001</v>
      </c>
      <c r="H136" s="23">
        <f t="shared" si="14"/>
        <v>80</v>
      </c>
    </row>
    <row r="137" spans="1:8">
      <c r="B137" s="23"/>
      <c r="C137" s="23"/>
      <c r="D137" s="23"/>
      <c r="E137" s="23"/>
      <c r="F137" s="23">
        <v>85</v>
      </c>
      <c r="G137" s="24">
        <v>57808.592639999995</v>
      </c>
      <c r="H137" s="23">
        <f t="shared" ref="H137:H168" si="15">F137</f>
        <v>85</v>
      </c>
    </row>
    <row r="138" spans="1:8">
      <c r="A138" s="124" t="s">
        <v>157</v>
      </c>
      <c r="B138" s="23" t="s">
        <v>155</v>
      </c>
      <c r="C138" s="24">
        <f>G215</f>
        <v>610.48326959999986</v>
      </c>
      <c r="D138" s="23"/>
      <c r="E138" s="23"/>
      <c r="F138" s="23">
        <v>90</v>
      </c>
      <c r="G138" s="24">
        <v>70095.585023999985</v>
      </c>
      <c r="H138" s="23">
        <f t="shared" si="15"/>
        <v>90</v>
      </c>
    </row>
    <row r="139" spans="1:8">
      <c r="A139" s="23" t="s">
        <v>167</v>
      </c>
      <c r="B139" s="23" t="s">
        <v>263</v>
      </c>
      <c r="C139" s="50">
        <f>IF(C135,C138/C106,"-")</f>
        <v>6.0250014270910425E-3</v>
      </c>
      <c r="D139" s="23"/>
      <c r="E139" s="23"/>
      <c r="F139" s="23">
        <v>91</v>
      </c>
      <c r="G139" s="24">
        <v>72800.696519999983</v>
      </c>
      <c r="H139" s="23">
        <f t="shared" si="15"/>
        <v>91</v>
      </c>
    </row>
    <row r="140" spans="1:8">
      <c r="A140" s="23" t="s">
        <v>148</v>
      </c>
      <c r="B140" s="23" t="s">
        <v>263</v>
      </c>
      <c r="C140" s="50">
        <f>IF(C135,C132-C139,0)</f>
        <v>0.18388223005450138</v>
      </c>
      <c r="D140" s="23"/>
      <c r="E140" s="23"/>
      <c r="F140" s="23">
        <v>92</v>
      </c>
      <c r="G140" s="24">
        <v>75592.467575999995</v>
      </c>
      <c r="H140" s="23">
        <f t="shared" si="15"/>
        <v>92</v>
      </c>
    </row>
    <row r="141" spans="1:8">
      <c r="A141" s="23" t="s">
        <v>148</v>
      </c>
      <c r="B141" s="23" t="s">
        <v>86</v>
      </c>
      <c r="C141" s="50">
        <f>IF(C135,C140*C124,0)</f>
        <v>1.9186275921255749</v>
      </c>
      <c r="D141" s="23"/>
      <c r="E141" s="23"/>
      <c r="F141" s="23">
        <v>93</v>
      </c>
      <c r="G141" s="24">
        <v>78473.564639999997</v>
      </c>
      <c r="H141" s="23">
        <f t="shared" si="15"/>
        <v>93</v>
      </c>
    </row>
    <row r="142" spans="1:8">
      <c r="A142" s="23" t="s">
        <v>148</v>
      </c>
      <c r="B142" s="23" t="s">
        <v>168</v>
      </c>
      <c r="C142" s="68">
        <f>IF(C135,C141*Combustion_Chaud4!$C$15,0)</f>
        <v>34.564613287868028</v>
      </c>
      <c r="D142" s="23"/>
      <c r="E142" s="23"/>
      <c r="F142" s="23">
        <v>94</v>
      </c>
      <c r="G142" s="24">
        <v>81446.654159999991</v>
      </c>
      <c r="H142" s="23">
        <f t="shared" si="15"/>
        <v>94</v>
      </c>
    </row>
    <row r="143" spans="1:8">
      <c r="B143" s="23"/>
      <c r="C143" s="23"/>
      <c r="D143" s="23"/>
      <c r="E143" s="23"/>
      <c r="F143" s="23">
        <v>95</v>
      </c>
      <c r="G143" s="24">
        <v>84513.069359999994</v>
      </c>
      <c r="H143" s="23">
        <f t="shared" si="15"/>
        <v>95</v>
      </c>
    </row>
    <row r="144" spans="1:8" ht="14.4">
      <c r="A144" s="19" t="s">
        <v>262</v>
      </c>
      <c r="B144" s="23"/>
      <c r="C144" s="126">
        <f>IF(C135,1,IF(C122&lt;100,C127/C138,"N / A"))</f>
        <v>1</v>
      </c>
      <c r="D144" s="23"/>
      <c r="E144" s="23"/>
      <c r="F144" s="23">
        <v>96</v>
      </c>
      <c r="G144" s="24">
        <v>87675.476687999995</v>
      </c>
      <c r="H144" s="23">
        <f t="shared" si="15"/>
        <v>96</v>
      </c>
    </row>
    <row r="145" spans="2:8">
      <c r="B145" s="23"/>
      <c r="C145" s="23"/>
      <c r="D145" s="23"/>
      <c r="E145" s="23"/>
      <c r="F145" s="23">
        <v>97</v>
      </c>
      <c r="G145" s="24">
        <v>90935.209367999996</v>
      </c>
      <c r="H145" s="23">
        <f t="shared" si="15"/>
        <v>97</v>
      </c>
    </row>
    <row r="146" spans="2:8">
      <c r="B146" s="23"/>
      <c r="C146" s="23"/>
      <c r="D146" s="23"/>
      <c r="E146" s="23"/>
      <c r="F146" s="23">
        <v>98</v>
      </c>
      <c r="G146" s="24">
        <v>94294.933847999986</v>
      </c>
      <c r="H146" s="23">
        <f t="shared" si="15"/>
        <v>98</v>
      </c>
    </row>
    <row r="147" spans="2:8">
      <c r="B147" s="23"/>
      <c r="C147" s="23"/>
      <c r="D147" s="23"/>
      <c r="E147" s="23"/>
      <c r="F147" s="23">
        <v>99</v>
      </c>
      <c r="G147" s="24">
        <v>97757.316575999997</v>
      </c>
      <c r="H147" s="23">
        <f t="shared" si="15"/>
        <v>99</v>
      </c>
    </row>
    <row r="148" spans="2:8">
      <c r="B148" s="23"/>
      <c r="C148" s="23"/>
      <c r="D148" s="23"/>
      <c r="E148" s="23"/>
      <c r="F148" s="23">
        <v>100</v>
      </c>
      <c r="G148" s="24">
        <v>101325.02399999999</v>
      </c>
      <c r="H148" s="23">
        <f t="shared" si="15"/>
        <v>100</v>
      </c>
    </row>
    <row r="149" spans="2:8">
      <c r="B149" s="23"/>
      <c r="C149" s="23"/>
      <c r="D149" s="23"/>
      <c r="E149" s="23"/>
      <c r="F149" s="23">
        <v>105</v>
      </c>
      <c r="G149" s="24">
        <v>120820</v>
      </c>
      <c r="H149" s="23">
        <f t="shared" si="15"/>
        <v>105</v>
      </c>
    </row>
    <row r="150" spans="2:8">
      <c r="B150" s="23"/>
      <c r="C150" s="23"/>
      <c r="D150" s="23"/>
      <c r="E150" s="23"/>
      <c r="F150" s="23">
        <v>110</v>
      </c>
      <c r="G150" s="24">
        <v>143270</v>
      </c>
      <c r="H150" s="23">
        <f t="shared" si="15"/>
        <v>110</v>
      </c>
    </row>
    <row r="151" spans="2:8">
      <c r="B151" s="23"/>
      <c r="C151" s="23"/>
      <c r="D151" s="23"/>
      <c r="E151" s="23"/>
      <c r="F151" s="23">
        <v>115</v>
      </c>
      <c r="G151" s="24">
        <v>169060</v>
      </c>
      <c r="H151" s="23">
        <f t="shared" si="15"/>
        <v>115</v>
      </c>
    </row>
    <row r="152" spans="2:8">
      <c r="B152" s="23"/>
      <c r="C152" s="23"/>
      <c r="D152" s="23"/>
      <c r="E152" s="23"/>
      <c r="F152" s="23">
        <v>120</v>
      </c>
      <c r="G152" s="24">
        <v>198530</v>
      </c>
      <c r="H152" s="23">
        <f t="shared" si="15"/>
        <v>120</v>
      </c>
    </row>
    <row r="153" spans="2:8">
      <c r="B153" s="23"/>
      <c r="C153" s="23"/>
      <c r="D153" s="23"/>
      <c r="E153" s="23"/>
      <c r="F153" s="23">
        <v>125</v>
      </c>
      <c r="G153" s="24">
        <v>232100</v>
      </c>
      <c r="H153" s="23">
        <f t="shared" si="15"/>
        <v>125</v>
      </c>
    </row>
    <row r="154" spans="2:8">
      <c r="B154" s="23"/>
      <c r="C154" s="23"/>
      <c r="D154" s="23"/>
      <c r="E154" s="23"/>
      <c r="F154" s="23">
        <v>130</v>
      </c>
      <c r="G154" s="24">
        <v>270100</v>
      </c>
      <c r="H154" s="23">
        <f t="shared" si="15"/>
        <v>130</v>
      </c>
    </row>
    <row r="155" spans="2:8">
      <c r="B155" s="23"/>
      <c r="C155" s="23"/>
      <c r="D155" s="23"/>
      <c r="E155" s="23"/>
      <c r="F155" s="23">
        <v>135</v>
      </c>
      <c r="G155" s="24">
        <v>313000</v>
      </c>
      <c r="H155" s="23">
        <f t="shared" si="15"/>
        <v>135</v>
      </c>
    </row>
    <row r="156" spans="2:8">
      <c r="B156" s="23"/>
      <c r="C156" s="23"/>
      <c r="D156" s="23"/>
      <c r="E156" s="23"/>
      <c r="F156" s="23">
        <v>140</v>
      </c>
      <c r="G156" s="24">
        <v>361300</v>
      </c>
      <c r="H156" s="23">
        <f t="shared" si="15"/>
        <v>140</v>
      </c>
    </row>
    <row r="157" spans="2:8">
      <c r="B157" s="23"/>
      <c r="C157" s="23"/>
      <c r="D157" s="23"/>
      <c r="E157" s="23"/>
      <c r="F157" s="23">
        <v>145</v>
      </c>
      <c r="G157" s="24">
        <v>415400</v>
      </c>
      <c r="H157" s="23">
        <f t="shared" si="15"/>
        <v>145</v>
      </c>
    </row>
    <row r="158" spans="2:8">
      <c r="B158" s="23"/>
      <c r="C158" s="23"/>
      <c r="D158" s="23"/>
      <c r="E158" s="23"/>
      <c r="F158" s="23">
        <v>150</v>
      </c>
      <c r="G158" s="24">
        <v>475800</v>
      </c>
      <c r="H158" s="23">
        <f t="shared" si="15"/>
        <v>150</v>
      </c>
    </row>
    <row r="159" spans="2:8">
      <c r="B159" s="23"/>
      <c r="C159" s="23"/>
      <c r="D159" s="23"/>
      <c r="E159" s="23"/>
      <c r="F159" s="23">
        <v>155</v>
      </c>
      <c r="G159" s="24">
        <v>543100</v>
      </c>
      <c r="H159" s="23">
        <f t="shared" si="15"/>
        <v>155</v>
      </c>
    </row>
    <row r="160" spans="2:8">
      <c r="B160" s="23"/>
      <c r="C160" s="23"/>
      <c r="D160" s="23"/>
      <c r="E160" s="23"/>
      <c r="F160" s="23">
        <v>160</v>
      </c>
      <c r="G160" s="24">
        <v>617800</v>
      </c>
      <c r="H160" s="23">
        <f t="shared" si="15"/>
        <v>160</v>
      </c>
    </row>
    <row r="161" spans="2:8">
      <c r="B161" s="23"/>
      <c r="C161" s="23"/>
      <c r="D161" s="23"/>
      <c r="E161" s="23"/>
      <c r="F161" s="23">
        <v>165</v>
      </c>
      <c r="G161" s="24">
        <v>700500</v>
      </c>
      <c r="H161" s="23">
        <f t="shared" si="15"/>
        <v>165</v>
      </c>
    </row>
    <row r="162" spans="2:8">
      <c r="B162" s="23"/>
      <c r="C162" s="23"/>
      <c r="D162" s="23"/>
      <c r="E162" s="23"/>
      <c r="F162" s="23">
        <v>170</v>
      </c>
      <c r="G162" s="24">
        <v>791700</v>
      </c>
      <c r="H162" s="23">
        <f t="shared" si="15"/>
        <v>170</v>
      </c>
    </row>
    <row r="163" spans="2:8">
      <c r="B163" s="23"/>
      <c r="C163" s="23"/>
      <c r="D163" s="23"/>
      <c r="E163" s="23"/>
      <c r="F163" s="23">
        <v>175</v>
      </c>
      <c r="G163" s="24">
        <v>892000</v>
      </c>
      <c r="H163" s="23">
        <f t="shared" si="15"/>
        <v>175</v>
      </c>
    </row>
    <row r="164" spans="2:8">
      <c r="B164" s="23"/>
      <c r="C164" s="23"/>
      <c r="D164" s="23"/>
      <c r="E164" s="23"/>
      <c r="F164" s="23">
        <v>180</v>
      </c>
      <c r="G164" s="24">
        <v>1002100</v>
      </c>
      <c r="H164" s="23">
        <f t="shared" si="15"/>
        <v>180</v>
      </c>
    </row>
    <row r="165" spans="2:8">
      <c r="B165" s="23"/>
      <c r="C165" s="23"/>
      <c r="D165" s="23"/>
      <c r="E165" s="23"/>
      <c r="F165" s="23">
        <v>185</v>
      </c>
      <c r="G165" s="24">
        <v>1122700</v>
      </c>
      <c r="H165" s="23">
        <f t="shared" si="15"/>
        <v>185</v>
      </c>
    </row>
    <row r="166" spans="2:8">
      <c r="B166" s="23"/>
      <c r="C166" s="23"/>
      <c r="D166" s="23"/>
      <c r="E166" s="23"/>
      <c r="F166" s="23">
        <v>190</v>
      </c>
      <c r="G166" s="24">
        <v>1254400</v>
      </c>
      <c r="H166" s="23">
        <f t="shared" si="15"/>
        <v>190</v>
      </c>
    </row>
    <row r="167" spans="2:8">
      <c r="B167" s="23"/>
      <c r="C167" s="23"/>
      <c r="D167" s="23"/>
      <c r="E167" s="23"/>
      <c r="F167" s="23">
        <v>195</v>
      </c>
      <c r="G167" s="24">
        <v>1397800</v>
      </c>
      <c r="H167" s="23">
        <f t="shared" si="15"/>
        <v>195</v>
      </c>
    </row>
    <row r="168" spans="2:8">
      <c r="B168" s="23"/>
      <c r="C168" s="23"/>
      <c r="D168" s="23"/>
      <c r="E168" s="23"/>
      <c r="F168" s="23">
        <v>200</v>
      </c>
      <c r="G168" s="24">
        <v>1553800</v>
      </c>
      <c r="H168" s="23">
        <f t="shared" si="15"/>
        <v>200</v>
      </c>
    </row>
    <row r="169" spans="2:8">
      <c r="B169" s="23"/>
      <c r="C169" s="23"/>
      <c r="D169" s="23"/>
      <c r="E169" s="23"/>
      <c r="F169" s="23">
        <v>205</v>
      </c>
      <c r="G169" s="24">
        <v>1723000</v>
      </c>
      <c r="H169" s="23">
        <f t="shared" ref="H169:H192" si="16">F169</f>
        <v>205</v>
      </c>
    </row>
    <row r="170" spans="2:8">
      <c r="B170" s="23"/>
      <c r="C170" s="23"/>
      <c r="D170" s="23"/>
      <c r="E170" s="23"/>
      <c r="F170" s="23">
        <v>210</v>
      </c>
      <c r="G170" s="24">
        <v>1906200</v>
      </c>
      <c r="H170" s="23">
        <f t="shared" si="16"/>
        <v>210</v>
      </c>
    </row>
    <row r="171" spans="2:8">
      <c r="B171" s="23"/>
      <c r="C171" s="23"/>
      <c r="D171" s="23"/>
      <c r="E171" s="23"/>
      <c r="F171" s="23">
        <v>215</v>
      </c>
      <c r="G171" s="24">
        <v>2104000</v>
      </c>
      <c r="H171" s="23">
        <f t="shared" si="16"/>
        <v>215</v>
      </c>
    </row>
    <row r="172" spans="2:8">
      <c r="B172" s="23"/>
      <c r="C172" s="23"/>
      <c r="D172" s="23"/>
      <c r="E172" s="23"/>
      <c r="F172" s="23">
        <v>220</v>
      </c>
      <c r="G172" s="24">
        <v>2318000</v>
      </c>
      <c r="H172" s="23">
        <f t="shared" si="16"/>
        <v>220</v>
      </c>
    </row>
    <row r="173" spans="2:8">
      <c r="B173" s="23"/>
      <c r="C173" s="23"/>
      <c r="D173" s="23"/>
      <c r="E173" s="23"/>
      <c r="F173" s="23">
        <v>225</v>
      </c>
      <c r="G173" s="24">
        <v>2548000</v>
      </c>
      <c r="H173" s="23">
        <f t="shared" si="16"/>
        <v>225</v>
      </c>
    </row>
    <row r="174" spans="2:8">
      <c r="B174" s="23"/>
      <c r="C174" s="23"/>
      <c r="D174" s="23"/>
      <c r="E174" s="23"/>
      <c r="F174" s="23">
        <v>230</v>
      </c>
      <c r="G174" s="24">
        <v>2795000</v>
      </c>
      <c r="H174" s="23">
        <f t="shared" si="16"/>
        <v>230</v>
      </c>
    </row>
    <row r="175" spans="2:8">
      <c r="B175" s="23"/>
      <c r="C175" s="23"/>
      <c r="D175" s="23"/>
      <c r="E175" s="23"/>
      <c r="F175" s="23">
        <v>235</v>
      </c>
      <c r="G175" s="24">
        <v>3060000</v>
      </c>
      <c r="H175" s="23">
        <f t="shared" si="16"/>
        <v>235</v>
      </c>
    </row>
    <row r="176" spans="2:8">
      <c r="B176" s="23"/>
      <c r="C176" s="23"/>
      <c r="D176" s="23"/>
      <c r="E176" s="23"/>
      <c r="F176" s="23">
        <v>240</v>
      </c>
      <c r="G176" s="24">
        <v>3344000</v>
      </c>
      <c r="H176" s="23">
        <f t="shared" si="16"/>
        <v>240</v>
      </c>
    </row>
    <row r="177" spans="2:8">
      <c r="B177" s="23"/>
      <c r="C177" s="23"/>
      <c r="D177" s="23"/>
      <c r="E177" s="23"/>
      <c r="F177" s="23">
        <v>245</v>
      </c>
      <c r="G177" s="24">
        <v>3648000</v>
      </c>
      <c r="H177" s="23">
        <f t="shared" si="16"/>
        <v>245</v>
      </c>
    </row>
    <row r="178" spans="2:8">
      <c r="B178" s="23"/>
      <c r="C178" s="23"/>
      <c r="D178" s="23"/>
      <c r="E178" s="23"/>
      <c r="F178" s="23">
        <v>250</v>
      </c>
      <c r="G178" s="24">
        <v>3973000</v>
      </c>
      <c r="H178" s="23">
        <f t="shared" si="16"/>
        <v>250</v>
      </c>
    </row>
    <row r="179" spans="2:8">
      <c r="B179" s="23"/>
      <c r="C179" s="23"/>
      <c r="D179" s="23"/>
      <c r="E179" s="23"/>
      <c r="F179" s="23">
        <v>255</v>
      </c>
      <c r="G179" s="24">
        <v>4319000</v>
      </c>
      <c r="H179" s="23">
        <f t="shared" si="16"/>
        <v>255</v>
      </c>
    </row>
    <row r="180" spans="2:8">
      <c r="B180" s="23"/>
      <c r="C180" s="23"/>
      <c r="D180" s="23"/>
      <c r="E180" s="23"/>
      <c r="F180" s="23">
        <v>260</v>
      </c>
      <c r="G180" s="24">
        <v>4688000</v>
      </c>
      <c r="H180" s="23">
        <f t="shared" si="16"/>
        <v>260</v>
      </c>
    </row>
    <row r="181" spans="2:8">
      <c r="B181" s="23"/>
      <c r="C181" s="23"/>
      <c r="D181" s="23"/>
      <c r="E181" s="23"/>
      <c r="F181" s="23">
        <v>265</v>
      </c>
      <c r="G181" s="24">
        <v>5081000</v>
      </c>
      <c r="H181" s="23">
        <f t="shared" si="16"/>
        <v>265</v>
      </c>
    </row>
    <row r="182" spans="2:8">
      <c r="B182" s="23"/>
      <c r="C182" s="23"/>
      <c r="D182" s="23"/>
      <c r="E182" s="23"/>
      <c r="F182" s="23">
        <v>270</v>
      </c>
      <c r="G182" s="24">
        <v>5499000</v>
      </c>
      <c r="H182" s="23">
        <f t="shared" si="16"/>
        <v>270</v>
      </c>
    </row>
    <row r="183" spans="2:8">
      <c r="B183" s="23"/>
      <c r="C183" s="23"/>
      <c r="D183" s="23"/>
      <c r="E183" s="23"/>
      <c r="F183" s="23">
        <v>275</v>
      </c>
      <c r="G183" s="24">
        <v>5942000</v>
      </c>
      <c r="H183" s="23">
        <f t="shared" si="16"/>
        <v>275</v>
      </c>
    </row>
    <row r="184" spans="2:8">
      <c r="B184" s="23"/>
      <c r="C184" s="23"/>
      <c r="D184" s="23"/>
      <c r="E184" s="23"/>
      <c r="F184" s="23">
        <v>280</v>
      </c>
      <c r="G184" s="24">
        <v>6412000</v>
      </c>
      <c r="H184" s="23">
        <f t="shared" si="16"/>
        <v>280</v>
      </c>
    </row>
    <row r="185" spans="2:8">
      <c r="B185" s="23"/>
      <c r="C185" s="23"/>
      <c r="D185" s="23"/>
      <c r="E185" s="23"/>
      <c r="F185" s="23">
        <v>285</v>
      </c>
      <c r="G185" s="24">
        <v>6909000</v>
      </c>
      <c r="H185" s="23">
        <f t="shared" si="16"/>
        <v>285</v>
      </c>
    </row>
    <row r="186" spans="2:8">
      <c r="B186" s="23"/>
      <c r="C186" s="23"/>
      <c r="D186" s="23"/>
      <c r="E186" s="23"/>
      <c r="F186" s="23">
        <v>290</v>
      </c>
      <c r="G186" s="24">
        <v>7436000</v>
      </c>
      <c r="H186" s="23">
        <f t="shared" si="16"/>
        <v>290</v>
      </c>
    </row>
    <row r="187" spans="2:8">
      <c r="B187" s="23"/>
      <c r="C187" s="23"/>
      <c r="D187" s="23"/>
      <c r="E187" s="23"/>
      <c r="F187" s="23">
        <v>295</v>
      </c>
      <c r="G187" s="24">
        <v>7993000</v>
      </c>
      <c r="H187" s="23">
        <f t="shared" si="16"/>
        <v>295</v>
      </c>
    </row>
    <row r="188" spans="2:8">
      <c r="B188" s="23"/>
      <c r="C188" s="23"/>
      <c r="D188" s="23"/>
      <c r="E188" s="23"/>
      <c r="F188" s="23">
        <v>300</v>
      </c>
      <c r="G188" s="24">
        <v>8581000</v>
      </c>
      <c r="H188" s="23">
        <f t="shared" si="16"/>
        <v>300</v>
      </c>
    </row>
    <row r="189" spans="2:8">
      <c r="B189" s="23"/>
      <c r="C189" s="23"/>
      <c r="D189" s="23"/>
      <c r="E189" s="23"/>
      <c r="F189" s="23">
        <v>320</v>
      </c>
      <c r="G189" s="23">
        <v>11274000</v>
      </c>
      <c r="H189" s="23">
        <f t="shared" si="16"/>
        <v>320</v>
      </c>
    </row>
    <row r="190" spans="2:8">
      <c r="B190" s="23"/>
      <c r="C190" s="23"/>
      <c r="D190" s="23"/>
      <c r="E190" s="23"/>
      <c r="F190" s="23">
        <v>340</v>
      </c>
      <c r="G190" s="23">
        <v>14586000</v>
      </c>
      <c r="H190" s="23">
        <f t="shared" si="16"/>
        <v>340</v>
      </c>
    </row>
    <row r="191" spans="2:8">
      <c r="B191" s="23"/>
      <c r="C191" s="23"/>
      <c r="D191" s="23"/>
      <c r="E191" s="23"/>
      <c r="F191" s="23">
        <v>360</v>
      </c>
      <c r="G191" s="23">
        <v>18651000</v>
      </c>
      <c r="H191" s="23">
        <f t="shared" si="16"/>
        <v>360</v>
      </c>
    </row>
    <row r="192" spans="2:8">
      <c r="B192" s="23"/>
      <c r="C192" s="23"/>
      <c r="D192" s="23"/>
      <c r="E192" s="23"/>
      <c r="F192" s="24">
        <v>374.14</v>
      </c>
      <c r="G192" s="24">
        <v>22090000</v>
      </c>
      <c r="H192" s="24">
        <f t="shared" si="16"/>
        <v>374.14</v>
      </c>
    </row>
    <row r="193" spans="2:8">
      <c r="B193" s="23"/>
      <c r="C193" s="23"/>
      <c r="D193" s="23"/>
      <c r="E193" s="23"/>
      <c r="F193" s="23"/>
      <c r="G193" s="23"/>
      <c r="H193" s="23"/>
    </row>
    <row r="194" spans="2:8">
      <c r="B194" s="23"/>
      <c r="C194" s="23"/>
      <c r="D194" s="23"/>
      <c r="E194" s="23"/>
      <c r="F194" s="1920" t="s">
        <v>169</v>
      </c>
      <c r="G194" s="1921"/>
      <c r="H194" s="1937"/>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20" t="s">
        <v>172</v>
      </c>
      <c r="G200" s="1921"/>
      <c r="H200" s="1937"/>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20" t="s">
        <v>261</v>
      </c>
      <c r="G206" s="1921"/>
      <c r="H206" s="1937"/>
    </row>
    <row r="207" spans="2:8">
      <c r="B207" s="23"/>
      <c r="C207" s="23"/>
      <c r="D207" s="23"/>
      <c r="E207" s="23"/>
      <c r="F207" s="35" t="s">
        <v>170</v>
      </c>
      <c r="G207" s="37" t="s">
        <v>171</v>
      </c>
      <c r="H207" s="67"/>
    </row>
    <row r="208" spans="2:8">
      <c r="B208" s="23"/>
      <c r="C208" s="23"/>
      <c r="D208" s="23"/>
      <c r="E208" s="23"/>
      <c r="F208" s="49">
        <f>VLOOKUP(G208,$G$105:$H$192,2)</f>
        <v>55</v>
      </c>
      <c r="G208" s="24">
        <f>VLOOKUP(C127,G105:H192,1)</f>
        <v>15737.376096</v>
      </c>
      <c r="H208" s="46">
        <f>MATCH(F208,F105:F192,1)</f>
        <v>27</v>
      </c>
    </row>
    <row r="209" spans="2:8">
      <c r="B209" s="23"/>
      <c r="C209" s="23"/>
      <c r="D209" s="23"/>
      <c r="E209" s="23"/>
      <c r="F209" s="49">
        <f>F208+(G209-G208)/(G210-G208)*(F210-F208)</f>
        <v>59.1942344830736</v>
      </c>
      <c r="G209" s="24">
        <f>C127</f>
        <v>19242.350229872351</v>
      </c>
      <c r="H209" s="46"/>
    </row>
    <row r="210" spans="2:8">
      <c r="B210" s="23"/>
      <c r="C210" s="23"/>
      <c r="D210" s="23"/>
      <c r="E210" s="23"/>
      <c r="F210" s="61">
        <f>INDEX(F105:F192,H210)</f>
        <v>60</v>
      </c>
      <c r="G210" s="69">
        <f>VLOOKUP(F210,F105:G192,2)</f>
        <v>19915.700111999999</v>
      </c>
      <c r="H210" s="58">
        <f>H208+1</f>
        <v>28</v>
      </c>
    </row>
    <row r="211" spans="2:8">
      <c r="B211" s="23"/>
      <c r="C211" s="23"/>
      <c r="D211" s="23"/>
      <c r="E211" s="23"/>
    </row>
    <row r="212" spans="2:8">
      <c r="B212" s="23"/>
      <c r="C212" s="23"/>
      <c r="D212" s="23"/>
      <c r="E212" s="23"/>
      <c r="F212" s="1920" t="s">
        <v>173</v>
      </c>
      <c r="G212" s="1921"/>
      <c r="H212" s="1937"/>
    </row>
    <row r="213" spans="2:8">
      <c r="B213" s="23"/>
      <c r="C213" s="23"/>
      <c r="D213" s="23"/>
      <c r="E213" s="23"/>
      <c r="F213" s="35" t="s">
        <v>170</v>
      </c>
      <c r="G213" s="37" t="s">
        <v>171</v>
      </c>
      <c r="H213" s="67"/>
    </row>
    <row r="214" spans="2:8">
      <c r="B214" s="23"/>
      <c r="C214" s="23"/>
      <c r="D214" s="23"/>
      <c r="E214" s="23"/>
      <c r="F214" s="49">
        <f>VLOOKUP(F215,F105:G192,1)</f>
        <v>0</v>
      </c>
      <c r="G214" s="24">
        <f>VLOOKUP(F214,$F$105:$G$192,2)</f>
        <v>610.48326959999986</v>
      </c>
      <c r="H214" s="46">
        <f>MATCH(F214,F105:F192,1)</f>
        <v>1</v>
      </c>
    </row>
    <row r="215" spans="2:8">
      <c r="B215" s="23"/>
      <c r="C215" s="23"/>
      <c r="D215" s="23"/>
      <c r="E215" s="23"/>
      <c r="F215" s="49">
        <f>C122</f>
        <v>0</v>
      </c>
      <c r="G215" s="24">
        <f>G214+((F215-F214)/(F216-F214))*(G216-G214)</f>
        <v>610.48326959999986</v>
      </c>
      <c r="H215" s="46"/>
    </row>
    <row r="216" spans="2:8">
      <c r="B216" s="23"/>
      <c r="C216" s="23"/>
      <c r="D216" s="23"/>
      <c r="E216" s="23"/>
      <c r="F216" s="61">
        <f>INDEX(F105:F192,H216)</f>
        <v>2</v>
      </c>
      <c r="G216" s="69">
        <f>VLOOKUP(F216,$F$105:$G$192,2)</f>
        <v>705.80878559999985</v>
      </c>
      <c r="H216" s="58">
        <f>H214+1</f>
        <v>2</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mergeCells count="25">
    <mergeCell ref="J5:M5"/>
    <mergeCell ref="N5:V5"/>
    <mergeCell ref="J6:M6"/>
    <mergeCell ref="N6:P6"/>
    <mergeCell ref="Q6:S6"/>
    <mergeCell ref="T6:V6"/>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M72:N72"/>
    <mergeCell ref="F194:H194"/>
    <mergeCell ref="F200:H200"/>
    <mergeCell ref="F206:H206"/>
    <mergeCell ref="F212:H21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AB38-71A4-4E1E-A49D-3F71FE46093F}">
  <sheetPr codeName="Feuil711">
    <tabColor theme="8" tint="0.59999389629810485"/>
  </sheetPr>
  <dimension ref="A1:M116"/>
  <sheetViews>
    <sheetView topLeftCell="A81" workbookViewId="0">
      <selection activeCell="Q15" sqref="Q15"/>
    </sheetView>
  </sheetViews>
  <sheetFormatPr baseColWidth="10" defaultColWidth="11.44140625" defaultRowHeight="14.4"/>
  <cols>
    <col min="1" max="1" width="12" customWidth="1"/>
    <col min="2" max="2" width="49.5546875" customWidth="1"/>
    <col min="3" max="8" width="21.21875" customWidth="1"/>
    <col min="11" max="11" width="33.21875" bestFit="1" customWidth="1"/>
  </cols>
  <sheetData>
    <row r="1" spans="1:12">
      <c r="B1" s="140" t="s">
        <v>350</v>
      </c>
      <c r="C1" s="139"/>
      <c r="D1" s="138"/>
      <c r="E1" s="138"/>
      <c r="F1" s="138"/>
      <c r="G1" s="138"/>
      <c r="H1" s="138"/>
    </row>
    <row r="2" spans="1:12">
      <c r="B2" s="4" t="s">
        <v>23</v>
      </c>
      <c r="C2" s="131"/>
      <c r="D2" s="5"/>
      <c r="E2" s="334"/>
      <c r="F2" s="5"/>
      <c r="G2" s="5"/>
      <c r="H2" s="5"/>
    </row>
    <row r="4" spans="1:12">
      <c r="B4" s="141"/>
      <c r="C4" s="142" t="s">
        <v>37</v>
      </c>
      <c r="D4" s="142" t="s">
        <v>0</v>
      </c>
      <c r="E4" s="142" t="s">
        <v>1</v>
      </c>
      <c r="F4" s="142" t="s">
        <v>2</v>
      </c>
      <c r="G4" s="142" t="s">
        <v>3</v>
      </c>
      <c r="H4" s="141" t="s">
        <v>38</v>
      </c>
    </row>
    <row r="5" spans="1:12">
      <c r="B5" s="3"/>
      <c r="C5" s="137"/>
      <c r="D5" s="137"/>
      <c r="E5" s="137"/>
      <c r="F5" s="137"/>
      <c r="G5" s="137"/>
      <c r="H5" s="3"/>
      <c r="K5" s="132" t="s">
        <v>1457</v>
      </c>
      <c r="L5" s="132" t="s">
        <v>397</v>
      </c>
    </row>
    <row r="6" spans="1:12">
      <c r="B6" s="3" t="s">
        <v>376</v>
      </c>
      <c r="C6" s="137"/>
      <c r="D6" s="389" t="str">
        <f>'3c. Calculator EEM 2-3'!G48</f>
        <v>&lt; select &gt;</v>
      </c>
      <c r="E6" s="389" t="str">
        <f>'3c. Calculator EEM 2-3'!I48</f>
        <v>&lt; select &gt;</v>
      </c>
      <c r="F6" s="389" t="str">
        <f>'3c. Calculator EEM 2-3'!K48</f>
        <v>&lt; select &gt;</v>
      </c>
      <c r="G6" s="389" t="str">
        <f>'3c. Calculator EEM 2-3'!M48</f>
        <v>&lt; select &gt;</v>
      </c>
      <c r="H6" s="330"/>
      <c r="K6" s="132" t="s">
        <v>1479</v>
      </c>
      <c r="L6" s="132" t="s">
        <v>379</v>
      </c>
    </row>
    <row r="7" spans="1:12">
      <c r="B7" t="s">
        <v>378</v>
      </c>
      <c r="C7" s="137"/>
      <c r="D7" s="390">
        <f>IF(LOOKUP(D$6,$K$5:$L$8)=$B7,1,0)</f>
        <v>0</v>
      </c>
      <c r="E7" s="390">
        <f t="shared" ref="E7:G9" si="0">IF(LOOKUP(E$6,$K$5:$L$8)=$B7,1,0)</f>
        <v>0</v>
      </c>
      <c r="F7" s="390">
        <f t="shared" si="0"/>
        <v>0</v>
      </c>
      <c r="G7" s="390">
        <f t="shared" si="0"/>
        <v>0</v>
      </c>
      <c r="H7" s="3"/>
      <c r="K7" s="132" t="s">
        <v>14</v>
      </c>
      <c r="L7" s="132" t="s">
        <v>378</v>
      </c>
    </row>
    <row r="8" spans="1:12">
      <c r="B8" t="s">
        <v>377</v>
      </c>
      <c r="C8" s="137"/>
      <c r="D8" s="390">
        <f t="shared" ref="D8:D9" si="1">IF(LOOKUP(D$6,$K$5:$L$8)=$B8,1,0)</f>
        <v>0</v>
      </c>
      <c r="E8" s="390">
        <f t="shared" si="0"/>
        <v>0</v>
      </c>
      <c r="F8" s="390">
        <f t="shared" si="0"/>
        <v>0</v>
      </c>
      <c r="G8" s="390">
        <f t="shared" si="0"/>
        <v>0</v>
      </c>
      <c r="H8" s="3"/>
      <c r="K8" s="132" t="s">
        <v>1480</v>
      </c>
      <c r="L8" s="132" t="s">
        <v>377</v>
      </c>
    </row>
    <row r="9" spans="1:12">
      <c r="B9" t="s">
        <v>379</v>
      </c>
      <c r="C9" s="137"/>
      <c r="D9" s="390">
        <f t="shared" si="1"/>
        <v>0</v>
      </c>
      <c r="E9" s="390">
        <f t="shared" si="0"/>
        <v>0</v>
      </c>
      <c r="F9" s="390">
        <f t="shared" si="0"/>
        <v>0</v>
      </c>
      <c r="G9" s="390">
        <f t="shared" si="0"/>
        <v>0</v>
      </c>
      <c r="H9" s="3"/>
    </row>
    <row r="10" spans="1:12">
      <c r="B10" s="3"/>
      <c r="C10" s="137"/>
      <c r="D10" s="137"/>
      <c r="E10" s="137"/>
      <c r="F10" s="137"/>
      <c r="G10" s="137"/>
      <c r="H10" s="3"/>
    </row>
    <row r="11" spans="1:12">
      <c r="A11" s="560" t="s">
        <v>434</v>
      </c>
      <c r="B11" s="3"/>
      <c r="C11" s="137"/>
      <c r="D11" s="137"/>
      <c r="E11" s="137"/>
      <c r="F11" s="137"/>
      <c r="G11" s="137"/>
      <c r="H11" s="3"/>
    </row>
    <row r="12" spans="1:12">
      <c r="B12" s="356" t="s">
        <v>1082</v>
      </c>
      <c r="C12" s="137"/>
      <c r="D12" s="137"/>
      <c r="E12" s="137"/>
      <c r="F12" s="137"/>
      <c r="G12" s="137"/>
      <c r="H12" s="3"/>
    </row>
    <row r="13" spans="1:12">
      <c r="B13" t="s">
        <v>351</v>
      </c>
      <c r="C13" s="137"/>
      <c r="D13" s="335">
        <f>'3c. Calculator EEM 2-3'!G57</f>
        <v>0</v>
      </c>
      <c r="E13" s="335">
        <f>'3c. Calculator EEM 2-3'!I57</f>
        <v>0</v>
      </c>
      <c r="F13" s="335">
        <f>'3c. Calculator EEM 2-3'!K57</f>
        <v>0</v>
      </c>
      <c r="G13" s="335">
        <f>'3c. Calculator EEM 2-3'!M57</f>
        <v>0</v>
      </c>
      <c r="H13" s="3"/>
    </row>
    <row r="14" spans="1:12">
      <c r="B14" t="s">
        <v>352</v>
      </c>
      <c r="D14" s="328">
        <f>'3c. Calculator EEM 2-3'!G36</f>
        <v>0</v>
      </c>
      <c r="E14" s="328">
        <f>'3c. Calculator EEM 2-3'!I36</f>
        <v>0</v>
      </c>
      <c r="F14" s="328">
        <f>'3c. Calculator EEM 2-3'!K36</f>
        <v>0</v>
      </c>
      <c r="G14" s="328">
        <f>'3c. Calculator EEM 2-3'!M36</f>
        <v>0</v>
      </c>
      <c r="H14" t="s">
        <v>380</v>
      </c>
    </row>
    <row r="15" spans="1:12">
      <c r="B15" s="360" t="s">
        <v>356</v>
      </c>
      <c r="C15" s="361"/>
      <c r="D15" s="362">
        <f>IF(D13=1,0,IF(D14&gt;Hypothèses!$B$71,Hypothèses!$D$71,IF(D14&lt;Hypothèses!$B$73,Hypothèses!$D$73,Hypothèses!$D$72)))</f>
        <v>6.0000000000000001E-3</v>
      </c>
      <c r="E15" s="362">
        <f>IF(E13=1,0,IF(E14&gt;Hypothèses!$B$71,Hypothèses!$D$71,IF(E14&lt;Hypothèses!$B$73,Hypothèses!$D$73,Hypothèses!$D$72)))</f>
        <v>6.0000000000000001E-3</v>
      </c>
      <c r="F15" s="362">
        <f>IF(F13=1,0,IF(F14&gt;Hypothèses!$B$71,Hypothèses!$D$71,IF(F14&lt;Hypothèses!$B$73,Hypothèses!$D$73,Hypothèses!$D$72)))</f>
        <v>6.0000000000000001E-3</v>
      </c>
      <c r="G15" s="363">
        <f>IF(G13=1,0,IF(G14&gt;Hypothèses!$B$71,Hypothèses!$D$71,IF(G14&lt;Hypothèses!$B$73,Hypothèses!$D$73,Hypothèses!$D$72)))</f>
        <v>6.0000000000000001E-3</v>
      </c>
    </row>
    <row r="16" spans="1:12">
      <c r="D16" s="127"/>
      <c r="E16" s="127"/>
      <c r="F16" s="127"/>
      <c r="G16" s="127"/>
    </row>
    <row r="17" spans="2:10">
      <c r="B17" s="356" t="s">
        <v>413</v>
      </c>
    </row>
    <row r="18" spans="2:10">
      <c r="B18" t="s">
        <v>353</v>
      </c>
      <c r="D18" s="303">
        <f>IFERROR('3c. Calculator EEM 2-3'!G26,0)</f>
        <v>0</v>
      </c>
      <c r="E18" s="303">
        <f>IFERROR('3c. Calculator EEM 2-3'!I26,0)</f>
        <v>0</v>
      </c>
      <c r="F18" s="303">
        <f>IFERROR('3c. Calculator EEM 2-3'!K26,0)</f>
        <v>0</v>
      </c>
      <c r="G18" s="303">
        <f>IFERROR('3c. Calculator EEM 2-3'!M26,0)</f>
        <v>0</v>
      </c>
    </row>
    <row r="19" spans="2:10">
      <c r="B19" t="s">
        <v>373</v>
      </c>
    </row>
    <row r="20" spans="2:10">
      <c r="B20" s="180" t="s">
        <v>354</v>
      </c>
      <c r="D20" s="327">
        <f>'3c. Calculator EEM 2-3'!G53</f>
        <v>0</v>
      </c>
      <c r="E20" s="327">
        <f>'3c. Calculator EEM 2-3'!I53</f>
        <v>0</v>
      </c>
      <c r="F20" s="327">
        <f>'3c. Calculator EEM 2-3'!K53</f>
        <v>0</v>
      </c>
      <c r="G20" s="327">
        <f>'3c. Calculator EEM 2-3'!M53</f>
        <v>0</v>
      </c>
    </row>
    <row r="21" spans="2:10">
      <c r="B21" s="180" t="s">
        <v>355</v>
      </c>
      <c r="D21" s="543">
        <f>'3c. Calculator EEM 2-3'!G55</f>
        <v>0</v>
      </c>
      <c r="E21" s="543">
        <f>'3c. Calculator EEM 2-3'!I55</f>
        <v>0</v>
      </c>
      <c r="F21" s="543">
        <f>'3c. Calculator EEM 2-3'!K55</f>
        <v>0</v>
      </c>
      <c r="G21" s="543">
        <f>'3c. Calculator EEM 2-3'!M55</f>
        <v>0</v>
      </c>
      <c r="J21" s="1"/>
    </row>
    <row r="22" spans="2:10">
      <c r="B22" s="540" t="s">
        <v>363</v>
      </c>
      <c r="C22" s="388"/>
      <c r="D22" s="541" t="e">
        <f>D30</f>
        <v>#DIV/0!</v>
      </c>
      <c r="E22" s="542" t="e">
        <f>F30</f>
        <v>#DIV/0!</v>
      </c>
      <c r="F22" s="542" t="e">
        <f>D35</f>
        <v>#DIV/0!</v>
      </c>
      <c r="G22" s="542" t="e">
        <f>F35</f>
        <v>#DIV/0!</v>
      </c>
    </row>
    <row r="23" spans="2:10">
      <c r="B23" s="180" t="s">
        <v>372</v>
      </c>
      <c r="D23" s="327" t="e">
        <f>D22-Hypothèses!$D$75</f>
        <v>#DIV/0!</v>
      </c>
      <c r="E23" s="327" t="e">
        <f>E22-Hypothèses!$D$75</f>
        <v>#DIV/0!</v>
      </c>
      <c r="F23" s="327" t="e">
        <f>F22-Hypothèses!$D$75</f>
        <v>#DIV/0!</v>
      </c>
      <c r="G23" s="327" t="e">
        <f>G22-Hypothèses!$D$75</f>
        <v>#DIV/0!</v>
      </c>
      <c r="I23" t="s">
        <v>759</v>
      </c>
    </row>
    <row r="24" spans="2:10">
      <c r="B24" s="360" t="s">
        <v>356</v>
      </c>
      <c r="C24" s="361"/>
      <c r="D24" s="362" t="e">
        <f>IF(D22&lt;Hypothèses!$D$75,0,D23*Hypothèses!$D$77)</f>
        <v>#DIV/0!</v>
      </c>
      <c r="E24" s="362" t="e">
        <f>IF(E22&lt;Hypothèses!$D$75,0,E23*Hypothèses!$D$77)</f>
        <v>#DIV/0!</v>
      </c>
      <c r="F24" s="362" t="e">
        <f>IF(F22&lt;Hypothèses!$D$75,0,F23*Hypothèses!$D$77)</f>
        <v>#DIV/0!</v>
      </c>
      <c r="G24" s="363" t="e">
        <f>IF(G22&lt;Hypothèses!$D$75,0,G23*Hypothèses!$D$77)</f>
        <v>#DIV/0!</v>
      </c>
    </row>
    <row r="26" spans="2:10">
      <c r="B26" s="1958" t="s">
        <v>364</v>
      </c>
      <c r="C26" s="1956" t="s">
        <v>179</v>
      </c>
      <c r="D26" s="1957"/>
      <c r="E26" s="1959" t="s">
        <v>180</v>
      </c>
      <c r="F26" s="1956"/>
    </row>
    <row r="27" spans="2:10" ht="30">
      <c r="B27" s="1958"/>
      <c r="C27" s="9" t="s">
        <v>364</v>
      </c>
      <c r="D27" s="339" t="s">
        <v>409</v>
      </c>
      <c r="E27" s="206" t="s">
        <v>364</v>
      </c>
      <c r="F27" s="340" t="s">
        <v>409</v>
      </c>
    </row>
    <row r="28" spans="2:10">
      <c r="B28" s="341" t="s">
        <v>366</v>
      </c>
      <c r="C28" s="342" t="e">
        <f>1/D13</f>
        <v>#DIV/0!</v>
      </c>
      <c r="D28" s="343">
        <f>D21</f>
        <v>0</v>
      </c>
      <c r="E28" s="344" t="e">
        <f>1/E13</f>
        <v>#DIV/0!</v>
      </c>
      <c r="F28" s="345">
        <f>E21</f>
        <v>0</v>
      </c>
    </row>
    <row r="29" spans="2:10">
      <c r="B29" s="341" t="s">
        <v>365</v>
      </c>
      <c r="C29" s="342">
        <v>1</v>
      </c>
      <c r="D29" s="343">
        <f>D20</f>
        <v>0</v>
      </c>
      <c r="E29" s="344">
        <v>1</v>
      </c>
      <c r="F29" s="345">
        <f>E20</f>
        <v>0</v>
      </c>
      <c r="G29" s="897"/>
    </row>
    <row r="30" spans="2:10" ht="15" thickBot="1">
      <c r="B30" s="346" t="s">
        <v>367</v>
      </c>
      <c r="C30" s="347">
        <f>D18</f>
        <v>0</v>
      </c>
      <c r="D30" s="348" t="e">
        <f>IF(D13=1,D29,_xlfn.FORECAST.LINEAR(C30,D28:D29,C28:C29))</f>
        <v>#DIV/0!</v>
      </c>
      <c r="E30" s="349">
        <f>E18</f>
        <v>0</v>
      </c>
      <c r="F30" s="350" t="e">
        <f>IF(F13=1,F29,_xlfn.FORECAST.LINEAR(E30,F28:F29,E28:E29))</f>
        <v>#DIV/0!</v>
      </c>
    </row>
    <row r="31" spans="2:10">
      <c r="B31" s="1963" t="s">
        <v>364</v>
      </c>
      <c r="C31" s="1960" t="s">
        <v>181</v>
      </c>
      <c r="D31" s="1961"/>
      <c r="E31" s="1962" t="s">
        <v>182</v>
      </c>
      <c r="F31" s="1960"/>
    </row>
    <row r="32" spans="2:10" ht="30">
      <c r="B32" s="1958"/>
      <c r="C32" s="9" t="s">
        <v>364</v>
      </c>
      <c r="D32" s="339" t="s">
        <v>409</v>
      </c>
      <c r="E32" s="206" t="s">
        <v>364</v>
      </c>
      <c r="F32" s="340" t="s">
        <v>409</v>
      </c>
    </row>
    <row r="33" spans="1:13">
      <c r="B33" s="341" t="s">
        <v>366</v>
      </c>
      <c r="C33" s="342" t="e">
        <f>1/F13</f>
        <v>#DIV/0!</v>
      </c>
      <c r="D33" s="343">
        <f>F21</f>
        <v>0</v>
      </c>
      <c r="E33" s="344" t="e">
        <f>1/G13</f>
        <v>#DIV/0!</v>
      </c>
      <c r="F33" s="345">
        <f>G21</f>
        <v>0</v>
      </c>
      <c r="M33" s="180"/>
    </row>
    <row r="34" spans="1:13">
      <c r="B34" s="341" t="s">
        <v>365</v>
      </c>
      <c r="C34" s="342">
        <v>1</v>
      </c>
      <c r="D34" s="343">
        <f>F20</f>
        <v>0</v>
      </c>
      <c r="E34" s="344">
        <v>1</v>
      </c>
      <c r="F34" s="345">
        <f>G20</f>
        <v>0</v>
      </c>
      <c r="M34" s="180"/>
    </row>
    <row r="35" spans="1:13">
      <c r="B35" s="341" t="s">
        <v>367</v>
      </c>
      <c r="C35" s="342">
        <f>F18</f>
        <v>0</v>
      </c>
      <c r="D35" s="351" t="e">
        <f>IF(D18=1,D34,_xlfn.FORECAST.LINEAR(C35,D33:D34,C33:C34))</f>
        <v>#DIV/0!</v>
      </c>
      <c r="E35" s="352">
        <f>G18</f>
        <v>0</v>
      </c>
      <c r="F35" s="353" t="e">
        <f>IF(G18=1,F34,_xlfn.FORECAST.LINEAR(E35,F33:F34,E33:E34))</f>
        <v>#DIV/0!</v>
      </c>
    </row>
    <row r="36" spans="1:13">
      <c r="B36" s="7"/>
    </row>
    <row r="37" spans="1:13">
      <c r="B37" s="356" t="s">
        <v>414</v>
      </c>
    </row>
    <row r="38" spans="1:13">
      <c r="B38" t="s">
        <v>757</v>
      </c>
      <c r="C38" s="325">
        <f>Hypothèses!D94</f>
        <v>0.11298666751986337</v>
      </c>
    </row>
    <row r="39" spans="1:13">
      <c r="B39" t="s">
        <v>756</v>
      </c>
      <c r="D39" s="327">
        <f>D13^3*Hypothèses!$C$91+D13^2*Hypothèses!$D$91+D13*Hypothèses!$E$91+Hypothèses!$F$91</f>
        <v>-5.5260555422771571E-2</v>
      </c>
      <c r="E39" s="327">
        <f>E13^3*Hypothèses!$C$91+E13^2*Hypothèses!$D$91+E13*Hypothèses!$E$91+Hypothèses!$F$91</f>
        <v>-5.5260555422771571E-2</v>
      </c>
      <c r="F39" s="327">
        <f>F13^3*Hypothèses!$C$91+F13^2*Hypothèses!$D$91+F13*Hypothèses!$E$91+Hypothèses!$F$91</f>
        <v>-5.5260555422771571E-2</v>
      </c>
      <c r="G39" s="327">
        <f>G13^3*Hypothèses!$C$91+G13^2*Hypothèses!$D$91+G13*Hypothèses!$E$91+Hypothèses!$F$91</f>
        <v>-5.5260555422771571E-2</v>
      </c>
    </row>
    <row r="40" spans="1:13">
      <c r="B40" s="360" t="s">
        <v>356</v>
      </c>
      <c r="C40" s="361"/>
      <c r="D40" s="362">
        <f>$C$38-D39</f>
        <v>0.16824722294263494</v>
      </c>
      <c r="E40" s="362">
        <f t="shared" ref="E40:G40" si="2">$C$38-E39</f>
        <v>0.16824722294263494</v>
      </c>
      <c r="F40" s="362">
        <f t="shared" si="2"/>
        <v>0.16824722294263494</v>
      </c>
      <c r="G40" s="363">
        <f t="shared" si="2"/>
        <v>0.16824722294263494</v>
      </c>
    </row>
    <row r="42" spans="1:13">
      <c r="B42" s="357" t="s">
        <v>435</v>
      </c>
      <c r="C42" s="358"/>
      <c r="D42" s="359">
        <f>IF(AND(D7=0,D8=0),0,D15+D24+D40)</f>
        <v>0</v>
      </c>
      <c r="E42" s="359">
        <f t="shared" ref="E42:G42" si="3">IF(AND(E7=0,E8=0),0,E15+E24+E40)</f>
        <v>0</v>
      </c>
      <c r="F42" s="359">
        <f>IF(AND(F7=0,F8=0),0,F15+F24+F40)</f>
        <v>0</v>
      </c>
      <c r="G42" s="359">
        <f t="shared" si="3"/>
        <v>0</v>
      </c>
    </row>
    <row r="45" spans="1:13" ht="15.6">
      <c r="A45" s="561" t="s">
        <v>415</v>
      </c>
      <c r="C45" s="144"/>
      <c r="D45" s="143"/>
    </row>
    <row r="46" spans="1:13">
      <c r="B46" s="356" t="s">
        <v>416</v>
      </c>
    </row>
    <row r="47" spans="1:13">
      <c r="B47" t="s">
        <v>353</v>
      </c>
      <c r="D47" s="303">
        <f>IFERROR('3c. Calculator EEM 2-3'!G26,0)</f>
        <v>0</v>
      </c>
      <c r="E47" s="303">
        <f>IFERROR('3c. Calculator EEM 2-3'!I26,0)</f>
        <v>0</v>
      </c>
      <c r="F47" s="303">
        <f>IFERROR('3c. Calculator EEM 2-3'!K26,0)</f>
        <v>0</v>
      </c>
      <c r="G47" s="303">
        <f>IFERROR('3c. Calculator EEM 2-3'!M26,0)</f>
        <v>0</v>
      </c>
    </row>
    <row r="48" spans="1:13">
      <c r="B48" t="s">
        <v>373</v>
      </c>
    </row>
    <row r="49" spans="2:10">
      <c r="B49" s="180" t="s">
        <v>354</v>
      </c>
      <c r="D49" s="327">
        <f>'3c. Calculator EEM 2-3'!G53</f>
        <v>0</v>
      </c>
      <c r="E49" s="327">
        <f>'3c. Calculator EEM 2-3'!I53</f>
        <v>0</v>
      </c>
      <c r="F49" s="327">
        <f>'3c. Calculator EEM 2-3'!K53</f>
        <v>0</v>
      </c>
      <c r="G49" s="327">
        <f>'3c. Calculator EEM 2-3'!M53</f>
        <v>0</v>
      </c>
    </row>
    <row r="50" spans="2:10">
      <c r="B50" s="180" t="s">
        <v>355</v>
      </c>
      <c r="D50" s="327">
        <f>'3c. Calculator EEM 2-3'!G55</f>
        <v>0</v>
      </c>
      <c r="E50" s="327">
        <f>'3c. Calculator EEM 2-3'!I55</f>
        <v>0</v>
      </c>
      <c r="F50" s="327">
        <f>'3c. Calculator EEM 2-3'!K55</f>
        <v>0</v>
      </c>
      <c r="G50" s="327">
        <f>'3c. Calculator EEM 2-3'!M55</f>
        <v>0</v>
      </c>
      <c r="J50" s="1"/>
    </row>
    <row r="51" spans="2:10">
      <c r="B51" s="540" t="s">
        <v>363</v>
      </c>
      <c r="C51" s="388"/>
      <c r="D51" s="541" t="e">
        <f>D62</f>
        <v>#DIV/0!</v>
      </c>
      <c r="E51" s="542" t="e">
        <f>F62</f>
        <v>#DIV/0!</v>
      </c>
      <c r="F51" s="542" t="e">
        <f>D67</f>
        <v>#DIV/0!</v>
      </c>
      <c r="G51" s="542" t="e">
        <f>F67</f>
        <v>#DIV/0!</v>
      </c>
    </row>
    <row r="52" spans="2:10">
      <c r="B52" s="180" t="s">
        <v>372</v>
      </c>
      <c r="D52" s="327" t="e">
        <f>D51-Hypothèses!$D$76</f>
        <v>#DIV/0!</v>
      </c>
      <c r="E52" s="327" t="e">
        <f>E51-Hypothèses!$D$76</f>
        <v>#DIV/0!</v>
      </c>
      <c r="F52" s="327" t="e">
        <f>F51-Hypothèses!$D$76</f>
        <v>#DIV/0!</v>
      </c>
      <c r="G52" s="327" t="e">
        <f>G51-Hypothèses!$D$76</f>
        <v>#DIV/0!</v>
      </c>
      <c r="I52" t="s">
        <v>758</v>
      </c>
    </row>
    <row r="53" spans="2:10">
      <c r="B53" s="329" t="s">
        <v>356</v>
      </c>
      <c r="I53" t="s">
        <v>436</v>
      </c>
    </row>
    <row r="54" spans="2:10">
      <c r="B54" s="336" t="s">
        <v>382</v>
      </c>
      <c r="D54" s="337" t="e">
        <f>IF(D51&lt;Hypothèses!$D$76,0,Hypothèses!$D$77*(Hypothèses!$D$75-Hypothèses!$D$76))</f>
        <v>#DIV/0!</v>
      </c>
      <c r="E54" s="337" t="e">
        <f>IF(E51&lt;Hypothèses!$D$76,0,Hypothèses!$D$77*(Hypothèses!$D$75-Hypothèses!$D$76))</f>
        <v>#DIV/0!</v>
      </c>
      <c r="F54" s="337" t="e">
        <f>IF(F51&lt;Hypothèses!$D$76,0,Hypothèses!$D$77*(Hypothèses!$D$75-Hypothèses!$D$76))</f>
        <v>#DIV/0!</v>
      </c>
      <c r="G54" s="337" t="e">
        <f>IF(G51&lt;Hypothèses!$D$76,0,Hypothèses!$D$77*(Hypothèses!$D$75-Hypothèses!$D$76))</f>
        <v>#DIV/0!</v>
      </c>
    </row>
    <row r="55" spans="2:10">
      <c r="B55" s="336" t="s">
        <v>381</v>
      </c>
      <c r="D55" s="337" t="e">
        <f>IF(D51&lt;Hypothèses!$D$76,0,Hypothèses!$D$77*D52)</f>
        <v>#DIV/0!</v>
      </c>
      <c r="E55" s="337" t="e">
        <f>IF(E51&lt;Hypothèses!$D$76,0,Hypothèses!$D$77*E52)</f>
        <v>#DIV/0!</v>
      </c>
      <c r="F55" s="337" t="e">
        <f>IF(F51&lt;Hypothèses!$D$76,0,Hypothèses!$D$77*F52)</f>
        <v>#DIV/0!</v>
      </c>
      <c r="G55" s="337" t="e">
        <f>IF(G51&lt;Hypothèses!$D$76,0,Hypothèses!$D$77*G52)</f>
        <v>#DIV/0!</v>
      </c>
    </row>
    <row r="56" spans="2:10">
      <c r="B56" s="360" t="s">
        <v>412</v>
      </c>
      <c r="C56" s="361"/>
      <c r="D56" s="362">
        <f t="shared" ref="D56:E56" si="4">IF(SUM(D7:D9)=0,0,IF(D7=1,0,IF(D9=1,D55,D54)))</f>
        <v>0</v>
      </c>
      <c r="E56" s="362">
        <f t="shared" si="4"/>
        <v>0</v>
      </c>
      <c r="F56" s="362">
        <f>IF(SUM(F7:F9)=0,0,IF(F7=1,0,IF(F9=1,F55,F54)))</f>
        <v>0</v>
      </c>
      <c r="G56" s="362">
        <f>IF(SUM(G7:G9)=0,0,IF(G7=1,0,IF(G9=1,G55,G54)))</f>
        <v>0</v>
      </c>
    </row>
    <row r="58" spans="2:10">
      <c r="B58" s="1958" t="s">
        <v>364</v>
      </c>
      <c r="C58" s="1956" t="s">
        <v>179</v>
      </c>
      <c r="D58" s="1957"/>
      <c r="E58" s="1959" t="s">
        <v>180</v>
      </c>
      <c r="F58" s="1956"/>
    </row>
    <row r="59" spans="2:10" ht="32.25" customHeight="1">
      <c r="B59" s="1958"/>
      <c r="C59" s="9" t="s">
        <v>364</v>
      </c>
      <c r="D59" s="339" t="s">
        <v>409</v>
      </c>
      <c r="E59" s="206" t="s">
        <v>364</v>
      </c>
      <c r="F59" s="340" t="s">
        <v>409</v>
      </c>
    </row>
    <row r="60" spans="2:10">
      <c r="B60" s="341" t="s">
        <v>366</v>
      </c>
      <c r="C60" s="342" t="e">
        <f>1/D13</f>
        <v>#DIV/0!</v>
      </c>
      <c r="D60" s="343">
        <f>D50</f>
        <v>0</v>
      </c>
      <c r="E60" s="344" t="e">
        <f>1/E13</f>
        <v>#DIV/0!</v>
      </c>
      <c r="F60" s="345">
        <f>E50</f>
        <v>0</v>
      </c>
    </row>
    <row r="61" spans="2:10">
      <c r="B61" s="341" t="s">
        <v>365</v>
      </c>
      <c r="C61" s="342">
        <v>1</v>
      </c>
      <c r="D61" s="343">
        <f>D49</f>
        <v>0</v>
      </c>
      <c r="E61" s="344">
        <v>1</v>
      </c>
      <c r="F61" s="345">
        <f>E49</f>
        <v>0</v>
      </c>
    </row>
    <row r="62" spans="2:10">
      <c r="B62" s="346" t="s">
        <v>367</v>
      </c>
      <c r="C62" s="347">
        <f>D47</f>
        <v>0</v>
      </c>
      <c r="D62" s="348" t="e">
        <f>IF(D13=1,D61,_xlfn.FORECAST.LINEAR(C62,D60:D61,C60:C61))</f>
        <v>#DIV/0!</v>
      </c>
      <c r="E62" s="349">
        <f>E47</f>
        <v>0</v>
      </c>
      <c r="F62" s="350" t="e">
        <f>IF(E13=1,F61,_xlfn.FORECAST.LINEAR(E62,F60:F61,E60:E61))</f>
        <v>#DIV/0!</v>
      </c>
    </row>
    <row r="63" spans="2:10">
      <c r="B63" s="1963" t="s">
        <v>364</v>
      </c>
      <c r="C63" s="1960" t="s">
        <v>181</v>
      </c>
      <c r="D63" s="1961"/>
      <c r="E63" s="1962" t="s">
        <v>182</v>
      </c>
      <c r="F63" s="1960"/>
    </row>
    <row r="64" spans="2:10" ht="25.5" customHeight="1">
      <c r="B64" s="1958"/>
      <c r="C64" s="9" t="s">
        <v>364</v>
      </c>
      <c r="D64" s="339" t="s">
        <v>409</v>
      </c>
      <c r="E64" s="206" t="s">
        <v>364</v>
      </c>
      <c r="F64" s="340" t="s">
        <v>409</v>
      </c>
    </row>
    <row r="65" spans="1:9">
      <c r="B65" s="341" t="s">
        <v>366</v>
      </c>
      <c r="C65" s="342" t="e">
        <f>1/F13</f>
        <v>#DIV/0!</v>
      </c>
      <c r="D65" s="343">
        <f>F50</f>
        <v>0</v>
      </c>
      <c r="E65" s="344" t="e">
        <f>1/G13</f>
        <v>#DIV/0!</v>
      </c>
      <c r="F65" s="345">
        <f>G50</f>
        <v>0</v>
      </c>
    </row>
    <row r="66" spans="1:9">
      <c r="B66" s="341" t="s">
        <v>365</v>
      </c>
      <c r="C66" s="342">
        <v>1</v>
      </c>
      <c r="D66" s="343">
        <f>F49</f>
        <v>0</v>
      </c>
      <c r="E66" s="344">
        <v>1</v>
      </c>
      <c r="F66" s="345">
        <f>G49</f>
        <v>0</v>
      </c>
    </row>
    <row r="67" spans="1:9">
      <c r="B67" s="341" t="s">
        <v>367</v>
      </c>
      <c r="C67" s="342">
        <f>F47</f>
        <v>0</v>
      </c>
      <c r="D67" s="351" t="e">
        <f>IF(F13=1,D66,_xlfn.FORECAST.LINEAR(C67,D65:D66,C65:C66))</f>
        <v>#DIV/0!</v>
      </c>
      <c r="E67" s="352">
        <f>G47</f>
        <v>0</v>
      </c>
      <c r="F67" s="353" t="e">
        <f>IF(G13=1,F66,_xlfn.FORECAST.LINEAR(E67,F65:F66,E65:E66))</f>
        <v>#DIV/0!</v>
      </c>
    </row>
    <row r="68" spans="1:9">
      <c r="B68" s="7"/>
    </row>
    <row r="69" spans="1:9">
      <c r="B69" s="329"/>
      <c r="D69" s="364"/>
      <c r="E69" s="364"/>
      <c r="F69" s="364"/>
      <c r="G69" s="364"/>
    </row>
    <row r="70" spans="1:9">
      <c r="A70" s="562"/>
      <c r="B70" s="356" t="s">
        <v>417</v>
      </c>
    </row>
    <row r="71" spans="1:9">
      <c r="B71" t="s">
        <v>393</v>
      </c>
      <c r="C71" s="151" t="str">
        <f>'3c. Calculator EEM 2-3'!G15</f>
        <v>&lt; select &gt;</v>
      </c>
    </row>
    <row r="72" spans="1:9">
      <c r="B72" t="s">
        <v>411</v>
      </c>
      <c r="C72" s="332">
        <f>IF(C71="HVAC",1,0)</f>
        <v>0</v>
      </c>
    </row>
    <row r="73" spans="1:9">
      <c r="B73" t="s">
        <v>1209</v>
      </c>
      <c r="C73" s="332">
        <f>IF(OR(C71="Process",C71="Domestic Hot Water"),1,0)</f>
        <v>0</v>
      </c>
    </row>
    <row r="75" spans="1:9">
      <c r="B75" s="360" t="s">
        <v>392</v>
      </c>
      <c r="C75" s="365">
        <f>IF(C72=1,Hypothèses!D139,IF(C73=1,Hypothèses!D140,0))</f>
        <v>0</v>
      </c>
    </row>
    <row r="77" spans="1:9">
      <c r="B77" s="366" t="s">
        <v>395</v>
      </c>
      <c r="C77" s="367"/>
      <c r="D77" s="368">
        <f>D56+$C$75</f>
        <v>0</v>
      </c>
      <c r="E77" s="368">
        <f>E56+$C$75</f>
        <v>0</v>
      </c>
      <c r="F77" s="368">
        <f>F56+$C$75</f>
        <v>0</v>
      </c>
      <c r="G77" s="369">
        <f>G56+$C$75</f>
        <v>0</v>
      </c>
    </row>
    <row r="79" spans="1:9">
      <c r="B79" s="4" t="s">
        <v>400</v>
      </c>
      <c r="C79" s="5"/>
      <c r="D79" s="5"/>
      <c r="E79" s="5"/>
      <c r="F79" s="5"/>
      <c r="G79" s="5"/>
      <c r="H79" s="5"/>
      <c r="I79" s="5"/>
    </row>
    <row r="80" spans="1:9">
      <c r="B80" s="331" t="s">
        <v>19</v>
      </c>
    </row>
    <row r="81" spans="2:11">
      <c r="B81" t="s">
        <v>378</v>
      </c>
      <c r="D81" s="328">
        <f t="shared" ref="D81:G83" si="5">D7</f>
        <v>0</v>
      </c>
      <c r="E81" s="328">
        <f t="shared" si="5"/>
        <v>0</v>
      </c>
      <c r="F81" s="328">
        <f t="shared" si="5"/>
        <v>0</v>
      </c>
      <c r="G81" s="328">
        <f t="shared" si="5"/>
        <v>0</v>
      </c>
    </row>
    <row r="82" spans="2:11">
      <c r="B82" t="s">
        <v>377</v>
      </c>
      <c r="D82" s="328">
        <f t="shared" si="5"/>
        <v>0</v>
      </c>
      <c r="E82" s="328">
        <f t="shared" si="5"/>
        <v>0</v>
      </c>
      <c r="F82" s="328">
        <f t="shared" si="5"/>
        <v>0</v>
      </c>
      <c r="G82" s="328">
        <f t="shared" si="5"/>
        <v>0</v>
      </c>
    </row>
    <row r="83" spans="2:11">
      <c r="B83" t="s">
        <v>379</v>
      </c>
      <c r="D83" s="328">
        <f t="shared" si="5"/>
        <v>0</v>
      </c>
      <c r="E83" s="328">
        <f t="shared" si="5"/>
        <v>0</v>
      </c>
      <c r="F83" s="328">
        <f t="shared" si="5"/>
        <v>0</v>
      </c>
      <c r="G83" s="328">
        <f t="shared" si="5"/>
        <v>0</v>
      </c>
    </row>
    <row r="84" spans="2:11">
      <c r="D84" s="195"/>
      <c r="E84" s="195"/>
      <c r="F84" s="195"/>
      <c r="G84" s="195"/>
    </row>
    <row r="85" spans="2:11">
      <c r="B85" s="196" t="s">
        <v>14</v>
      </c>
      <c r="C85" s="196"/>
      <c r="D85" s="544">
        <f>D81+D82</f>
        <v>0</v>
      </c>
      <c r="E85" s="544">
        <f t="shared" ref="E85:G85" si="6">E81+E82</f>
        <v>0</v>
      </c>
      <c r="F85" s="544">
        <f>F81+F82</f>
        <v>0</v>
      </c>
      <c r="G85" s="544">
        <f t="shared" si="6"/>
        <v>0</v>
      </c>
      <c r="H85" s="196"/>
    </row>
    <row r="86" spans="2:11">
      <c r="B86" s="196" t="s">
        <v>404</v>
      </c>
      <c r="C86" s="196"/>
      <c r="D86" s="544">
        <f>D83+D82</f>
        <v>0</v>
      </c>
      <c r="E86" s="544">
        <f t="shared" ref="E86:G86" si="7">E83+E82</f>
        <v>0</v>
      </c>
      <c r="F86" s="544">
        <f>F83+F82</f>
        <v>0</v>
      </c>
      <c r="G86" s="544">
        <f t="shared" si="7"/>
        <v>0</v>
      </c>
      <c r="H86" s="196"/>
    </row>
    <row r="88" spans="2:11">
      <c r="B88" s="536" t="s">
        <v>1395</v>
      </c>
      <c r="C88" s="524"/>
      <c r="D88" s="524"/>
      <c r="E88" s="524"/>
      <c r="F88" s="524"/>
      <c r="G88" s="524"/>
      <c r="H88" s="524"/>
      <c r="I88" s="524"/>
    </row>
    <row r="89" spans="2:11">
      <c r="B89" t="s">
        <v>398</v>
      </c>
      <c r="D89" s="548">
        <f>'P opération brûleur - avant MEE'!D35</f>
        <v>1.0044118150193189</v>
      </c>
      <c r="E89" s="548">
        <f>'P opération brûleur - avant MEE'!E35</f>
        <v>1.0044118150193189</v>
      </c>
      <c r="F89" s="548">
        <f>'P opération brûleur - avant MEE'!F35</f>
        <v>1.0044118150193189</v>
      </c>
      <c r="G89" s="548">
        <f>'P opération brûleur - avant MEE'!G35</f>
        <v>1.0044118150193189</v>
      </c>
    </row>
    <row r="90" spans="2:11">
      <c r="B90" s="545" t="s">
        <v>401</v>
      </c>
      <c r="C90" s="545"/>
      <c r="D90" s="546">
        <f>MIN(D42,Hypothèses!$D$100-'Micromodulation et sonde O2'!D89)</f>
        <v>-0.1644118150193189</v>
      </c>
      <c r="E90" s="546">
        <f>MIN(E42,Hypothèses!$D$100-'Micromodulation et sonde O2'!E89)</f>
        <v>-0.1644118150193189</v>
      </c>
      <c r="F90" s="546">
        <f>MIN(F42,Hypothèses!$D$100-'Micromodulation et sonde O2'!F89)</f>
        <v>-0.1644118150193189</v>
      </c>
      <c r="G90" s="546">
        <f>MIN(G42,Hypothèses!$D$100-'Micromodulation et sonde O2'!G89)</f>
        <v>-0.1644118150193189</v>
      </c>
      <c r="I90" s="782"/>
      <c r="J90" s="782"/>
      <c r="K90" s="783"/>
    </row>
    <row r="91" spans="2:11">
      <c r="B91" s="545" t="s">
        <v>402</v>
      </c>
      <c r="C91" s="545"/>
      <c r="D91" s="547">
        <f>D77</f>
        <v>0</v>
      </c>
      <c r="E91" s="547">
        <f>E77</f>
        <v>0</v>
      </c>
      <c r="F91" s="547">
        <f>F77</f>
        <v>0</v>
      </c>
      <c r="G91" s="547">
        <f t="shared" ref="G91" si="8">G77</f>
        <v>0</v>
      </c>
      <c r="I91" s="782"/>
      <c r="J91" s="782"/>
      <c r="K91" s="783"/>
    </row>
    <row r="92" spans="2:11">
      <c r="B92" s="781" t="s">
        <v>403</v>
      </c>
      <c r="C92" s="338"/>
      <c r="D92" s="780">
        <f>D90*D85+D91*D86</f>
        <v>0</v>
      </c>
      <c r="E92" s="780">
        <f t="shared" ref="E92:G92" si="9">E90*E85+E91*E86</f>
        <v>0</v>
      </c>
      <c r="F92" s="780">
        <f>F90*F85+F91*F86</f>
        <v>0</v>
      </c>
      <c r="G92" s="780">
        <f t="shared" si="9"/>
        <v>0</v>
      </c>
    </row>
    <row r="93" spans="2:11">
      <c r="B93" s="520" t="s">
        <v>399</v>
      </c>
      <c r="C93" s="520"/>
      <c r="D93" s="521">
        <f>D89+D92</f>
        <v>1.0044118150193189</v>
      </c>
      <c r="E93" s="521">
        <f>E89+E92</f>
        <v>1.0044118150193189</v>
      </c>
      <c r="F93" s="521">
        <f>MIN(F89+F92,Hypothèses!$D$100)</f>
        <v>0.84</v>
      </c>
      <c r="G93" s="521">
        <f>MIN(G89+G92,Hypothèses!$D$100)</f>
        <v>0.84</v>
      </c>
    </row>
    <row r="94" spans="2:11">
      <c r="B94" s="180" t="s">
        <v>741</v>
      </c>
      <c r="C94" s="3"/>
      <c r="D94" s="522">
        <f>D89+D85*D90</f>
        <v>1.0044118150193189</v>
      </c>
      <c r="E94" s="522">
        <f>E89+E85*E90</f>
        <v>1.0044118150193189</v>
      </c>
      <c r="F94" s="522">
        <f>MIN(F89+F85*F90,Hypothèses!$D$100)</f>
        <v>0.84</v>
      </c>
      <c r="G94" s="522">
        <f>MIN(G89+G85*G90,Hypothèses!$D$100)</f>
        <v>0.84</v>
      </c>
    </row>
    <row r="95" spans="2:11">
      <c r="B95" s="336" t="s">
        <v>742</v>
      </c>
      <c r="D95" s="522">
        <f>D89+D91*D86</f>
        <v>1.0044118150193189</v>
      </c>
      <c r="E95" s="522">
        <f>E89+E91*E86</f>
        <v>1.0044118150193189</v>
      </c>
      <c r="F95" s="522">
        <f>MIN(F89+F91*F86,Hypothèses!$D$100)</f>
        <v>0.84</v>
      </c>
      <c r="G95" s="522">
        <f>MIN(G89+G91*G86,Hypothèses!$D$100)</f>
        <v>0.84</v>
      </c>
    </row>
    <row r="96" spans="2:11">
      <c r="B96" s="336"/>
      <c r="D96" s="522"/>
      <c r="E96" s="522"/>
      <c r="F96" s="522"/>
      <c r="G96" s="522"/>
    </row>
    <row r="97" spans="2:9">
      <c r="B97" s="338" t="s">
        <v>1290</v>
      </c>
      <c r="D97" s="522"/>
      <c r="E97" s="522"/>
      <c r="F97" s="522"/>
      <c r="G97" s="522"/>
    </row>
    <row r="98" spans="2:9">
      <c r="B98" s="180" t="s">
        <v>741</v>
      </c>
      <c r="D98" s="785">
        <f>IFERROR(D90*D85/(D90*D85+D91*D86),0)</f>
        <v>0</v>
      </c>
      <c r="E98" s="785">
        <f t="shared" ref="E98:G98" si="10">IFERROR(E90*E85/(E90*E85+E91*E86),0)</f>
        <v>0</v>
      </c>
      <c r="F98" s="785">
        <f t="shared" si="10"/>
        <v>0</v>
      </c>
      <c r="G98" s="785">
        <f t="shared" si="10"/>
        <v>0</v>
      </c>
    </row>
    <row r="99" spans="2:9">
      <c r="B99" s="336" t="s">
        <v>742</v>
      </c>
      <c r="D99" s="786">
        <f>IFERROR(D91*D86/(D90*D85+D91*D86),0)</f>
        <v>0</v>
      </c>
      <c r="E99" s="786">
        <f t="shared" ref="E99:G99" si="11">IFERROR(E91*E86/(E90*E85+E91*E86),0)</f>
        <v>0</v>
      </c>
      <c r="F99" s="786">
        <f t="shared" si="11"/>
        <v>0</v>
      </c>
      <c r="G99" s="786">
        <f t="shared" si="11"/>
        <v>0</v>
      </c>
    </row>
    <row r="100" spans="2:9">
      <c r="B100" s="336"/>
      <c r="D100" s="195"/>
      <c r="E100" s="195"/>
      <c r="F100" s="195"/>
      <c r="G100" s="195"/>
    </row>
    <row r="101" spans="2:9">
      <c r="B101" s="537" t="s">
        <v>405</v>
      </c>
      <c r="C101" s="524"/>
      <c r="D101" s="538"/>
      <c r="E101" s="538"/>
      <c r="F101" s="538"/>
      <c r="G101" s="538"/>
      <c r="H101" s="524"/>
      <c r="I101" s="524"/>
    </row>
    <row r="102" spans="2:9" ht="15.6">
      <c r="B102" s="143" t="s">
        <v>408</v>
      </c>
      <c r="D102" s="355">
        <f>'P opération brûleur - avant MEE'!$D$44</f>
        <v>0</v>
      </c>
      <c r="E102" s="355">
        <f>'P opération brûleur - avant MEE'!$E$44</f>
        <v>0</v>
      </c>
      <c r="F102" s="355">
        <f>'P opération brûleur - avant MEE'!$F$44</f>
        <v>0</v>
      </c>
      <c r="G102" s="355">
        <f>'P opération brûleur - avant MEE'!$G$44</f>
        <v>0</v>
      </c>
      <c r="H102" t="s">
        <v>4</v>
      </c>
    </row>
    <row r="103" spans="2:9">
      <c r="B103" s="143" t="s">
        <v>1397</v>
      </c>
      <c r="D103" s="327" t="e">
        <f>'P opération brûleur - avant MEE'!D36</f>
        <v>#DIV/0!</v>
      </c>
      <c r="E103" s="327" t="e">
        <f>'P opération brûleur - avant MEE'!E36</f>
        <v>#DIV/0!</v>
      </c>
      <c r="F103" s="327" t="e">
        <f>'P opération brûleur - avant MEE'!F36</f>
        <v>#DIV/0!</v>
      </c>
      <c r="G103" s="327" t="e">
        <f>'P opération brûleur - avant MEE'!G36</f>
        <v>#DIV/0!</v>
      </c>
    </row>
    <row r="104" spans="2:9" ht="15.6">
      <c r="B104" s="143" t="s">
        <v>1396</v>
      </c>
      <c r="D104" s="155"/>
      <c r="E104" s="155"/>
      <c r="F104" s="155"/>
      <c r="G104" s="155"/>
    </row>
    <row r="105" spans="2:9">
      <c r="B105" s="370" t="s">
        <v>406</v>
      </c>
      <c r="D105" s="487" t="e">
        <f>D102/(D89-D103)</f>
        <v>#DIV/0!</v>
      </c>
      <c r="E105" s="487" t="e">
        <f t="shared" ref="E105:G105" si="12">E102/(E89-E103)</f>
        <v>#DIV/0!</v>
      </c>
      <c r="F105" s="487" t="e">
        <f t="shared" si="12"/>
        <v>#DIV/0!</v>
      </c>
      <c r="G105" s="487" t="e">
        <f t="shared" si="12"/>
        <v>#DIV/0!</v>
      </c>
      <c r="H105" t="s">
        <v>4</v>
      </c>
    </row>
    <row r="106" spans="2:9">
      <c r="B106" s="516" t="s">
        <v>407</v>
      </c>
      <c r="C106" s="388"/>
      <c r="D106" s="486" t="e">
        <f>D102/(D93-D103)</f>
        <v>#DIV/0!</v>
      </c>
      <c r="E106" s="486" t="e">
        <f t="shared" ref="E106:G106" si="13">E102/(E93-E103)</f>
        <v>#DIV/0!</v>
      </c>
      <c r="F106" s="486" t="e">
        <f t="shared" si="13"/>
        <v>#DIV/0!</v>
      </c>
      <c r="G106" s="486" t="e">
        <f t="shared" si="13"/>
        <v>#DIV/0!</v>
      </c>
      <c r="H106" s="388" t="s">
        <v>4</v>
      </c>
    </row>
    <row r="107" spans="2:9">
      <c r="B107" s="518" t="s">
        <v>410</v>
      </c>
      <c r="D107" s="354" t="e">
        <f>D105-D106</f>
        <v>#DIV/0!</v>
      </c>
      <c r="E107" s="354" t="e">
        <f>E105-E106</f>
        <v>#DIV/0!</v>
      </c>
      <c r="F107" s="354" t="e">
        <f>F105-F106</f>
        <v>#DIV/0!</v>
      </c>
      <c r="G107" s="354" t="e">
        <f>G105-G106</f>
        <v>#DIV/0!</v>
      </c>
      <c r="H107" s="3" t="s">
        <v>4</v>
      </c>
      <c r="I107" t="s">
        <v>760</v>
      </c>
    </row>
    <row r="108" spans="2:9">
      <c r="B108" s="517" t="s">
        <v>736</v>
      </c>
      <c r="D108" s="559" t="e">
        <f>D107*D98</f>
        <v>#DIV/0!</v>
      </c>
      <c r="E108" s="559" t="e">
        <f>E107*E98</f>
        <v>#DIV/0!</v>
      </c>
      <c r="F108" s="559" t="e">
        <f>F107*F98</f>
        <v>#DIV/0!</v>
      </c>
      <c r="G108" s="559" t="e">
        <f>G107*G98</f>
        <v>#DIV/0!</v>
      </c>
      <c r="H108" t="s">
        <v>4</v>
      </c>
    </row>
    <row r="109" spans="2:9">
      <c r="B109" s="517" t="s">
        <v>737</v>
      </c>
      <c r="D109" s="559" t="e">
        <f>D107*D99</f>
        <v>#DIV/0!</v>
      </c>
      <c r="E109" s="559" t="e">
        <f>E107*E99</f>
        <v>#DIV/0!</v>
      </c>
      <c r="F109" s="559" t="e">
        <f t="shared" ref="F109:G109" si="14">F107*F99</f>
        <v>#DIV/0!</v>
      </c>
      <c r="G109" s="559" t="e">
        <f t="shared" si="14"/>
        <v>#DIV/0!</v>
      </c>
      <c r="H109" t="s">
        <v>4</v>
      </c>
    </row>
    <row r="110" spans="2:9">
      <c r="B110" s="515"/>
      <c r="C110" s="3"/>
    </row>
    <row r="111" spans="2:9">
      <c r="E111" s="136"/>
    </row>
    <row r="114" spans="4:7">
      <c r="D114" s="202"/>
      <c r="E114" s="202"/>
      <c r="F114" s="202"/>
      <c r="G114" s="202"/>
    </row>
    <row r="115" spans="4:7">
      <c r="D115" s="202"/>
      <c r="E115" s="202"/>
      <c r="F115" s="202"/>
      <c r="G115" s="202"/>
    </row>
    <row r="116" spans="4:7">
      <c r="E116" s="782"/>
    </row>
  </sheetData>
  <sortState xmlns:xlrd2="http://schemas.microsoft.com/office/spreadsheetml/2017/richdata2" ref="K5:L8">
    <sortCondition ref="K5:K8"/>
  </sortState>
  <mergeCells count="12">
    <mergeCell ref="B63:B64"/>
    <mergeCell ref="C63:D63"/>
    <mergeCell ref="E63:F63"/>
    <mergeCell ref="B58:B59"/>
    <mergeCell ref="C58:D58"/>
    <mergeCell ref="E58:F58"/>
    <mergeCell ref="C26:D26"/>
    <mergeCell ref="B26:B27"/>
    <mergeCell ref="E26:F26"/>
    <mergeCell ref="C31:D31"/>
    <mergeCell ref="E31:F31"/>
    <mergeCell ref="B31:B32"/>
  </mergeCells>
  <pageMargins left="0.7" right="0.7" top="0.75" bottom="0.75" header="0.3" footer="0.3"/>
  <pageSetup orientation="portrait" horizontalDpi="4294967293"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00F47-7898-4F0E-944B-2C496EC54868}">
  <sheetPr codeName="Feuil13">
    <tabColor theme="4"/>
  </sheetPr>
  <dimension ref="A1:AE355"/>
  <sheetViews>
    <sheetView topLeftCell="M1" workbookViewId="0">
      <selection activeCell="C116" sqref="C116:D116"/>
    </sheetView>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25" width="11.44140625" style="19"/>
    <col min="26" max="26" width="11.44140625" style="564"/>
    <col min="27" max="27" width="13.77734375" style="23" customWidth="1"/>
    <col min="28" max="29" width="13.77734375" style="19" customWidth="1"/>
    <col min="30" max="16384" width="11.44140625" style="19"/>
  </cols>
  <sheetData>
    <row r="1" spans="1:31">
      <c r="G1" s="374"/>
      <c r="AA1" s="1964" t="s">
        <v>421</v>
      </c>
      <c r="AB1" s="1964"/>
      <c r="AC1" s="1964"/>
    </row>
    <row r="2" spans="1:31" ht="14.4">
      <c r="B2"/>
      <c r="C2" s="563"/>
      <c r="E2" s="20" t="s">
        <v>64</v>
      </c>
      <c r="F2" s="21" t="s">
        <v>16</v>
      </c>
      <c r="G2" s="552" t="e">
        <f>1-(G4/(G5+ABS(L27)))</f>
        <v>#DIV/0!</v>
      </c>
      <c r="AA2" s="1964"/>
      <c r="AB2" s="1964"/>
      <c r="AC2" s="1964"/>
    </row>
    <row r="3" spans="1:31" ht="13.8" thickBot="1">
      <c r="U3" s="375"/>
      <c r="AA3" s="1964"/>
      <c r="AB3" s="1964"/>
      <c r="AC3" s="1964"/>
    </row>
    <row r="4" spans="1:31" ht="13.8" thickBot="1">
      <c r="E4" s="23" t="s">
        <v>65</v>
      </c>
      <c r="F4" s="23" t="s">
        <v>66</v>
      </c>
      <c r="G4" s="255" t="e">
        <f>V27</f>
        <v>#DIV/0!</v>
      </c>
      <c r="H4" s="25"/>
      <c r="AA4" s="65" t="s">
        <v>419</v>
      </c>
      <c r="AB4" s="378">
        <f>'Micromodulation et sonde O2'!D93</f>
        <v>1.0044118150193189</v>
      </c>
      <c r="AD4" s="376"/>
    </row>
    <row r="5" spans="1:31">
      <c r="A5" s="26" t="s">
        <v>67</v>
      </c>
      <c r="E5" s="23" t="s">
        <v>68</v>
      </c>
      <c r="F5" s="23" t="s">
        <v>66</v>
      </c>
      <c r="G5" s="255" t="e">
        <f>P27+S27</f>
        <v>#DIV/0!</v>
      </c>
      <c r="J5" s="1941" t="s">
        <v>339</v>
      </c>
      <c r="K5" s="1942"/>
      <c r="L5" s="1942"/>
      <c r="M5" s="1943"/>
      <c r="N5" s="1965" t="s">
        <v>69</v>
      </c>
      <c r="O5" s="1966"/>
      <c r="P5" s="1966"/>
      <c r="Q5" s="1966"/>
      <c r="R5" s="1966"/>
      <c r="S5" s="1966"/>
      <c r="T5" s="1966"/>
      <c r="U5" s="1966"/>
      <c r="V5" s="1967"/>
      <c r="AA5" s="65" t="s">
        <v>418</v>
      </c>
      <c r="AB5" s="565" t="e">
        <f>(AB4-AE23)/AE22</f>
        <v>#DIV/0!</v>
      </c>
      <c r="AC5" s="377" t="s">
        <v>13</v>
      </c>
      <c r="AD5" s="567"/>
      <c r="AE5" s="564"/>
    </row>
    <row r="6" spans="1:31">
      <c r="A6" s="300" t="s">
        <v>338</v>
      </c>
      <c r="J6" s="1944" t="s">
        <v>337</v>
      </c>
      <c r="K6" s="1945"/>
      <c r="L6" s="1945"/>
      <c r="M6" s="1946"/>
      <c r="N6" s="1926" t="s">
        <v>336</v>
      </c>
      <c r="O6" s="1927"/>
      <c r="P6" s="1928"/>
      <c r="Q6" s="1926" t="s">
        <v>70</v>
      </c>
      <c r="R6" s="1927"/>
      <c r="S6" s="1928"/>
      <c r="T6" s="1926" t="s">
        <v>123</v>
      </c>
      <c r="U6" s="1927"/>
      <c r="V6" s="1928"/>
      <c r="AA6" s="65"/>
      <c r="AB6" s="373"/>
      <c r="AD6" s="564"/>
      <c r="AE6" s="564"/>
    </row>
    <row r="7" spans="1:31" ht="14.25" customHeight="1">
      <c r="C7" s="1935" t="s">
        <v>335</v>
      </c>
      <c r="D7" s="1920" t="s">
        <v>334</v>
      </c>
      <c r="E7" s="1937"/>
      <c r="F7" s="1920" t="s">
        <v>333</v>
      </c>
      <c r="G7" s="1921"/>
      <c r="H7" s="1921"/>
      <c r="I7" s="1921"/>
      <c r="J7" s="28" t="s">
        <v>71</v>
      </c>
      <c r="K7" s="29" t="s">
        <v>72</v>
      </c>
      <c r="L7" s="29" t="s">
        <v>332</v>
      </c>
      <c r="M7" s="1947" t="s">
        <v>331</v>
      </c>
      <c r="N7" s="30" t="s">
        <v>73</v>
      </c>
      <c r="O7" s="31">
        <f>'3c. Calculator EEM 2-3'!G34</f>
        <v>20</v>
      </c>
      <c r="P7" s="32"/>
      <c r="Q7" s="33" t="s">
        <v>73</v>
      </c>
      <c r="R7" s="34">
        <f>'3c. Calculator EEM 2-3'!G33</f>
        <v>20</v>
      </c>
      <c r="S7" s="32"/>
      <c r="T7" s="33" t="s">
        <v>73</v>
      </c>
      <c r="U7" s="387">
        <v>200</v>
      </c>
      <c r="V7" s="32"/>
      <c r="AA7" s="383" t="s">
        <v>423</v>
      </c>
      <c r="AB7" s="379" t="s">
        <v>422</v>
      </c>
      <c r="AD7" s="564"/>
      <c r="AE7" s="564"/>
    </row>
    <row r="8" spans="1:31" ht="42">
      <c r="C8" s="1936"/>
      <c r="D8" s="299" t="s">
        <v>330</v>
      </c>
      <c r="E8" s="298" t="s">
        <v>329</v>
      </c>
      <c r="F8" s="1923" t="s">
        <v>74</v>
      </c>
      <c r="G8" s="1924"/>
      <c r="H8" s="1924"/>
      <c r="I8" s="1924"/>
      <c r="J8" s="35" t="s">
        <v>75</v>
      </c>
      <c r="K8" s="37" t="s">
        <v>75</v>
      </c>
      <c r="L8" s="37"/>
      <c r="M8" s="1948"/>
      <c r="N8" s="37" t="s">
        <v>76</v>
      </c>
      <c r="O8" s="37" t="s">
        <v>77</v>
      </c>
      <c r="P8" s="36" t="s">
        <v>78</v>
      </c>
      <c r="Q8" s="35" t="s">
        <v>76</v>
      </c>
      <c r="R8" s="37" t="s">
        <v>77</v>
      </c>
      <c r="S8" s="36" t="s">
        <v>78</v>
      </c>
      <c r="T8" s="35" t="s">
        <v>76</v>
      </c>
      <c r="U8" s="37" t="s">
        <v>77</v>
      </c>
      <c r="V8" s="36" t="s">
        <v>78</v>
      </c>
      <c r="AA8" s="384"/>
      <c r="AB8" s="386"/>
      <c r="AD8" s="564"/>
      <c r="AE8" s="564"/>
    </row>
    <row r="9" spans="1:31" ht="20.399999999999999">
      <c r="B9" s="19" t="s">
        <v>35</v>
      </c>
      <c r="C9" s="247" t="s">
        <v>328</v>
      </c>
      <c r="D9" s="1954" t="s">
        <v>328</v>
      </c>
      <c r="E9" s="1955"/>
      <c r="F9" s="1932" t="s">
        <v>111</v>
      </c>
      <c r="G9" s="1933"/>
      <c r="H9" s="1933"/>
      <c r="I9" s="1934"/>
      <c r="J9" s="35"/>
      <c r="K9" s="37"/>
      <c r="L9" s="37"/>
      <c r="M9" s="297" t="s">
        <v>327</v>
      </c>
      <c r="N9" s="37"/>
      <c r="O9" s="37"/>
      <c r="P9" s="36"/>
      <c r="Q9" s="37"/>
      <c r="R9" s="37"/>
      <c r="S9" s="36"/>
      <c r="T9" s="37"/>
      <c r="U9" s="37"/>
      <c r="V9" s="36"/>
      <c r="AA9" s="385"/>
      <c r="AB9" s="380" t="e">
        <f>1-(G4/(G5+ABS(L27)))</f>
        <v>#DIV/0!</v>
      </c>
    </row>
    <row r="10" spans="1:31" ht="23.25" customHeight="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c r="AA10" s="54">
        <v>200</v>
      </c>
      <c r="AB10" s="381" t="e">
        <f t="dataTable" ref="AB10:AB100" dt2D="0" dtr="0" r1="U7"/>
        <v>#DIV/0!</v>
      </c>
    </row>
    <row r="11" spans="1:31" ht="15.6">
      <c r="A11" s="44" t="s">
        <v>88</v>
      </c>
      <c r="B11" s="45" t="s">
        <v>89</v>
      </c>
      <c r="C11" s="290">
        <v>31.998799999999999</v>
      </c>
      <c r="D11" s="283">
        <v>0</v>
      </c>
      <c r="E11" s="282">
        <v>0</v>
      </c>
      <c r="F11" s="47">
        <v>29.1</v>
      </c>
      <c r="G11" s="48">
        <v>1.1579999999999999</v>
      </c>
      <c r="H11" s="48">
        <v>-0.60760000000000003</v>
      </c>
      <c r="I11" s="48">
        <v>1.3109999999999999</v>
      </c>
      <c r="J11" s="49">
        <f>N11*C11</f>
        <v>0</v>
      </c>
      <c r="K11" s="48">
        <f t="shared" ref="K11:K26" si="0">($E$29*(C11/1000))/($B$32*$B$29)*N11</f>
        <v>0</v>
      </c>
      <c r="L11" s="255">
        <f t="shared" ref="L11:L26" si="1">N11*E11</f>
        <v>0</v>
      </c>
      <c r="M11" s="279">
        <f t="shared" ref="M11:M26" si="2">N11*D11/2*$W$15</f>
        <v>0</v>
      </c>
      <c r="N11" s="51">
        <f>'Combustion_Chaud1 (Micro)'!C53/100</f>
        <v>0</v>
      </c>
      <c r="O11" s="50">
        <f>AVERAGE($F11+$G11/100*O$7+$H11/100000*O$7^2+$I11/1000000000*O$7^3,$F11+$G11/100*$B$28+$H11/100000*$B$28^2+$I11/1000000000*$B$28^3)</f>
        <v>29.303892412703927</v>
      </c>
      <c r="P11" s="52">
        <f>N11*O11*(O$7-$B$28)</f>
        <v>0</v>
      </c>
      <c r="Q11" s="51" t="e">
        <f>'Combustion_Chaud1 (Micro)'!G88</f>
        <v>#DIV/0!</v>
      </c>
      <c r="R11" s="50">
        <f t="shared" ref="R11:R26" si="3">AVERAGE($F11+$G11/100*R$7+$H11/100000*R$7^2+$I11/1000000000*R$7^3,$F11+$G11/100*$B$28+$H11/100000*$B$28^2+$I11/1000000000*$B$28^3)</f>
        <v>29.303892412703927</v>
      </c>
      <c r="S11" s="282" t="e">
        <f>Q11*R11*(R$7-$B$28)</f>
        <v>#DIV/0!</v>
      </c>
      <c r="T11" s="51" t="e">
        <f>'Combustion_Chaud1 (Micro)'!L79</f>
        <v>#DIV/0!</v>
      </c>
      <c r="U11" s="50">
        <f t="shared" ref="U11:U26" si="4">AVERAGE($F11+$G11/100*U$7+$H11/100000*U$7^2+$I11/1000000000*U$7^3,$F11+$G11/100*$B$28+$H11/100000*$B$28^2+$I11/1000000000*$B$28^3)</f>
        <v>30.231026368703926</v>
      </c>
      <c r="V11" s="282" t="e">
        <f>T11*U11*(U$7-$B$28)</f>
        <v>#DIV/0!</v>
      </c>
      <c r="AA11" s="54">
        <f>AA10-1</f>
        <v>199</v>
      </c>
      <c r="AB11" s="381" t="e">
        <v>#DIV/0!</v>
      </c>
    </row>
    <row r="12" spans="1:31">
      <c r="A12" s="53" t="s">
        <v>299</v>
      </c>
      <c r="B12" s="19" t="s">
        <v>90</v>
      </c>
      <c r="C12" s="284">
        <v>28.010100000000001</v>
      </c>
      <c r="D12" s="283">
        <v>0</v>
      </c>
      <c r="E12" s="282">
        <v>-282910</v>
      </c>
      <c r="F12" s="51">
        <v>28.95</v>
      </c>
      <c r="G12" s="50">
        <v>0.41099999999999998</v>
      </c>
      <c r="H12" s="50">
        <v>0.3548</v>
      </c>
      <c r="I12" s="50">
        <v>-2.2200000000000002</v>
      </c>
      <c r="J12" s="49">
        <f t="shared" ref="J12:J26" si="5">N12*C12</f>
        <v>0</v>
      </c>
      <c r="K12" s="50">
        <f t="shared" si="0"/>
        <v>0</v>
      </c>
      <c r="L12" s="255">
        <f t="shared" si="1"/>
        <v>0</v>
      </c>
      <c r="M12" s="279">
        <f t="shared" si="2"/>
        <v>0</v>
      </c>
      <c r="N12" s="51">
        <f>'Combustion_Chaud1 (Micro)'!C54/100</f>
        <v>0</v>
      </c>
      <c r="O12" s="50">
        <f t="shared" ref="O12:O26" si="6">AVERAGE($F12+$G12/100*O$7+$H12/100000*O$7^2+$I12/1000000000*O$7^3,$F12+$G12/100*$B$28+$H12/100000*$B$28^2+$I12/1000000000*$B$28^3)</f>
        <v>29.024180754002948</v>
      </c>
      <c r="P12" s="52">
        <f>N12*O12*(O$7-$B$28)</f>
        <v>0</v>
      </c>
      <c r="Q12" s="285"/>
      <c r="R12" s="50">
        <f t="shared" si="3"/>
        <v>29.024180754002948</v>
      </c>
      <c r="S12" s="282">
        <f>Q12*R12*(R$7-$B$28)</f>
        <v>0</v>
      </c>
      <c r="T12" s="285"/>
      <c r="U12" s="50">
        <f t="shared" si="4"/>
        <v>29.455460034002947</v>
      </c>
      <c r="V12" s="282">
        <f>T12*U12*(U$7-$B$28)</f>
        <v>0</v>
      </c>
      <c r="AA12" s="54">
        <f>AA11-1</f>
        <v>198</v>
      </c>
      <c r="AB12" s="381" t="e">
        <v>#DIV/0!</v>
      </c>
    </row>
    <row r="13" spans="1:31" ht="15.6">
      <c r="A13" s="53" t="s">
        <v>284</v>
      </c>
      <c r="B13" s="19" t="s">
        <v>91</v>
      </c>
      <c r="C13" s="284">
        <v>44.009500000000003</v>
      </c>
      <c r="D13" s="283">
        <v>0</v>
      </c>
      <c r="E13" s="282">
        <v>0</v>
      </c>
      <c r="F13" s="51">
        <v>36.11</v>
      </c>
      <c r="G13" s="50">
        <v>4.2329999999999997</v>
      </c>
      <c r="H13" s="50">
        <v>-2.887</v>
      </c>
      <c r="I13" s="50">
        <v>7.4640000000000004</v>
      </c>
      <c r="J13" s="49">
        <f t="shared" si="5"/>
        <v>0.28166080000000004</v>
      </c>
      <c r="K13" s="50">
        <f t="shared" si="0"/>
        <v>1.1916985502539782E-2</v>
      </c>
      <c r="L13" s="255">
        <f t="shared" si="1"/>
        <v>0</v>
      </c>
      <c r="M13" s="279">
        <f t="shared" si="2"/>
        <v>0</v>
      </c>
      <c r="N13" s="51">
        <f>'Combustion_Chaud1 (Micro)'!C55/100</f>
        <v>6.4000000000000003E-3</v>
      </c>
      <c r="O13" s="50">
        <f t="shared" si="6"/>
        <v>36.853195219340265</v>
      </c>
      <c r="P13" s="52">
        <f>N13*O13*(O$7-$B$28)</f>
        <v>1.0495789998468106</v>
      </c>
      <c r="Q13" s="285"/>
      <c r="R13" s="50">
        <f t="shared" si="3"/>
        <v>36.853195219340265</v>
      </c>
      <c r="S13" s="282">
        <f>Q13*R13*(R$7-$B$28)</f>
        <v>0</v>
      </c>
      <c r="T13" s="51">
        <f>'Combustion_Chaud1 (Micro)'!L78</f>
        <v>1.0020999999999998</v>
      </c>
      <c r="U13" s="50">
        <f t="shared" si="4"/>
        <v>40.12109536334026</v>
      </c>
      <c r="V13" s="282">
        <f>T13*U13*(U$7-$B$28)</f>
        <v>7415.8767454516219</v>
      </c>
      <c r="AA13" s="54">
        <f t="shared" ref="AA13:AA76" si="7">AA12-1</f>
        <v>197</v>
      </c>
      <c r="AB13" s="381" t="e">
        <v>#DIV/0!</v>
      </c>
    </row>
    <row r="14" spans="1:31" ht="15.6">
      <c r="A14" s="53" t="s">
        <v>92</v>
      </c>
      <c r="B14" s="19" t="s">
        <v>93</v>
      </c>
      <c r="C14" s="284">
        <v>2.0158800000000001</v>
      </c>
      <c r="D14" s="283">
        <v>2</v>
      </c>
      <c r="E14" s="282">
        <v>-286130</v>
      </c>
      <c r="F14" s="51">
        <v>28.84</v>
      </c>
      <c r="G14" s="50">
        <v>7.6499999999999997E-3</v>
      </c>
      <c r="H14" s="50">
        <v>0.32879999999999998</v>
      </c>
      <c r="I14" s="50">
        <v>-0.86980000000000002</v>
      </c>
      <c r="J14" s="49">
        <f t="shared" si="5"/>
        <v>0</v>
      </c>
      <c r="K14" s="50">
        <f t="shared" si="0"/>
        <v>0</v>
      </c>
      <c r="L14" s="255">
        <f t="shared" si="1"/>
        <v>0</v>
      </c>
      <c r="M14" s="279">
        <f t="shared" si="2"/>
        <v>0</v>
      </c>
      <c r="N14" s="51">
        <f>'Combustion_Chaud1 (Micro)'!C56/100</f>
        <v>0</v>
      </c>
      <c r="O14" s="50">
        <f t="shared" si="6"/>
        <v>28.842409796373442</v>
      </c>
      <c r="P14" s="52">
        <f>N14*O14*(O$7-$B$28)</f>
        <v>0</v>
      </c>
      <c r="Q14" s="285"/>
      <c r="R14" s="50">
        <f t="shared" si="3"/>
        <v>28.842409796373442</v>
      </c>
      <c r="S14" s="282">
        <f>Q14*R14*(R$7-$B$28)</f>
        <v>0</v>
      </c>
      <c r="T14" s="285"/>
      <c r="U14" s="50">
        <f t="shared" si="4"/>
        <v>28.910921475573442</v>
      </c>
      <c r="V14" s="282">
        <f>T14*U14*(U$7-$B$28)</f>
        <v>0</v>
      </c>
      <c r="AA14" s="54">
        <f t="shared" si="7"/>
        <v>196</v>
      </c>
      <c r="AB14" s="381" t="e">
        <v>#DIV/0!</v>
      </c>
    </row>
    <row r="15" spans="1:31" ht="15.6">
      <c r="A15" s="53" t="s">
        <v>94</v>
      </c>
      <c r="B15" s="19" t="s">
        <v>298</v>
      </c>
      <c r="C15" s="284">
        <v>18.015280000000001</v>
      </c>
      <c r="D15" s="283">
        <v>2</v>
      </c>
      <c r="E15" s="282">
        <v>0</v>
      </c>
      <c r="F15" s="51">
        <v>33.46</v>
      </c>
      <c r="G15" s="50">
        <v>0.68799999999999994</v>
      </c>
      <c r="H15" s="50">
        <v>0.76039999999999996</v>
      </c>
      <c r="I15" s="50">
        <v>-3.593</v>
      </c>
      <c r="J15" s="49">
        <f t="shared" si="5"/>
        <v>0</v>
      </c>
      <c r="K15" s="50">
        <f t="shared" si="0"/>
        <v>0</v>
      </c>
      <c r="L15" s="255">
        <f t="shared" si="1"/>
        <v>0</v>
      </c>
      <c r="M15" s="279">
        <f t="shared" si="2"/>
        <v>0</v>
      </c>
      <c r="N15" s="51">
        <f>'Combustion_Chaud1 (Micro)'!C57/100</f>
        <v>0</v>
      </c>
      <c r="O15" s="50">
        <f t="shared" si="6"/>
        <v>33.584711006213126</v>
      </c>
      <c r="P15" s="52">
        <f>N15*(W15+O15*(O$7-$B$28))</f>
        <v>0</v>
      </c>
      <c r="Q15" s="51" t="e">
        <f>'Combustion_Chaud1 (Micro)'!G89</f>
        <v>#DIV/0!</v>
      </c>
      <c r="R15" s="50">
        <f t="shared" si="3"/>
        <v>33.584711006213126</v>
      </c>
      <c r="S15" s="282" t="e">
        <f>Q15*(W15+R15*(R$7-$B$28))</f>
        <v>#DIV/0!</v>
      </c>
      <c r="T15" s="51" t="e">
        <f>'Combustion_Chaud1 (Micro)'!L81-T16</f>
        <v>#DIV/0!</v>
      </c>
      <c r="U15" s="50">
        <f t="shared" si="4"/>
        <v>34.340112578213123</v>
      </c>
      <c r="V15" s="286" t="e">
        <f>((T15-G89)*$W$15)+(T15*U15*(U$7-$B$28))</f>
        <v>#DIV/0!</v>
      </c>
      <c r="W15" s="257">
        <v>44408</v>
      </c>
      <c r="X15" s="19" t="s">
        <v>95</v>
      </c>
      <c r="AA15" s="54">
        <f t="shared" si="7"/>
        <v>195</v>
      </c>
      <c r="AB15" s="381" t="e">
        <v>#DIV/0!</v>
      </c>
    </row>
    <row r="16" spans="1:31" ht="15.6">
      <c r="A16" s="53" t="s">
        <v>96</v>
      </c>
      <c r="B16" s="19" t="s">
        <v>324</v>
      </c>
      <c r="C16" s="284">
        <f>C15</f>
        <v>18.015280000000001</v>
      </c>
      <c r="D16" s="283">
        <v>2</v>
      </c>
      <c r="E16" s="282">
        <v>0</v>
      </c>
      <c r="F16" s="51">
        <v>75.400000000000006</v>
      </c>
      <c r="G16" s="50">
        <v>0</v>
      </c>
      <c r="H16" s="50">
        <v>0</v>
      </c>
      <c r="I16" s="50">
        <v>0</v>
      </c>
      <c r="J16" s="49">
        <f t="shared" si="5"/>
        <v>0</v>
      </c>
      <c r="K16" s="50">
        <f t="shared" si="0"/>
        <v>0</v>
      </c>
      <c r="L16" s="255">
        <f t="shared" si="1"/>
        <v>0</v>
      </c>
      <c r="M16" s="279">
        <f t="shared" si="2"/>
        <v>0</v>
      </c>
      <c r="N16" s="51">
        <v>0</v>
      </c>
      <c r="O16" s="50">
        <f t="shared" si="6"/>
        <v>75.400000000000006</v>
      </c>
      <c r="P16" s="52">
        <f t="shared" ref="P16:P26" si="8">N16*O16*(O$7-$B$28)</f>
        <v>0</v>
      </c>
      <c r="Q16" s="285"/>
      <c r="R16" s="50">
        <f t="shared" si="3"/>
        <v>75.400000000000006</v>
      </c>
      <c r="S16" s="282">
        <f t="shared" ref="S16:S26" si="9">Q16*R16*(R$7-$B$28)</f>
        <v>0</v>
      </c>
      <c r="T16" s="51" t="e">
        <f>'Combustion_Chaud1 (Micro)'!L92</f>
        <v>#DIV/0!</v>
      </c>
      <c r="U16" s="50">
        <f t="shared" si="4"/>
        <v>75.400000000000006</v>
      </c>
      <c r="V16" s="286" t="e">
        <f t="shared" ref="V16:V26" si="10">T16*U16*(U$7-$B$28)</f>
        <v>#DIV/0!</v>
      </c>
      <c r="AA16" s="54">
        <f t="shared" si="7"/>
        <v>194</v>
      </c>
      <c r="AB16" s="381" t="e">
        <v>#DIV/0!</v>
      </c>
    </row>
    <row r="17" spans="1:31" ht="15.6">
      <c r="A17" s="53" t="s">
        <v>97</v>
      </c>
      <c r="B17" s="19" t="s">
        <v>98</v>
      </c>
      <c r="C17" s="284">
        <v>16.042459999999998</v>
      </c>
      <c r="D17" s="283">
        <v>4</v>
      </c>
      <c r="E17" s="282">
        <v>-891460</v>
      </c>
      <c r="F17" s="51">
        <v>34.31</v>
      </c>
      <c r="G17" s="50">
        <v>5.4690000000000003</v>
      </c>
      <c r="H17" s="50">
        <v>0.36609999999999998</v>
      </c>
      <c r="I17" s="50">
        <v>-11</v>
      </c>
      <c r="J17" s="49">
        <f t="shared" si="5"/>
        <v>15.347821481999999</v>
      </c>
      <c r="K17" s="50">
        <f t="shared" si="0"/>
        <v>0.6493618071686319</v>
      </c>
      <c r="L17" s="255">
        <f t="shared" si="1"/>
        <v>-852859.78200000001</v>
      </c>
      <c r="M17" s="279">
        <f t="shared" si="2"/>
        <v>84970.267200000002</v>
      </c>
      <c r="N17" s="51">
        <f>'Combustion_Chaud1 (Micro)'!C58/100</f>
        <v>0.95669999999999999</v>
      </c>
      <c r="O17" s="50">
        <f t="shared" si="6"/>
        <v>35.283224889317438</v>
      </c>
      <c r="P17" s="52">
        <f t="shared" si="8"/>
        <v>150.21180256966446</v>
      </c>
      <c r="Q17" s="285"/>
      <c r="R17" s="50">
        <f t="shared" si="3"/>
        <v>35.283224889317438</v>
      </c>
      <c r="S17" s="282">
        <f t="shared" si="9"/>
        <v>0</v>
      </c>
      <c r="T17" s="285"/>
      <c r="U17" s="50">
        <f t="shared" si="4"/>
        <v>40.233856689317435</v>
      </c>
      <c r="V17" s="282">
        <f t="shared" si="10"/>
        <v>0</v>
      </c>
      <c r="AA17" s="54">
        <f t="shared" si="7"/>
        <v>193</v>
      </c>
      <c r="AB17" s="381" t="e">
        <v>#DIV/0!</v>
      </c>
    </row>
    <row r="18" spans="1:31" ht="15.6">
      <c r="A18" s="53" t="s">
        <v>99</v>
      </c>
      <c r="B18" s="19" t="s">
        <v>297</v>
      </c>
      <c r="C18" s="284">
        <v>30.09562</v>
      </c>
      <c r="D18" s="283">
        <v>6</v>
      </c>
      <c r="E18" s="282">
        <v>-1562060</v>
      </c>
      <c r="F18" s="51">
        <v>49.37</v>
      </c>
      <c r="G18" s="50">
        <v>13.92</v>
      </c>
      <c r="H18" s="50">
        <v>-5.8159999999999998</v>
      </c>
      <c r="I18" s="50">
        <v>7.28</v>
      </c>
      <c r="J18" s="49">
        <f t="shared" si="5"/>
        <v>0.4875490440000001</v>
      </c>
      <c r="K18" s="50">
        <f t="shared" si="0"/>
        <v>2.0628056474756629E-2</v>
      </c>
      <c r="L18" s="255">
        <f t="shared" si="1"/>
        <v>-25305.372000000003</v>
      </c>
      <c r="M18" s="279">
        <f t="shared" si="2"/>
        <v>2158.2288000000003</v>
      </c>
      <c r="N18" s="51">
        <f>'Combustion_Chaud1 (Micro)'!C59/100</f>
        <v>1.6200000000000003E-2</v>
      </c>
      <c r="O18" s="50">
        <f t="shared" si="6"/>
        <v>51.825659189805108</v>
      </c>
      <c r="P18" s="52">
        <f t="shared" si="8"/>
        <v>3.73611177099305</v>
      </c>
      <c r="Q18" s="285"/>
      <c r="R18" s="50">
        <f t="shared" si="3"/>
        <v>51.825659189805108</v>
      </c>
      <c r="S18" s="282">
        <f t="shared" si="9"/>
        <v>0</v>
      </c>
      <c r="T18" s="285"/>
      <c r="U18" s="50">
        <f t="shared" si="4"/>
        <v>63.231182069805101</v>
      </c>
      <c r="V18" s="282">
        <f t="shared" si="10"/>
        <v>0</v>
      </c>
      <c r="AA18" s="54">
        <f t="shared" si="7"/>
        <v>192</v>
      </c>
      <c r="AB18" s="381" t="e">
        <v>#DIV/0!</v>
      </c>
    </row>
    <row r="19" spans="1:31" ht="15.6">
      <c r="A19" s="53" t="s">
        <v>100</v>
      </c>
      <c r="B19" s="19" t="s">
        <v>296</v>
      </c>
      <c r="C19" s="284">
        <v>44.095619999999997</v>
      </c>
      <c r="D19" s="283">
        <v>8</v>
      </c>
      <c r="E19" s="282">
        <v>-2220990</v>
      </c>
      <c r="F19" s="51">
        <v>68.031999999999996</v>
      </c>
      <c r="G19" s="50">
        <v>22.59</v>
      </c>
      <c r="H19" s="50">
        <v>-13.11</v>
      </c>
      <c r="I19" s="50">
        <v>31.71</v>
      </c>
      <c r="J19" s="49">
        <f t="shared" si="5"/>
        <v>6.1733868000000004E-2</v>
      </c>
      <c r="K19" s="50">
        <f t="shared" si="0"/>
        <v>2.611941775254862E-3</v>
      </c>
      <c r="L19" s="255">
        <f t="shared" si="1"/>
        <v>-3109.3860000000004</v>
      </c>
      <c r="M19" s="279">
        <f t="shared" si="2"/>
        <v>248.68480000000002</v>
      </c>
      <c r="N19" s="51">
        <f>'Combustion_Chaud1 (Micro)'!C60/100</f>
        <v>1.4000000000000002E-3</v>
      </c>
      <c r="O19" s="50">
        <f t="shared" si="6"/>
        <v>72.005488801382796</v>
      </c>
      <c r="P19" s="52">
        <f t="shared" si="8"/>
        <v>0.44859419523261485</v>
      </c>
      <c r="Q19" s="285"/>
      <c r="R19" s="50">
        <f t="shared" si="3"/>
        <v>72.005488801382796</v>
      </c>
      <c r="S19" s="282">
        <f t="shared" si="9"/>
        <v>0</v>
      </c>
      <c r="T19" s="285"/>
      <c r="U19" s="50">
        <f t="shared" si="4"/>
        <v>89.867421961382803</v>
      </c>
      <c r="V19" s="282">
        <f t="shared" si="10"/>
        <v>0</v>
      </c>
      <c r="AA19" s="54">
        <f t="shared" si="7"/>
        <v>191</v>
      </c>
      <c r="AB19" s="381" t="e">
        <v>#DIV/0!</v>
      </c>
    </row>
    <row r="20" spans="1:31" ht="15.6">
      <c r="A20" s="53" t="s">
        <v>323</v>
      </c>
      <c r="B20" s="19" t="s">
        <v>322</v>
      </c>
      <c r="C20" s="284">
        <v>58.122199999999999</v>
      </c>
      <c r="D20" s="283">
        <v>10</v>
      </c>
      <c r="E20" s="286">
        <v>-2870450</v>
      </c>
      <c r="F20" s="51">
        <v>89.46</v>
      </c>
      <c r="G20" s="50">
        <v>30.13</v>
      </c>
      <c r="H20" s="50">
        <v>-18.91</v>
      </c>
      <c r="I20" s="50">
        <v>49.87</v>
      </c>
      <c r="J20" s="49">
        <f t="shared" si="5"/>
        <v>2.324888E-2</v>
      </c>
      <c r="K20" s="50">
        <f t="shared" si="0"/>
        <v>9.8365326630573758E-4</v>
      </c>
      <c r="L20" s="255">
        <f t="shared" si="1"/>
        <v>-1148.18</v>
      </c>
      <c r="M20" s="279">
        <f t="shared" si="2"/>
        <v>88.816000000000003</v>
      </c>
      <c r="N20" s="51">
        <f>'Combustion_Chaud1 (Micro)'!C61/100</f>
        <v>4.0000000000000002E-4</v>
      </c>
      <c r="O20" s="50">
        <f t="shared" si="6"/>
        <v>94.755218309944979</v>
      </c>
      <c r="P20" s="52">
        <f t="shared" si="8"/>
        <v>0.16866428859170204</v>
      </c>
      <c r="Q20" s="285"/>
      <c r="R20" s="50">
        <f t="shared" si="3"/>
        <v>94.755218309944979</v>
      </c>
      <c r="S20" s="282">
        <f t="shared" si="9"/>
        <v>0</v>
      </c>
      <c r="T20" s="285"/>
      <c r="U20" s="50">
        <f t="shared" si="4"/>
        <v>118.327318829945</v>
      </c>
      <c r="V20" s="282">
        <f t="shared" si="10"/>
        <v>0</v>
      </c>
      <c r="AA20" s="54">
        <f t="shared" si="7"/>
        <v>190</v>
      </c>
      <c r="AB20" s="381" t="e">
        <v>#DIV/0!</v>
      </c>
      <c r="AD20" s="19" t="s">
        <v>765</v>
      </c>
    </row>
    <row r="21" spans="1:31" ht="15.6">
      <c r="A21" s="53" t="s">
        <v>101</v>
      </c>
      <c r="B21" s="19" t="s">
        <v>321</v>
      </c>
      <c r="C21" s="284">
        <f>C20</f>
        <v>58.122199999999999</v>
      </c>
      <c r="D21" s="283">
        <v>10</v>
      </c>
      <c r="E21" s="289">
        <v>-2879630</v>
      </c>
      <c r="F21" s="51">
        <v>92.3</v>
      </c>
      <c r="G21" s="50">
        <v>27.88</v>
      </c>
      <c r="H21" s="50">
        <v>-15.47</v>
      </c>
      <c r="I21" s="50">
        <v>34.979999999999997</v>
      </c>
      <c r="J21" s="49">
        <f t="shared" si="5"/>
        <v>1.162444E-2</v>
      </c>
      <c r="K21" s="50">
        <f t="shared" si="0"/>
        <v>4.9182663315286879E-4</v>
      </c>
      <c r="L21" s="255">
        <f t="shared" si="1"/>
        <v>-575.92600000000004</v>
      </c>
      <c r="M21" s="279">
        <f t="shared" si="2"/>
        <v>44.408000000000001</v>
      </c>
      <c r="N21" s="51">
        <f>'Combustion_Chaud1 (Micro)'!C62/100</f>
        <v>2.0000000000000001E-4</v>
      </c>
      <c r="O21" s="50">
        <f t="shared" si="6"/>
        <v>97.206232259530026</v>
      </c>
      <c r="P21" s="52">
        <f t="shared" si="8"/>
        <v>8.6513546710981701E-2</v>
      </c>
      <c r="Q21" s="285"/>
      <c r="R21" s="50">
        <f t="shared" si="3"/>
        <v>97.206232259530026</v>
      </c>
      <c r="S21" s="282">
        <f t="shared" si="9"/>
        <v>0</v>
      </c>
      <c r="T21" s="285"/>
      <c r="U21" s="50">
        <f t="shared" si="4"/>
        <v>119.37495233953004</v>
      </c>
      <c r="V21" s="282">
        <f t="shared" si="10"/>
        <v>0</v>
      </c>
      <c r="AA21" s="54">
        <f t="shared" si="7"/>
        <v>189</v>
      </c>
      <c r="AB21" s="381" t="e">
        <v>#DIV/0!</v>
      </c>
      <c r="AD21" s="566" t="s">
        <v>766</v>
      </c>
      <c r="AE21" s="566"/>
    </row>
    <row r="22" spans="1:31" ht="15.6">
      <c r="A22" s="53" t="s">
        <v>320</v>
      </c>
      <c r="B22" s="19" t="s">
        <v>292</v>
      </c>
      <c r="C22" s="284">
        <v>72.148780000000002</v>
      </c>
      <c r="D22" s="283">
        <v>12</v>
      </c>
      <c r="E22" s="286">
        <v>-3531520</v>
      </c>
      <c r="F22" s="288">
        <f>F23</f>
        <v>114.8</v>
      </c>
      <c r="G22" s="287">
        <f>G23</f>
        <v>34.090000000000003</v>
      </c>
      <c r="H22" s="287">
        <f>H23</f>
        <v>-18.989999999999998</v>
      </c>
      <c r="I22" s="287">
        <f>I23</f>
        <v>42.26</v>
      </c>
      <c r="J22" s="49">
        <f t="shared" si="5"/>
        <v>0</v>
      </c>
      <c r="K22" s="50">
        <f t="shared" si="0"/>
        <v>0</v>
      </c>
      <c r="L22" s="255">
        <f t="shared" si="1"/>
        <v>0</v>
      </c>
      <c r="M22" s="279">
        <f t="shared" si="2"/>
        <v>0</v>
      </c>
      <c r="N22" s="51">
        <f>'Combustion_Chaud1 (Micro)'!C63/100</f>
        <v>0</v>
      </c>
      <c r="O22" s="50">
        <f t="shared" si="6"/>
        <v>120.79880684203513</v>
      </c>
      <c r="P22" s="52">
        <f t="shared" si="8"/>
        <v>0</v>
      </c>
      <c r="Q22" s="285"/>
      <c r="R22" s="50">
        <f t="shared" si="3"/>
        <v>120.79880684203513</v>
      </c>
      <c r="S22" s="282">
        <f t="shared" si="9"/>
        <v>0</v>
      </c>
      <c r="T22" s="285"/>
      <c r="U22" s="50">
        <f t="shared" si="4"/>
        <v>147.88865780203514</v>
      </c>
      <c r="V22" s="282">
        <f t="shared" si="10"/>
        <v>0</v>
      </c>
      <c r="AA22" s="54">
        <f t="shared" si="7"/>
        <v>188</v>
      </c>
      <c r="AB22" s="381" t="e">
        <v>#DIV/0!</v>
      </c>
      <c r="AD22" s="19" t="s">
        <v>763</v>
      </c>
      <c r="AE22" s="19" t="e">
        <f>SLOPE(AB10:AB100,AA10:AA100)</f>
        <v>#DIV/0!</v>
      </c>
    </row>
    <row r="23" spans="1:31" ht="15.6">
      <c r="A23" s="53" t="s">
        <v>291</v>
      </c>
      <c r="B23" s="19" t="s">
        <v>290</v>
      </c>
      <c r="C23" s="284">
        <f>C22</f>
        <v>72.148780000000002</v>
      </c>
      <c r="D23" s="283">
        <v>12</v>
      </c>
      <c r="E23" s="286">
        <v>-3538450</v>
      </c>
      <c r="F23" s="51">
        <v>114.8</v>
      </c>
      <c r="G23" s="50">
        <v>34.090000000000003</v>
      </c>
      <c r="H23" s="50">
        <v>-18.989999999999998</v>
      </c>
      <c r="I23" s="50">
        <v>42.26</v>
      </c>
      <c r="J23" s="49">
        <f t="shared" si="5"/>
        <v>0</v>
      </c>
      <c r="K23" s="50">
        <f t="shared" si="0"/>
        <v>0</v>
      </c>
      <c r="L23" s="255">
        <f t="shared" si="1"/>
        <v>0</v>
      </c>
      <c r="M23" s="279">
        <f t="shared" si="2"/>
        <v>0</v>
      </c>
      <c r="N23" s="51">
        <f>'Combustion_Chaud1 (Micro)'!C64/100</f>
        <v>0</v>
      </c>
      <c r="O23" s="50">
        <f t="shared" si="6"/>
        <v>120.79880684203513</v>
      </c>
      <c r="P23" s="52">
        <f t="shared" si="8"/>
        <v>0</v>
      </c>
      <c r="Q23" s="285"/>
      <c r="R23" s="50">
        <f t="shared" si="3"/>
        <v>120.79880684203513</v>
      </c>
      <c r="S23" s="282">
        <f t="shared" si="9"/>
        <v>0</v>
      </c>
      <c r="T23" s="285"/>
      <c r="U23" s="50">
        <f t="shared" si="4"/>
        <v>147.88865780203514</v>
      </c>
      <c r="V23" s="282">
        <f t="shared" si="10"/>
        <v>0</v>
      </c>
      <c r="AA23" s="54">
        <f t="shared" si="7"/>
        <v>187</v>
      </c>
      <c r="AB23" s="381" t="e">
        <v>#DIV/0!</v>
      </c>
      <c r="AD23" s="19" t="s">
        <v>764</v>
      </c>
      <c r="AE23" s="19" t="e">
        <f>INTERCEPT(AB10:AB100,AA10:AA100)</f>
        <v>#DIV/0!</v>
      </c>
    </row>
    <row r="24" spans="1:31" ht="15.6">
      <c r="A24" s="53" t="s">
        <v>289</v>
      </c>
      <c r="B24" s="19" t="s">
        <v>288</v>
      </c>
      <c r="C24" s="284">
        <v>86.175359999999998</v>
      </c>
      <c r="D24" s="283">
        <v>14</v>
      </c>
      <c r="E24" s="282">
        <v>-4198060</v>
      </c>
      <c r="F24" s="51">
        <v>137.44</v>
      </c>
      <c r="G24" s="50">
        <v>40.85</v>
      </c>
      <c r="H24" s="50">
        <v>-23.92</v>
      </c>
      <c r="I24" s="50">
        <v>57.66</v>
      </c>
      <c r="J24" s="49">
        <f t="shared" si="5"/>
        <v>0</v>
      </c>
      <c r="K24" s="50">
        <f t="shared" si="0"/>
        <v>0</v>
      </c>
      <c r="L24" s="255">
        <f t="shared" si="1"/>
        <v>0</v>
      </c>
      <c r="M24" s="279">
        <f t="shared" si="2"/>
        <v>0</v>
      </c>
      <c r="N24" s="51">
        <f>'Combustion_Chaud1 (Micro)'!C65/100</f>
        <v>0</v>
      </c>
      <c r="O24" s="50">
        <f t="shared" si="6"/>
        <v>144.62466696263243</v>
      </c>
      <c r="P24" s="52">
        <f t="shared" si="8"/>
        <v>0</v>
      </c>
      <c r="Q24" s="285"/>
      <c r="R24" s="50">
        <f t="shared" si="3"/>
        <v>144.62466696263243</v>
      </c>
      <c r="S24" s="282">
        <f t="shared" si="9"/>
        <v>0</v>
      </c>
      <c r="T24" s="285"/>
      <c r="U24" s="50">
        <f t="shared" si="4"/>
        <v>176.88391632263244</v>
      </c>
      <c r="V24" s="282">
        <f t="shared" si="10"/>
        <v>0</v>
      </c>
      <c r="AA24" s="54">
        <f t="shared" si="7"/>
        <v>186</v>
      </c>
      <c r="AB24" s="381" t="e">
        <v>#DIV/0!</v>
      </c>
    </row>
    <row r="25" spans="1:31" ht="15.6">
      <c r="A25" s="53" t="s">
        <v>102</v>
      </c>
      <c r="B25" s="19" t="s">
        <v>103</v>
      </c>
      <c r="C25" s="284">
        <v>28.013400000000001</v>
      </c>
      <c r="D25" s="283">
        <v>0</v>
      </c>
      <c r="E25" s="282">
        <v>0</v>
      </c>
      <c r="F25" s="51">
        <v>29</v>
      </c>
      <c r="G25" s="50">
        <v>0.21990000000000001</v>
      </c>
      <c r="H25" s="50">
        <v>0.57230000000000003</v>
      </c>
      <c r="I25" s="50">
        <v>-2.871</v>
      </c>
      <c r="J25" s="49">
        <f t="shared" si="5"/>
        <v>0.51544656</v>
      </c>
      <c r="K25" s="50">
        <f t="shared" si="0"/>
        <v>2.1808392161259224E-2</v>
      </c>
      <c r="L25" s="255">
        <f t="shared" si="1"/>
        <v>0</v>
      </c>
      <c r="M25" s="279">
        <f t="shared" si="2"/>
        <v>0</v>
      </c>
      <c r="N25" s="51">
        <f>'Combustion_Chaud1 (Micro)'!C66/100</f>
        <v>1.84E-2</v>
      </c>
      <c r="O25" s="50">
        <f t="shared" si="6"/>
        <v>29.040906861332303</v>
      </c>
      <c r="P25" s="52">
        <f t="shared" si="8"/>
        <v>2.3778694538058889</v>
      </c>
      <c r="Q25" s="51" t="e">
        <f>'Combustion_Chaud1 (Micro)'!G87</f>
        <v>#DIV/0!</v>
      </c>
      <c r="R25" s="50">
        <f t="shared" si="3"/>
        <v>29.040906861332303</v>
      </c>
      <c r="S25" s="282" t="e">
        <f t="shared" si="9"/>
        <v>#DIV/0!</v>
      </c>
      <c r="T25" s="51" t="e">
        <f>'Combustion_Chaud1 (Micro)'!L77</f>
        <v>#DIV/0!</v>
      </c>
      <c r="U25" s="50">
        <f t="shared" si="4"/>
        <v>29.340659745332303</v>
      </c>
      <c r="V25" s="282" t="e">
        <f>T25*U25*(U$7-$B$28)</f>
        <v>#DIV/0!</v>
      </c>
      <c r="AA25" s="54">
        <f t="shared" si="7"/>
        <v>185</v>
      </c>
      <c r="AB25" s="381" t="e">
        <v>#DIV/0!</v>
      </c>
    </row>
    <row r="26" spans="1:31">
      <c r="A26" s="55" t="s">
        <v>104</v>
      </c>
      <c r="B26" s="56" t="s">
        <v>105</v>
      </c>
      <c r="C26" s="281">
        <v>4.0026020000000004</v>
      </c>
      <c r="D26" s="280">
        <v>0</v>
      </c>
      <c r="E26" s="275">
        <v>0</v>
      </c>
      <c r="F26" s="59">
        <v>20.8</v>
      </c>
      <c r="G26" s="60">
        <v>0</v>
      </c>
      <c r="H26" s="60">
        <v>0</v>
      </c>
      <c r="I26" s="60">
        <v>0</v>
      </c>
      <c r="J26" s="61">
        <f t="shared" si="5"/>
        <v>1.2007806E-3</v>
      </c>
      <c r="K26" s="60">
        <f t="shared" si="0"/>
        <v>5.0804673571654341E-5</v>
      </c>
      <c r="L26" s="252">
        <f t="shared" si="1"/>
        <v>0</v>
      </c>
      <c r="M26" s="279">
        <f t="shared" si="2"/>
        <v>0</v>
      </c>
      <c r="N26" s="59">
        <f>'Combustion_Chaud1 (Micro)'!C67/100</f>
        <v>2.9999999999999997E-4</v>
      </c>
      <c r="O26" s="60">
        <f t="shared" si="6"/>
        <v>20.8</v>
      </c>
      <c r="P26" s="278">
        <f t="shared" si="8"/>
        <v>2.7767999999999994E-2</v>
      </c>
      <c r="Q26" s="277"/>
      <c r="R26" s="60">
        <f t="shared" si="3"/>
        <v>20.8</v>
      </c>
      <c r="S26" s="275">
        <f t="shared" si="9"/>
        <v>0</v>
      </c>
      <c r="T26" s="276">
        <f>L80</f>
        <v>2.9999999999999997E-4</v>
      </c>
      <c r="U26" s="60">
        <f t="shared" si="4"/>
        <v>20.8</v>
      </c>
      <c r="V26" s="275">
        <f t="shared" si="10"/>
        <v>1.150968</v>
      </c>
      <c r="AA26" s="54">
        <f t="shared" si="7"/>
        <v>184</v>
      </c>
      <c r="AB26" s="381" t="e">
        <v>#DIV/0!</v>
      </c>
    </row>
    <row r="27" spans="1:31">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t="e">
        <f>SUM(Q11:Q26)</f>
        <v>#DIV/0!</v>
      </c>
      <c r="R27" s="63"/>
      <c r="S27" s="269" t="e">
        <f>SUM(S11:S26)</f>
        <v>#DIV/0!</v>
      </c>
      <c r="T27" s="64" t="e">
        <f>SUM(T11:T26)</f>
        <v>#DIV/0!</v>
      </c>
      <c r="U27" s="63"/>
      <c r="V27" s="269" t="e">
        <f>SUM(V11:V26)</f>
        <v>#DIV/0!</v>
      </c>
      <c r="AA27" s="54">
        <f t="shared" si="7"/>
        <v>183</v>
      </c>
      <c r="AB27" s="381" t="e">
        <v>#DIV/0!</v>
      </c>
    </row>
    <row r="28" spans="1:31">
      <c r="A28" s="38" t="s">
        <v>319</v>
      </c>
      <c r="B28" s="268">
        <v>15.55</v>
      </c>
      <c r="C28" s="38" t="s">
        <v>318</v>
      </c>
      <c r="D28" s="38" t="s">
        <v>195</v>
      </c>
      <c r="E28" s="268">
        <v>14.73</v>
      </c>
      <c r="F28" s="19" t="s">
        <v>317</v>
      </c>
      <c r="AA28" s="54">
        <f t="shared" si="7"/>
        <v>182</v>
      </c>
      <c r="AB28" s="381" t="e">
        <v>#DIV/0!</v>
      </c>
    </row>
    <row r="29" spans="1:31">
      <c r="A29" s="38"/>
      <c r="B29" s="267">
        <f>B28+273.15</f>
        <v>288.7</v>
      </c>
      <c r="C29" s="38" t="s">
        <v>316</v>
      </c>
      <c r="D29" s="38"/>
      <c r="E29" s="266">
        <f>E28/0.145038*1000</f>
        <v>101559.59127952674</v>
      </c>
      <c r="F29" s="19" t="s">
        <v>155</v>
      </c>
      <c r="J29" s="1949" t="s">
        <v>315</v>
      </c>
      <c r="K29" s="1950"/>
      <c r="L29" s="1951"/>
      <c r="AA29" s="54">
        <f t="shared" si="7"/>
        <v>181</v>
      </c>
      <c r="AB29" s="381" t="e">
        <v>#DIV/0!</v>
      </c>
    </row>
    <row r="30" spans="1:31">
      <c r="A30" s="38" t="s">
        <v>314</v>
      </c>
      <c r="J30" s="265" t="s">
        <v>313</v>
      </c>
      <c r="K30" s="264" t="s">
        <v>312</v>
      </c>
      <c r="L30" s="263"/>
      <c r="N30" s="23"/>
      <c r="U30" s="24"/>
      <c r="V30" s="24"/>
      <c r="AA30" s="54">
        <f t="shared" si="7"/>
        <v>180</v>
      </c>
      <c r="AB30" s="381" t="e">
        <v>#DIV/0!</v>
      </c>
    </row>
    <row r="31" spans="1:31">
      <c r="D31" s="23"/>
      <c r="J31" s="262">
        <f>K31-M27/1000</f>
        <v>795.48824120000018</v>
      </c>
      <c r="K31" s="261">
        <f>ABS(L27/1000)</f>
        <v>882.99864600000012</v>
      </c>
      <c r="L31" s="66" t="s">
        <v>107</v>
      </c>
      <c r="AA31" s="54">
        <f t="shared" si="7"/>
        <v>179</v>
      </c>
      <c r="AB31" s="381" t="e">
        <v>#DIV/0!</v>
      </c>
    </row>
    <row r="32" spans="1:31">
      <c r="A32" s="38" t="s">
        <v>311</v>
      </c>
      <c r="B32" s="37">
        <v>8.3144621000000001</v>
      </c>
      <c r="C32" s="19" t="s">
        <v>310</v>
      </c>
      <c r="J32" s="256">
        <f>J31/(J27/1000)</f>
        <v>47547.797336725132</v>
      </c>
      <c r="K32" s="255">
        <f>K31/(J27/1000)</f>
        <v>52778.455411580377</v>
      </c>
      <c r="L32" s="67" t="s">
        <v>108</v>
      </c>
      <c r="AA32" s="54">
        <f t="shared" si="7"/>
        <v>178</v>
      </c>
      <c r="AB32" s="381" t="e">
        <v>#DIV/0!</v>
      </c>
    </row>
    <row r="33" spans="1:28" ht="15.6">
      <c r="F33" s="24"/>
      <c r="I33" s="23"/>
      <c r="J33" s="260">
        <f>(J32/1000)*K27</f>
        <v>33.656873224180529</v>
      </c>
      <c r="K33" s="259">
        <f>(K32/1000)*K27</f>
        <v>37.359412680586914</v>
      </c>
      <c r="L33" s="67" t="s">
        <v>109</v>
      </c>
      <c r="M33" s="19" t="s">
        <v>303</v>
      </c>
      <c r="AA33" s="54">
        <f t="shared" si="7"/>
        <v>177</v>
      </c>
      <c r="AB33" s="381" t="e">
        <v>#DIV/0!</v>
      </c>
    </row>
    <row r="34" spans="1:28">
      <c r="A34" s="26" t="s">
        <v>309</v>
      </c>
      <c r="F34" s="24"/>
      <c r="I34" s="23"/>
      <c r="J34" s="258"/>
      <c r="K34" s="257"/>
      <c r="L34" s="67"/>
      <c r="AA34" s="54">
        <f t="shared" si="7"/>
        <v>176</v>
      </c>
      <c r="AB34" s="381" t="e">
        <v>#DIV/0!</v>
      </c>
    </row>
    <row r="35" spans="1:28" ht="15.6">
      <c r="A35" s="254" t="s">
        <v>308</v>
      </c>
      <c r="F35" s="24"/>
      <c r="I35" s="24"/>
      <c r="J35" s="256">
        <f>(J33*1000)/1.055056*0.02831685</f>
        <v>903.32326488654292</v>
      </c>
      <c r="K35" s="255">
        <f>(K33*1000)/1.055056*0.02831685</f>
        <v>1002.696430297802</v>
      </c>
      <c r="L35" s="67" t="s">
        <v>307</v>
      </c>
      <c r="M35" s="19" t="s">
        <v>303</v>
      </c>
      <c r="AA35" s="54">
        <f t="shared" si="7"/>
        <v>175</v>
      </c>
      <c r="AB35" s="381" t="e">
        <v>#DIV/0!</v>
      </c>
    </row>
    <row r="36" spans="1:28" ht="15.6">
      <c r="A36" s="254" t="s">
        <v>306</v>
      </c>
      <c r="J36" s="256">
        <f>(J32/1.055056)*0.4535924</f>
        <v>20441.871814082628</v>
      </c>
      <c r="K36" s="255">
        <f>(K32/1.055056)*0.4535924</f>
        <v>22690.649840796821</v>
      </c>
      <c r="L36" s="67" t="s">
        <v>305</v>
      </c>
      <c r="AA36" s="54">
        <f t="shared" si="7"/>
        <v>174</v>
      </c>
      <c r="AB36" s="381" t="e">
        <v>#DIV/0!</v>
      </c>
    </row>
    <row r="37" spans="1:28">
      <c r="A37" s="254"/>
      <c r="J37" s="253">
        <f>J35/7.480519</f>
        <v>120.75676365323621</v>
      </c>
      <c r="K37" s="252">
        <f>K35/7.480519</f>
        <v>134.04102446605668</v>
      </c>
      <c r="L37" s="70" t="s">
        <v>304</v>
      </c>
      <c r="M37" s="19" t="s">
        <v>303</v>
      </c>
      <c r="AA37" s="54">
        <f t="shared" si="7"/>
        <v>173</v>
      </c>
      <c r="AB37" s="381" t="e">
        <v>#DIV/0!</v>
      </c>
    </row>
    <row r="38" spans="1:28">
      <c r="AA38" s="54">
        <f t="shared" si="7"/>
        <v>172</v>
      </c>
      <c r="AB38" s="381" t="e">
        <v>#DIV/0!</v>
      </c>
    </row>
    <row r="39" spans="1:28">
      <c r="B39" s="23"/>
      <c r="F39" s="38"/>
      <c r="H39" s="71"/>
      <c r="AA39" s="54">
        <f t="shared" si="7"/>
        <v>171</v>
      </c>
      <c r="AB39" s="381" t="e">
        <v>#DIV/0!</v>
      </c>
    </row>
    <row r="40" spans="1:28">
      <c r="B40" s="23"/>
      <c r="F40" s="72" t="s">
        <v>112</v>
      </c>
      <c r="H40" s="38"/>
      <c r="AA40" s="54">
        <f t="shared" si="7"/>
        <v>170</v>
      </c>
      <c r="AB40" s="381" t="e">
        <v>#DIV/0!</v>
      </c>
    </row>
    <row r="41" spans="1:28">
      <c r="B41" s="23"/>
      <c r="E41" s="73" t="s">
        <v>102</v>
      </c>
      <c r="F41" s="251">
        <v>0.78995048751598307</v>
      </c>
      <c r="H41" s="38"/>
      <c r="AA41" s="54">
        <f t="shared" si="7"/>
        <v>169</v>
      </c>
      <c r="AB41" s="381" t="e">
        <v>#DIV/0!</v>
      </c>
    </row>
    <row r="42" spans="1:28">
      <c r="B42" s="23"/>
      <c r="E42" s="73" t="s">
        <v>88</v>
      </c>
      <c r="F42" s="251">
        <f>1-F41</f>
        <v>0.21004951248401693</v>
      </c>
      <c r="G42" s="74"/>
      <c r="H42" s="38"/>
      <c r="AA42" s="54">
        <f t="shared" si="7"/>
        <v>168</v>
      </c>
      <c r="AB42" s="381" t="e">
        <v>#DIV/0!</v>
      </c>
    </row>
    <row r="43" spans="1:28">
      <c r="A43" s="26" t="s">
        <v>113</v>
      </c>
      <c r="B43" s="23"/>
      <c r="E43" s="73" t="s">
        <v>114</v>
      </c>
      <c r="F43" s="251">
        <v>0</v>
      </c>
      <c r="G43" s="74"/>
      <c r="H43" s="38"/>
      <c r="AA43" s="54">
        <f t="shared" si="7"/>
        <v>167</v>
      </c>
      <c r="AB43" s="381" t="e">
        <v>#DIV/0!</v>
      </c>
    </row>
    <row r="44" spans="1:28">
      <c r="B44" s="23"/>
      <c r="F44" s="74"/>
      <c r="G44" s="74"/>
      <c r="H44" s="75"/>
      <c r="AA44" s="54">
        <f t="shared" si="7"/>
        <v>166</v>
      </c>
      <c r="AB44" s="381" t="e">
        <v>#DIV/0!</v>
      </c>
    </row>
    <row r="45" spans="1:28" ht="16.2" thickBot="1">
      <c r="B45" s="23"/>
      <c r="G45" s="68"/>
      <c r="H45" s="76"/>
      <c r="AA45" s="54">
        <f t="shared" si="7"/>
        <v>165</v>
      </c>
      <c r="AB45" s="381" t="e">
        <v>#DIV/0!</v>
      </c>
    </row>
    <row r="46" spans="1:28">
      <c r="A46" s="1929" t="s">
        <v>302</v>
      </c>
      <c r="B46" s="1930"/>
      <c r="C46" s="1930"/>
      <c r="D46" s="1930"/>
      <c r="E46" s="1930"/>
      <c r="F46" s="1930"/>
      <c r="G46" s="1930"/>
      <c r="H46" s="1930"/>
      <c r="I46" s="1930"/>
      <c r="J46" s="250"/>
      <c r="AA46" s="54">
        <f t="shared" si="7"/>
        <v>164</v>
      </c>
      <c r="AB46" s="381" t="e">
        <v>#DIV/0!</v>
      </c>
    </row>
    <row r="47" spans="1:28">
      <c r="A47" s="77"/>
      <c r="B47" s="37"/>
      <c r="C47" s="37"/>
      <c r="D47" s="37"/>
      <c r="E47" s="37"/>
      <c r="J47" s="248"/>
      <c r="AA47" s="54">
        <f t="shared" si="7"/>
        <v>163</v>
      </c>
      <c r="AB47" s="381" t="e">
        <v>#DIV/0!</v>
      </c>
    </row>
    <row r="48" spans="1:28">
      <c r="A48" s="79"/>
      <c r="B48" s="24"/>
      <c r="C48" s="27" t="s">
        <v>115</v>
      </c>
      <c r="D48" s="1920" t="s">
        <v>301</v>
      </c>
      <c r="E48" s="1921"/>
      <c r="F48" s="1921"/>
      <c r="G48" s="1921"/>
      <c r="H48" s="1937"/>
      <c r="I48" s="249" t="s">
        <v>287</v>
      </c>
      <c r="J48" s="248"/>
      <c r="AA48" s="54">
        <f t="shared" si="7"/>
        <v>162</v>
      </c>
      <c r="AB48" s="381" t="e">
        <v>#DIV/0!</v>
      </c>
    </row>
    <row r="49" spans="1:28" ht="15.6">
      <c r="A49" s="79"/>
      <c r="B49" s="24"/>
      <c r="C49" s="247" t="s">
        <v>300</v>
      </c>
      <c r="D49" s="35" t="s">
        <v>116</v>
      </c>
      <c r="E49" s="37" t="s">
        <v>117</v>
      </c>
      <c r="F49" s="37" t="s">
        <v>105</v>
      </c>
      <c r="G49" s="37" t="s">
        <v>118</v>
      </c>
      <c r="H49" s="36" t="s">
        <v>119</v>
      </c>
      <c r="I49" s="80" t="s">
        <v>120</v>
      </c>
      <c r="AA49" s="54">
        <f t="shared" si="7"/>
        <v>161</v>
      </c>
      <c r="AB49" s="381" t="e">
        <v>#DIV/0!</v>
      </c>
    </row>
    <row r="50" spans="1:28">
      <c r="A50" s="81" t="s">
        <v>121</v>
      </c>
      <c r="B50" s="23"/>
      <c r="C50" s="82"/>
      <c r="D50" s="35"/>
      <c r="E50" s="37"/>
      <c r="F50" s="37"/>
      <c r="G50" s="37"/>
      <c r="H50" s="36"/>
      <c r="I50" s="83"/>
      <c r="AA50" s="54">
        <f t="shared" si="7"/>
        <v>160</v>
      </c>
      <c r="AB50" s="381" t="e">
        <v>#DIV/0!</v>
      </c>
    </row>
    <row r="51" spans="1:28">
      <c r="A51" s="81"/>
      <c r="B51" s="84" t="s">
        <v>119</v>
      </c>
      <c r="C51" s="85">
        <f>SUM(C53:C67)</f>
        <v>100.00000000000001</v>
      </c>
      <c r="D51" s="86">
        <f>SUM(D53:D67)</f>
        <v>1.0020999999999998</v>
      </c>
      <c r="E51" s="87">
        <f t="shared" ref="E51:H51" si="11">SUM(E53:E67)</f>
        <v>1.9705999999999999</v>
      </c>
      <c r="F51" s="87">
        <f t="shared" si="11"/>
        <v>2.9999999999999997E-4</v>
      </c>
      <c r="G51" s="87">
        <f t="shared" si="11"/>
        <v>1.84E-2</v>
      </c>
      <c r="H51" s="88">
        <f t="shared" si="11"/>
        <v>2.9914000000000001</v>
      </c>
      <c r="I51" s="89">
        <f>SUM(I53:I67)</f>
        <v>1.9809999999999999</v>
      </c>
      <c r="AA51" s="54">
        <f t="shared" si="7"/>
        <v>159</v>
      </c>
      <c r="AB51" s="381" t="e">
        <v>#DIV/0!</v>
      </c>
    </row>
    <row r="52" spans="1:28">
      <c r="A52" s="79"/>
      <c r="B52" s="23"/>
      <c r="H52" s="50"/>
      <c r="I52" s="78"/>
      <c r="AA52" s="54">
        <f t="shared" si="7"/>
        <v>158</v>
      </c>
      <c r="AB52" s="381" t="e">
        <v>#DIV/0!</v>
      </c>
    </row>
    <row r="53" spans="1:28" ht="15.6">
      <c r="A53" s="79" t="s">
        <v>88</v>
      </c>
      <c r="B53" s="19" t="s">
        <v>89</v>
      </c>
      <c r="C53" s="305">
        <v>0</v>
      </c>
      <c r="D53" s="90"/>
      <c r="E53" s="90"/>
      <c r="F53" s="90"/>
      <c r="G53" s="90"/>
      <c r="H53" s="50">
        <f t="shared" ref="H53:H67" si="12">SUM(D53:G53)</f>
        <v>0</v>
      </c>
      <c r="I53" s="91">
        <f>-C53/100</f>
        <v>0</v>
      </c>
      <c r="AA53" s="54">
        <f t="shared" si="7"/>
        <v>157</v>
      </c>
      <c r="AB53" s="381" t="e">
        <v>#DIV/0!</v>
      </c>
    </row>
    <row r="54" spans="1:28">
      <c r="A54" s="79" t="s">
        <v>299</v>
      </c>
      <c r="B54" s="19" t="s">
        <v>90</v>
      </c>
      <c r="C54" s="305">
        <v>0</v>
      </c>
      <c r="D54" s="90">
        <f>C54/100</f>
        <v>0</v>
      </c>
      <c r="E54" s="90"/>
      <c r="F54" s="90"/>
      <c r="G54" s="90"/>
      <c r="H54" s="50">
        <f t="shared" si="12"/>
        <v>0</v>
      </c>
      <c r="I54" s="246">
        <f>D54+E54/2</f>
        <v>0</v>
      </c>
      <c r="AA54" s="54">
        <f t="shared" si="7"/>
        <v>156</v>
      </c>
      <c r="AB54" s="381" t="e">
        <v>#DIV/0!</v>
      </c>
    </row>
    <row r="55" spans="1:28" ht="15.6">
      <c r="A55" s="79" t="s">
        <v>284</v>
      </c>
      <c r="B55" s="19" t="s">
        <v>91</v>
      </c>
      <c r="C55" s="305">
        <v>0.64</v>
      </c>
      <c r="D55" s="90">
        <f>C55/100</f>
        <v>6.4000000000000003E-3</v>
      </c>
      <c r="E55" s="90"/>
      <c r="F55" s="90"/>
      <c r="G55" s="90"/>
      <c r="H55" s="50">
        <f t="shared" si="12"/>
        <v>6.4000000000000003E-3</v>
      </c>
      <c r="I55" s="91">
        <v>0</v>
      </c>
      <c r="AA55" s="54">
        <f t="shared" si="7"/>
        <v>155</v>
      </c>
      <c r="AB55" s="381" t="e">
        <v>#DIV/0!</v>
      </c>
    </row>
    <row r="56" spans="1:28" ht="15.6">
      <c r="A56" s="79" t="s">
        <v>92</v>
      </c>
      <c r="B56" s="19" t="s">
        <v>93</v>
      </c>
      <c r="C56" s="305">
        <v>0</v>
      </c>
      <c r="D56" s="90"/>
      <c r="E56" s="90">
        <f>C56/100</f>
        <v>0</v>
      </c>
      <c r="F56" s="90"/>
      <c r="G56" s="90"/>
      <c r="H56" s="50">
        <f t="shared" si="12"/>
        <v>0</v>
      </c>
      <c r="I56" s="91">
        <f>D56+E56/2</f>
        <v>0</v>
      </c>
      <c r="AA56" s="54">
        <f t="shared" si="7"/>
        <v>154</v>
      </c>
      <c r="AB56" s="381" t="e">
        <v>#DIV/0!</v>
      </c>
    </row>
    <row r="57" spans="1:28" ht="15.6">
      <c r="A57" s="79" t="s">
        <v>94</v>
      </c>
      <c r="B57" s="19" t="s">
        <v>298</v>
      </c>
      <c r="C57" s="305">
        <v>0</v>
      </c>
      <c r="D57" s="90"/>
      <c r="E57" s="90">
        <f>C57/100</f>
        <v>0</v>
      </c>
      <c r="F57" s="90"/>
      <c r="G57" s="90"/>
      <c r="H57" s="50">
        <f t="shared" si="12"/>
        <v>0</v>
      </c>
      <c r="I57" s="246">
        <v>0</v>
      </c>
      <c r="AA57" s="54">
        <f t="shared" si="7"/>
        <v>153</v>
      </c>
      <c r="AB57" s="381" t="e">
        <v>#DIV/0!</v>
      </c>
    </row>
    <row r="58" spans="1:28" ht="15.6">
      <c r="A58" s="79" t="s">
        <v>97</v>
      </c>
      <c r="B58" s="19" t="s">
        <v>98</v>
      </c>
      <c r="C58" s="305">
        <v>95.67</v>
      </c>
      <c r="D58" s="90">
        <f>C58/100</f>
        <v>0.95669999999999999</v>
      </c>
      <c r="E58" s="90">
        <f>C58/100*2</f>
        <v>1.9134</v>
      </c>
      <c r="F58" s="90"/>
      <c r="G58" s="90"/>
      <c r="H58" s="50">
        <f t="shared" si="12"/>
        <v>2.8700999999999999</v>
      </c>
      <c r="I58" s="91">
        <f t="shared" ref="I58:I64" si="13">D58+E58/2</f>
        <v>1.9134</v>
      </c>
      <c r="AA58" s="54">
        <f t="shared" si="7"/>
        <v>152</v>
      </c>
      <c r="AB58" s="381" t="e">
        <v>#DIV/0!</v>
      </c>
    </row>
    <row r="59" spans="1:28" ht="15.6">
      <c r="A59" s="79" t="s">
        <v>99</v>
      </c>
      <c r="B59" s="19" t="s">
        <v>297</v>
      </c>
      <c r="C59" s="305">
        <v>1.62</v>
      </c>
      <c r="D59" s="90">
        <f>C59*2/100</f>
        <v>3.2400000000000005E-2</v>
      </c>
      <c r="E59" s="90">
        <f>C59/100*3</f>
        <v>4.8600000000000004E-2</v>
      </c>
      <c r="F59" s="90"/>
      <c r="G59" s="90"/>
      <c r="H59" s="50">
        <f t="shared" si="12"/>
        <v>8.1000000000000016E-2</v>
      </c>
      <c r="I59" s="91">
        <f t="shared" si="13"/>
        <v>5.6700000000000007E-2</v>
      </c>
      <c r="AA59" s="54">
        <f t="shared" si="7"/>
        <v>151</v>
      </c>
      <c r="AB59" s="381" t="e">
        <v>#DIV/0!</v>
      </c>
    </row>
    <row r="60" spans="1:28" ht="15.6">
      <c r="A60" s="79" t="s">
        <v>100</v>
      </c>
      <c r="B60" s="19" t="s">
        <v>296</v>
      </c>
      <c r="C60" s="305">
        <v>0.14000000000000001</v>
      </c>
      <c r="D60" s="90">
        <f>C60*3/100</f>
        <v>4.2000000000000006E-3</v>
      </c>
      <c r="E60" s="90">
        <f>C60/100*4</f>
        <v>5.6000000000000008E-3</v>
      </c>
      <c r="F60" s="90"/>
      <c r="G60" s="90"/>
      <c r="H60" s="50">
        <f t="shared" si="12"/>
        <v>9.8000000000000014E-3</v>
      </c>
      <c r="I60" s="91">
        <f t="shared" si="13"/>
        <v>7.000000000000001E-3</v>
      </c>
      <c r="AA60" s="54">
        <f t="shared" si="7"/>
        <v>150</v>
      </c>
      <c r="AB60" s="381" t="e">
        <v>#DIV/0!</v>
      </c>
    </row>
    <row r="61" spans="1:28" ht="15.6">
      <c r="A61" s="79" t="s">
        <v>295</v>
      </c>
      <c r="B61" s="19" t="s">
        <v>294</v>
      </c>
      <c r="C61" s="305">
        <v>0.04</v>
      </c>
      <c r="D61" s="90">
        <f>C61*4/100</f>
        <v>1.6000000000000001E-3</v>
      </c>
      <c r="E61" s="90">
        <f>C61/100*5</f>
        <v>2E-3</v>
      </c>
      <c r="F61" s="90"/>
      <c r="G61" s="90"/>
      <c r="H61" s="50">
        <f t="shared" si="12"/>
        <v>3.5999999999999999E-3</v>
      </c>
      <c r="I61" s="91">
        <f t="shared" si="13"/>
        <v>2.5999999999999999E-3</v>
      </c>
      <c r="AA61" s="54">
        <f t="shared" si="7"/>
        <v>149</v>
      </c>
      <c r="AB61" s="381" t="e">
        <v>#DIV/0!</v>
      </c>
    </row>
    <row r="62" spans="1:28" ht="15.6">
      <c r="A62" s="79" t="s">
        <v>101</v>
      </c>
      <c r="B62" s="19" t="s">
        <v>294</v>
      </c>
      <c r="C62" s="305">
        <v>0.02</v>
      </c>
      <c r="D62" s="90">
        <f>C62*4/100</f>
        <v>8.0000000000000004E-4</v>
      </c>
      <c r="E62" s="90">
        <f>C62/100*5</f>
        <v>1E-3</v>
      </c>
      <c r="F62" s="90"/>
      <c r="G62" s="90"/>
      <c r="H62" s="50">
        <f t="shared" si="12"/>
        <v>1.8E-3</v>
      </c>
      <c r="I62" s="91">
        <f t="shared" si="13"/>
        <v>1.2999999999999999E-3</v>
      </c>
      <c r="AA62" s="54">
        <f t="shared" si="7"/>
        <v>148</v>
      </c>
      <c r="AB62" s="381" t="e">
        <v>#DIV/0!</v>
      </c>
    </row>
    <row r="63" spans="1:28" ht="15.6">
      <c r="A63" s="53" t="s">
        <v>293</v>
      </c>
      <c r="B63" s="19" t="s">
        <v>292</v>
      </c>
      <c r="C63" s="305">
        <v>0</v>
      </c>
      <c r="D63" s="90">
        <f>C63*5/100</f>
        <v>0</v>
      </c>
      <c r="E63" s="90">
        <f>C63/100*6</f>
        <v>0</v>
      </c>
      <c r="F63" s="90"/>
      <c r="G63" s="90"/>
      <c r="H63" s="50">
        <f t="shared" si="12"/>
        <v>0</v>
      </c>
      <c r="I63" s="91">
        <f t="shared" si="13"/>
        <v>0</v>
      </c>
      <c r="AA63" s="54">
        <f t="shared" si="7"/>
        <v>147</v>
      </c>
      <c r="AB63" s="381" t="e">
        <v>#DIV/0!</v>
      </c>
    </row>
    <row r="64" spans="1:28" ht="15.6">
      <c r="A64" s="53" t="s">
        <v>291</v>
      </c>
      <c r="B64" s="19" t="s">
        <v>290</v>
      </c>
      <c r="C64" s="305">
        <v>0</v>
      </c>
      <c r="D64" s="90">
        <f>C64*5/100</f>
        <v>0</v>
      </c>
      <c r="E64" s="90">
        <f>C64/100*6</f>
        <v>0</v>
      </c>
      <c r="F64" s="90"/>
      <c r="G64" s="90"/>
      <c r="H64" s="50">
        <f t="shared" si="12"/>
        <v>0</v>
      </c>
      <c r="I64" s="91">
        <f t="shared" si="13"/>
        <v>0</v>
      </c>
      <c r="AA64" s="54">
        <f t="shared" si="7"/>
        <v>146</v>
      </c>
      <c r="AB64" s="381" t="e">
        <v>#DIV/0!</v>
      </c>
    </row>
    <row r="65" spans="1:28" ht="15.6">
      <c r="A65" s="53" t="s">
        <v>289</v>
      </c>
      <c r="B65" s="19" t="s">
        <v>288</v>
      </c>
      <c r="C65" s="305">
        <v>0</v>
      </c>
      <c r="D65" s="90">
        <f>C65*6/100</f>
        <v>0</v>
      </c>
      <c r="E65" s="90">
        <f>C65/100*7</f>
        <v>0</v>
      </c>
      <c r="F65" s="90"/>
      <c r="G65" s="90"/>
      <c r="H65" s="50">
        <f t="shared" si="12"/>
        <v>0</v>
      </c>
      <c r="I65" s="91">
        <f>D65+E65/2</f>
        <v>0</v>
      </c>
      <c r="AA65" s="54">
        <f t="shared" si="7"/>
        <v>145</v>
      </c>
      <c r="AB65" s="381" t="e">
        <v>#DIV/0!</v>
      </c>
    </row>
    <row r="66" spans="1:28" ht="15.6">
      <c r="A66" s="79" t="s">
        <v>102</v>
      </c>
      <c r="B66" s="19" t="s">
        <v>103</v>
      </c>
      <c r="C66" s="305">
        <v>1.84</v>
      </c>
      <c r="D66" s="90"/>
      <c r="E66" s="90"/>
      <c r="G66" s="90">
        <f>C66/100</f>
        <v>1.84E-2</v>
      </c>
      <c r="H66" s="50">
        <f t="shared" si="12"/>
        <v>1.84E-2</v>
      </c>
      <c r="I66" s="91">
        <v>0</v>
      </c>
      <c r="AA66" s="54">
        <f t="shared" si="7"/>
        <v>144</v>
      </c>
      <c r="AB66" s="381" t="e">
        <v>#DIV/0!</v>
      </c>
    </row>
    <row r="67" spans="1:28" ht="13.8" thickBot="1">
      <c r="A67" s="92" t="s">
        <v>104</v>
      </c>
      <c r="B67" s="93" t="s">
        <v>105</v>
      </c>
      <c r="C67" s="306">
        <v>0.03</v>
      </c>
      <c r="D67" s="95"/>
      <c r="E67" s="95"/>
      <c r="F67" s="95">
        <f>C67/100</f>
        <v>2.9999999999999997E-4</v>
      </c>
      <c r="G67" s="93"/>
      <c r="H67" s="96">
        <f t="shared" si="12"/>
        <v>2.9999999999999997E-4</v>
      </c>
      <c r="I67" s="97">
        <v>0</v>
      </c>
      <c r="AA67" s="54">
        <f t="shared" si="7"/>
        <v>143</v>
      </c>
      <c r="AB67" s="381" t="e">
        <v>#DIV/0!</v>
      </c>
    </row>
    <row r="68" spans="1:28">
      <c r="B68" s="23"/>
      <c r="AA68" s="54">
        <f t="shared" si="7"/>
        <v>142</v>
      </c>
      <c r="AB68" s="381" t="e">
        <v>#DIV/0!</v>
      </c>
    </row>
    <row r="69" spans="1:28" ht="13.8" thickBot="1">
      <c r="B69" s="23"/>
      <c r="C69" s="375" t="s">
        <v>420</v>
      </c>
      <c r="D69" s="37"/>
      <c r="E69" s="98"/>
      <c r="F69" s="98"/>
      <c r="G69" s="98"/>
      <c r="H69" s="98"/>
      <c r="I69" s="98"/>
      <c r="J69" s="98"/>
      <c r="AA69" s="54">
        <f t="shared" si="7"/>
        <v>141</v>
      </c>
      <c r="AB69" s="381" t="e">
        <v>#DIV/0!</v>
      </c>
    </row>
    <row r="70" spans="1:28">
      <c r="A70" s="1929" t="s">
        <v>122</v>
      </c>
      <c r="B70" s="1930"/>
      <c r="C70" s="1930"/>
      <c r="D70" s="1930"/>
      <c r="E70" s="1930"/>
      <c r="F70" s="1930"/>
      <c r="G70" s="1931"/>
      <c r="H70" s="98"/>
      <c r="I70" s="1929" t="s">
        <v>123</v>
      </c>
      <c r="J70" s="1930"/>
      <c r="K70" s="1930"/>
      <c r="L70" s="1930"/>
      <c r="M70" s="1930"/>
      <c r="N70" s="1931"/>
      <c r="AA70" s="54">
        <f t="shared" si="7"/>
        <v>140</v>
      </c>
      <c r="AB70" s="381" t="e">
        <v>#DIV/0!</v>
      </c>
    </row>
    <row r="71" spans="1:28">
      <c r="A71" s="99"/>
      <c r="C71" s="37"/>
      <c r="D71" s="1920" t="s">
        <v>124</v>
      </c>
      <c r="E71" s="1921"/>
      <c r="F71" s="1921"/>
      <c r="G71" s="1922"/>
      <c r="H71" s="98"/>
      <c r="I71" s="79"/>
      <c r="K71" s="37"/>
      <c r="L71" s="1923" t="s">
        <v>124</v>
      </c>
      <c r="M71" s="1924"/>
      <c r="N71" s="1925"/>
      <c r="AA71" s="54">
        <f t="shared" si="7"/>
        <v>139</v>
      </c>
      <c r="AB71" s="381" t="e">
        <v>#DIV/0!</v>
      </c>
    </row>
    <row r="72" spans="1:28" ht="15.6">
      <c r="A72" s="99"/>
      <c r="C72" s="23"/>
      <c r="D72" s="35" t="s">
        <v>125</v>
      </c>
      <c r="E72" s="37" t="s">
        <v>126</v>
      </c>
      <c r="F72" s="37" t="s">
        <v>127</v>
      </c>
      <c r="G72" s="100" t="s">
        <v>128</v>
      </c>
      <c r="H72" s="90"/>
      <c r="I72" s="79"/>
      <c r="K72" s="37"/>
      <c r="L72" s="53"/>
      <c r="M72" s="1924" t="s">
        <v>129</v>
      </c>
      <c r="N72" s="1925"/>
      <c r="AA72" s="54">
        <f t="shared" si="7"/>
        <v>138</v>
      </c>
      <c r="AB72" s="381" t="e">
        <v>#DIV/0!</v>
      </c>
    </row>
    <row r="73" spans="1:28" ht="26.4">
      <c r="A73" s="79"/>
      <c r="C73" s="23"/>
      <c r="D73" s="55" t="b">
        <v>1</v>
      </c>
      <c r="E73" s="304"/>
      <c r="F73" s="56"/>
      <c r="G73" s="101"/>
      <c r="H73" s="90"/>
      <c r="I73" s="77"/>
      <c r="K73" s="37"/>
      <c r="L73" s="245" t="s">
        <v>287</v>
      </c>
      <c r="M73" s="40" t="s">
        <v>130</v>
      </c>
      <c r="N73" s="102" t="s">
        <v>131</v>
      </c>
      <c r="AA73" s="54">
        <f t="shared" si="7"/>
        <v>137</v>
      </c>
      <c r="AB73" s="381" t="e">
        <v>#DIV/0!</v>
      </c>
    </row>
    <row r="74" spans="1:28">
      <c r="A74" s="79"/>
      <c r="C74" s="23"/>
      <c r="D74" s="65">
        <f>IF(D73,1,"-")</f>
        <v>1</v>
      </c>
      <c r="E74" s="65" t="str">
        <f>IF(E73,2,"-")</f>
        <v>-</v>
      </c>
      <c r="F74" s="65" t="str">
        <f>IF(F73,3,"-")</f>
        <v>-</v>
      </c>
      <c r="G74" s="103">
        <f>AVERAGE(D74:F74)</f>
        <v>1</v>
      </c>
      <c r="H74" s="90"/>
      <c r="I74" s="77"/>
      <c r="K74" s="37"/>
      <c r="L74" s="37"/>
      <c r="N74" s="78"/>
      <c r="AA74" s="54">
        <f t="shared" si="7"/>
        <v>136</v>
      </c>
      <c r="AB74" s="381" t="e">
        <v>#DIV/0!</v>
      </c>
    </row>
    <row r="75" spans="1:28">
      <c r="A75" s="81" t="s">
        <v>132</v>
      </c>
      <c r="C75" s="23"/>
      <c r="D75" s="244" t="e">
        <f>D83/D80</f>
        <v>#DIV/0!</v>
      </c>
      <c r="E75" s="371"/>
      <c r="F75" s="244" t="e">
        <f>F82/F79</f>
        <v>#DIV/0!</v>
      </c>
      <c r="G75" s="238" t="e">
        <f>INDEX(D75:F75,G$74)</f>
        <v>#DIV/0!</v>
      </c>
      <c r="H75" s="244"/>
      <c r="I75" s="81" t="s">
        <v>119</v>
      </c>
      <c r="K75" s="239" t="s">
        <v>286</v>
      </c>
      <c r="L75" s="105" t="e">
        <f>SUM(L77:L81)</f>
        <v>#DIV/0!</v>
      </c>
      <c r="M75" s="243" t="e">
        <f>SUM(M77:M81)</f>
        <v>#DIV/0!</v>
      </c>
      <c r="N75" s="242" t="e">
        <f>SUM(N77:N81)</f>
        <v>#DIV/0!</v>
      </c>
      <c r="AA75" s="54">
        <f t="shared" si="7"/>
        <v>135</v>
      </c>
      <c r="AB75" s="381" t="e">
        <v>#DIV/0!</v>
      </c>
    </row>
    <row r="76" spans="1:28" ht="14.4">
      <c r="A76" s="79" t="s">
        <v>133</v>
      </c>
      <c r="C76" s="23"/>
      <c r="D76" s="223" t="e">
        <f>'Micromodulation et sonde O2'!D51</f>
        <v>#DIV/0!</v>
      </c>
      <c r="E76" s="222">
        <f>E82/(E79*($F$41/$F$42)+H51-E51+E82/$F$42)</f>
        <v>0</v>
      </c>
      <c r="F76" s="241" t="e">
        <f>F82/(F79*($F$41/$F$42)+H51-E51+F82/$F$42)</f>
        <v>#DIV/0!</v>
      </c>
      <c r="G76" s="240" t="e">
        <f>INDEX(D76:F76,G$74)</f>
        <v>#DIV/0!</v>
      </c>
      <c r="H76" s="106"/>
      <c r="I76" s="77"/>
      <c r="K76" s="239"/>
      <c r="L76" s="37"/>
      <c r="N76" s="78"/>
      <c r="AA76" s="54">
        <f t="shared" si="7"/>
        <v>134</v>
      </c>
      <c r="AB76" s="381" t="e">
        <v>#DIV/0!</v>
      </c>
    </row>
    <row r="77" spans="1:28" ht="14.4">
      <c r="A77" s="79" t="s">
        <v>285</v>
      </c>
      <c r="C77" s="23"/>
      <c r="D77" s="222" t="e">
        <f>$N$78</f>
        <v>#DIV/0!</v>
      </c>
      <c r="E77" s="222" t="e">
        <f>N78</f>
        <v>#DIV/0!</v>
      </c>
      <c r="F77" s="319"/>
      <c r="G77" s="238" t="e">
        <f>INDEX(D77:F77,G$74)</f>
        <v>#DIV/0!</v>
      </c>
      <c r="H77" s="222"/>
      <c r="I77" s="79" t="s">
        <v>102</v>
      </c>
      <c r="K77" s="237" t="s">
        <v>276</v>
      </c>
      <c r="L77" s="50" t="e">
        <f>G87</f>
        <v>#DIV/0!</v>
      </c>
      <c r="M77" s="222" t="e">
        <f t="shared" ref="M77:M82" si="14">L77/$L$75</f>
        <v>#DIV/0!</v>
      </c>
      <c r="N77" s="236" t="e">
        <f>L77/($L$75-$L$81)</f>
        <v>#DIV/0!</v>
      </c>
      <c r="AA77" s="54">
        <f t="shared" ref="AA77:AA100" si="15">AA76-1</f>
        <v>133</v>
      </c>
      <c r="AB77" s="381" t="e">
        <v>#DIV/0!</v>
      </c>
    </row>
    <row r="78" spans="1:28" ht="14.4">
      <c r="A78" s="79"/>
      <c r="C78" s="23"/>
      <c r="F78" s="37"/>
      <c r="G78" s="107"/>
      <c r="H78" s="106"/>
      <c r="I78" s="79" t="s">
        <v>284</v>
      </c>
      <c r="K78" s="237" t="s">
        <v>276</v>
      </c>
      <c r="L78" s="50">
        <f>D51</f>
        <v>1.0020999999999998</v>
      </c>
      <c r="M78" s="222" t="e">
        <f t="shared" si="14"/>
        <v>#DIV/0!</v>
      </c>
      <c r="N78" s="236" t="e">
        <f>L78/($L$75-$L$81)</f>
        <v>#DIV/0!</v>
      </c>
      <c r="AA78" s="54">
        <f t="shared" si="15"/>
        <v>132</v>
      </c>
      <c r="AB78" s="381" t="e">
        <v>#DIV/0!</v>
      </c>
    </row>
    <row r="79" spans="1:28"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t="e">
        <f>G82</f>
        <v>#DIV/0!</v>
      </c>
      <c r="M79" s="222" t="e">
        <f t="shared" si="14"/>
        <v>#DIV/0!</v>
      </c>
      <c r="N79" s="236" t="e">
        <f>L79/($L$75-$L$81)</f>
        <v>#DIV/0!</v>
      </c>
      <c r="AA79" s="54">
        <f t="shared" si="15"/>
        <v>131</v>
      </c>
      <c r="AB79" s="381" t="e">
        <v>#DIV/0!</v>
      </c>
    </row>
    <row r="80" spans="1:28"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t="e">
        <f t="shared" si="14"/>
        <v>#DIV/0!</v>
      </c>
      <c r="N80" s="236" t="e">
        <f>L80/($L$75-$L$81)</f>
        <v>#DIV/0!</v>
      </c>
      <c r="AA80" s="54">
        <f t="shared" si="15"/>
        <v>130</v>
      </c>
      <c r="AB80" s="381" t="e">
        <v>#DIV/0!</v>
      </c>
    </row>
    <row r="81" spans="1:28" ht="14.4">
      <c r="A81" s="79"/>
      <c r="C81" s="23"/>
      <c r="D81" s="50"/>
      <c r="E81" s="108"/>
      <c r="F81" s="105"/>
      <c r="G81" s="109"/>
      <c r="I81" s="79" t="s">
        <v>135</v>
      </c>
      <c r="K81" s="237" t="s">
        <v>276</v>
      </c>
      <c r="L81" s="50" t="e">
        <f>G89+E51</f>
        <v>#DIV/0!</v>
      </c>
      <c r="M81" s="222" t="e">
        <f t="shared" si="14"/>
        <v>#DIV/0!</v>
      </c>
      <c r="N81" s="236">
        <v>0</v>
      </c>
      <c r="AA81" s="54">
        <f t="shared" si="15"/>
        <v>129</v>
      </c>
      <c r="AB81" s="381" t="e">
        <v>#DIV/0!</v>
      </c>
    </row>
    <row r="82" spans="1:28" ht="14.4">
      <c r="A82" s="79" t="s">
        <v>134</v>
      </c>
      <c r="C82" s="23" t="s">
        <v>276</v>
      </c>
      <c r="D82" s="50" t="e">
        <f>D76/(1-D76/$F$42)*(($H$51-$E$51)+D79*$F$41/$F$42)</f>
        <v>#DIV/0!</v>
      </c>
      <c r="E82" s="50">
        <f>E79*$E$75</f>
        <v>0</v>
      </c>
      <c r="F82" s="90" t="e">
        <f>(D51/F77-(H51-E51)-F79*(F41/F42))/(1+F41/F42)</f>
        <v>#DIV/0!</v>
      </c>
      <c r="G82" s="230" t="e">
        <f>INDEX(D82:F82,G$74)</f>
        <v>#DIV/0!</v>
      </c>
      <c r="H82" s="50"/>
      <c r="I82" s="110" t="s">
        <v>137</v>
      </c>
      <c r="J82" s="111"/>
      <c r="K82" s="235" t="s">
        <v>276</v>
      </c>
      <c r="L82" s="112" t="e">
        <f>L92</f>
        <v>#DIV/0!</v>
      </c>
      <c r="M82" s="234" t="e">
        <f t="shared" si="14"/>
        <v>#DIV/0!</v>
      </c>
      <c r="N82" s="233">
        <v>1</v>
      </c>
      <c r="AA82" s="54">
        <f t="shared" si="15"/>
        <v>128</v>
      </c>
      <c r="AB82" s="381" t="e">
        <v>#DIV/0!</v>
      </c>
    </row>
    <row r="83" spans="1:28" ht="14.4">
      <c r="A83" s="79" t="s">
        <v>136</v>
      </c>
      <c r="C83" s="23" t="s">
        <v>276</v>
      </c>
      <c r="D83" s="50" t="e">
        <f>D82/F42</f>
        <v>#DIV/0!</v>
      </c>
      <c r="E83" s="50">
        <f>E80*$E$75</f>
        <v>0</v>
      </c>
      <c r="F83" s="50" t="e">
        <f>F82/F42</f>
        <v>#DIV/0!</v>
      </c>
      <c r="G83" s="230" t="e">
        <f>INDEX(D83:F83,G$74)</f>
        <v>#DIV/0!</v>
      </c>
      <c r="H83" s="50"/>
      <c r="I83" s="79" t="s">
        <v>281</v>
      </c>
      <c r="K83" s="23" t="s">
        <v>138</v>
      </c>
      <c r="L83" s="50"/>
      <c r="M83" s="50" t="e">
        <f>M77*$C$12+M78*$C$13+M79*$C$11+M80*$C$26+M81*$C$15</f>
        <v>#DIV/0!</v>
      </c>
      <c r="N83" s="78"/>
      <c r="O83" s="113"/>
      <c r="AA83" s="54">
        <f t="shared" si="15"/>
        <v>127</v>
      </c>
      <c r="AB83" s="381" t="e">
        <v>#DIV/0!</v>
      </c>
    </row>
    <row r="84" spans="1:28">
      <c r="A84" s="79"/>
      <c r="C84" s="23"/>
      <c r="F84" s="37"/>
      <c r="G84" s="109"/>
      <c r="I84" s="79"/>
      <c r="N84" s="78"/>
      <c r="AA84" s="54">
        <f t="shared" si="15"/>
        <v>126</v>
      </c>
      <c r="AB84" s="381" t="e">
        <v>#DIV/0!</v>
      </c>
    </row>
    <row r="85" spans="1:28">
      <c r="A85" s="81" t="s">
        <v>139</v>
      </c>
      <c r="C85" s="37" t="s">
        <v>276</v>
      </c>
      <c r="D85" s="105" t="e">
        <f>SUM(D87:D89)</f>
        <v>#DIV/0!</v>
      </c>
      <c r="E85" s="105">
        <f>SUM(E87:E89)</f>
        <v>9.4420021956276443</v>
      </c>
      <c r="F85" s="105" t="e">
        <f>SUM(F87:F89)</f>
        <v>#DIV/0!</v>
      </c>
      <c r="G85" s="230" t="e">
        <f>INDEX(D85:F85,G$74)</f>
        <v>#DIV/0!</v>
      </c>
      <c r="H85" s="105"/>
      <c r="I85" s="81" t="s">
        <v>140</v>
      </c>
      <c r="K85" s="23"/>
      <c r="L85" s="37" t="e">
        <f>IF(L87&lt;L88,"VRAI","FAUX")</f>
        <v>#DIV/0!</v>
      </c>
      <c r="N85" s="78"/>
      <c r="AA85" s="54">
        <f t="shared" si="15"/>
        <v>125</v>
      </c>
      <c r="AB85" s="381" t="e">
        <v>#DIV/0!</v>
      </c>
    </row>
    <row r="86" spans="1:28">
      <c r="A86" s="79"/>
      <c r="G86" s="114"/>
      <c r="I86" s="79" t="s">
        <v>141</v>
      </c>
      <c r="K86" s="23" t="s">
        <v>142</v>
      </c>
      <c r="L86" s="50" t="e">
        <f>E51+G89</f>
        <v>#DIV/0!</v>
      </c>
      <c r="N86" s="78"/>
      <c r="AA86" s="54">
        <f t="shared" si="15"/>
        <v>124</v>
      </c>
      <c r="AB86" s="381" t="e">
        <v>#DIV/0!</v>
      </c>
    </row>
    <row r="87" spans="1:28" ht="15.6">
      <c r="A87" s="225" t="s">
        <v>102</v>
      </c>
      <c r="C87" s="228" t="s">
        <v>276</v>
      </c>
      <c r="D87" s="232" t="e">
        <f>D88*($F$41/$F$42)</f>
        <v>#DIV/0!</v>
      </c>
      <c r="E87" s="232">
        <f>E88*($F$41/$F$42)</f>
        <v>7.4501097253831423</v>
      </c>
      <c r="F87" s="232" t="e">
        <f>F88*($F$41/$F$42)</f>
        <v>#DIV/0!</v>
      </c>
      <c r="G87" s="230" t="e">
        <f>INDEX(D87:F87,G$74)</f>
        <v>#DIV/0!</v>
      </c>
      <c r="H87" s="50"/>
      <c r="I87" s="79" t="s">
        <v>143</v>
      </c>
      <c r="K87" s="116" t="s">
        <v>264</v>
      </c>
      <c r="L87" s="117">
        <f>U7</f>
        <v>200</v>
      </c>
      <c r="M87" s="24"/>
      <c r="N87" s="78"/>
      <c r="AA87" s="54">
        <f t="shared" si="15"/>
        <v>123</v>
      </c>
      <c r="AB87" s="381" t="e">
        <v>#DIV/0!</v>
      </c>
    </row>
    <row r="88" spans="1:28" ht="15.6">
      <c r="A88" s="225" t="s">
        <v>88</v>
      </c>
      <c r="C88" s="228" t="s">
        <v>276</v>
      </c>
      <c r="D88" s="232" t="e">
        <f>D79+D82</f>
        <v>#DIV/0!</v>
      </c>
      <c r="E88" s="232">
        <f>E79+E82</f>
        <v>1.9809999999999999</v>
      </c>
      <c r="F88" s="231" t="e">
        <f>F79+F82</f>
        <v>#DIV/0!</v>
      </c>
      <c r="G88" s="230" t="e">
        <f>INDEX(D88:F88,G$74)</f>
        <v>#DIV/0!</v>
      </c>
      <c r="H88" s="50"/>
      <c r="I88" s="79" t="s">
        <v>144</v>
      </c>
      <c r="K88" s="116" t="s">
        <v>264</v>
      </c>
      <c r="L88" s="229" t="e">
        <f>'Combustion_Chaud1 (Micro)'!C136</f>
        <v>#DIV/0!</v>
      </c>
      <c r="N88" s="78"/>
      <c r="AA88" s="54">
        <f t="shared" si="15"/>
        <v>122</v>
      </c>
      <c r="AB88" s="381" t="e">
        <v>#DIV/0!</v>
      </c>
    </row>
    <row r="89" spans="1:28" ht="15.6">
      <c r="A89" s="225" t="s">
        <v>145</v>
      </c>
      <c r="C89" s="228" t="s">
        <v>276</v>
      </c>
      <c r="D89" s="227" t="e">
        <f>'Combustion_Chaud1 (Micro)'!$C$115*('Combustion_Chaud1 (Micro)'!D80+'Combustion_Chaud1 (Micro)'!D83)</f>
        <v>#DIV/0!</v>
      </c>
      <c r="E89" s="227">
        <f>'Combustion_Chaud1 (Micro)'!$C$115*'Combustion_Chaud1 (Micro)'!E80</f>
        <v>1.089247024450259E-2</v>
      </c>
      <c r="F89" s="227">
        <f>'Combustion_Chaud1 (Micro)'!$C$115*'Combustion_Chaud1 (Micro)'!F80</f>
        <v>1.089247024450259E-2</v>
      </c>
      <c r="G89" s="226" t="e">
        <f>INDEX(D89:F89,G$74)</f>
        <v>#DIV/0!</v>
      </c>
      <c r="H89" s="50"/>
      <c r="I89" s="79" t="s">
        <v>280</v>
      </c>
      <c r="K89" s="23" t="s">
        <v>279</v>
      </c>
      <c r="L89" s="50" t="e">
        <f>($E$29*(M83/1000))/($B$32*(L87+273.15))</f>
        <v>#DIV/0!</v>
      </c>
      <c r="N89" s="118"/>
      <c r="AA89" s="54">
        <f t="shared" si="15"/>
        <v>121</v>
      </c>
      <c r="AB89" s="381" t="e">
        <v>#DIV/0!</v>
      </c>
    </row>
    <row r="90" spans="1:28" ht="15.6">
      <c r="A90" s="225"/>
      <c r="C90" s="23"/>
      <c r="D90" s="50"/>
      <c r="F90" s="37"/>
      <c r="G90" s="119"/>
      <c r="H90" s="50"/>
      <c r="I90" s="79" t="s">
        <v>278</v>
      </c>
      <c r="K90" s="23" t="s">
        <v>142</v>
      </c>
      <c r="L90" s="224" t="e">
        <f>'Combustion_Chaud1 (Micro)'!C129</f>
        <v>#DIV/0!</v>
      </c>
      <c r="M90" s="19" t="s">
        <v>146</v>
      </c>
      <c r="N90" s="118"/>
      <c r="AA90" s="54">
        <f t="shared" si="15"/>
        <v>120</v>
      </c>
      <c r="AB90" s="381" t="e">
        <v>#DIV/0!</v>
      </c>
    </row>
    <row r="91" spans="1:28">
      <c r="A91" s="81" t="s">
        <v>147</v>
      </c>
      <c r="C91" s="23"/>
      <c r="D91" s="50"/>
      <c r="F91" s="37"/>
      <c r="G91" s="119"/>
      <c r="H91" s="50"/>
      <c r="I91" s="79" t="s">
        <v>148</v>
      </c>
      <c r="K91" s="23" t="s">
        <v>142</v>
      </c>
      <c r="L91" s="224" t="e">
        <f>'Combustion_Chaud1 (Micro)'!C140</f>
        <v>#DIV/0!</v>
      </c>
      <c r="M91" s="19" t="s">
        <v>277</v>
      </c>
      <c r="N91" s="118"/>
      <c r="AA91" s="54">
        <f t="shared" si="15"/>
        <v>119</v>
      </c>
      <c r="AB91" s="381" t="e">
        <v>#DIV/0!</v>
      </c>
    </row>
    <row r="92" spans="1:28" ht="15" thickBot="1">
      <c r="A92" s="79" t="s">
        <v>149</v>
      </c>
      <c r="C92" s="23"/>
      <c r="D92" s="223">
        <f>Hypothèses!D26</f>
        <v>0.05</v>
      </c>
      <c r="E92" s="222"/>
      <c r="F92" s="222"/>
      <c r="G92" s="119"/>
      <c r="H92" s="222"/>
      <c r="I92" s="92"/>
      <c r="J92" s="93"/>
      <c r="K92" s="221" t="s">
        <v>276</v>
      </c>
      <c r="L92" s="220" t="e">
        <f>'Combustion_Chaud1 (Micro)'!C141</f>
        <v>#DIV/0!</v>
      </c>
      <c r="M92" s="93"/>
      <c r="N92" s="94"/>
      <c r="AA92" s="54">
        <f t="shared" si="15"/>
        <v>118</v>
      </c>
      <c r="AB92" s="381" t="e">
        <v>#DIV/0!</v>
      </c>
    </row>
    <row r="93" spans="1:28" ht="16.8" thickBot="1">
      <c r="A93" s="92" t="s">
        <v>144</v>
      </c>
      <c r="B93" s="93"/>
      <c r="C93" s="120" t="s">
        <v>264</v>
      </c>
      <c r="D93" s="219" t="e">
        <f>IF(D92&lt;&gt;0,'Combustion_Chaud1 (Micro)'!$C$119,"-")</f>
        <v>#N/A</v>
      </c>
      <c r="E93" s="218"/>
      <c r="F93" s="218"/>
      <c r="G93" s="121"/>
      <c r="H93" s="90"/>
      <c r="AA93" s="54">
        <f t="shared" si="15"/>
        <v>117</v>
      </c>
      <c r="AB93" s="381" t="e">
        <v>#DIV/0!</v>
      </c>
    </row>
    <row r="94" spans="1:28" ht="16.2">
      <c r="A94" s="19" t="s">
        <v>275</v>
      </c>
      <c r="B94" s="116"/>
      <c r="C94" s="217">
        <v>28.96546</v>
      </c>
      <c r="D94" s="215" t="s">
        <v>138</v>
      </c>
      <c r="E94" s="216"/>
      <c r="F94" s="122"/>
      <c r="G94" s="98"/>
      <c r="H94" s="98"/>
      <c r="AA94" s="54">
        <f t="shared" si="15"/>
        <v>116</v>
      </c>
      <c r="AB94" s="381" t="e">
        <v>#DIV/0!</v>
      </c>
    </row>
    <row r="95" spans="1:28">
      <c r="G95" s="98"/>
      <c r="AA95" s="54">
        <f t="shared" si="15"/>
        <v>115</v>
      </c>
      <c r="AB95" s="381" t="e">
        <v>#DIV/0!</v>
      </c>
    </row>
    <row r="96" spans="1:28">
      <c r="G96" s="98"/>
      <c r="AA96" s="54">
        <f t="shared" si="15"/>
        <v>114</v>
      </c>
      <c r="AB96" s="381" t="e">
        <v>#DIV/0!</v>
      </c>
    </row>
    <row r="97" spans="1:28">
      <c r="G97" s="98"/>
      <c r="AA97" s="54">
        <f t="shared" si="15"/>
        <v>113</v>
      </c>
      <c r="AB97" s="381" t="e">
        <v>#DIV/0!</v>
      </c>
    </row>
    <row r="98" spans="1:28">
      <c r="G98" s="98"/>
      <c r="AA98" s="54">
        <f t="shared" si="15"/>
        <v>112</v>
      </c>
      <c r="AB98" s="381" t="e">
        <v>#DIV/0!</v>
      </c>
    </row>
    <row r="99" spans="1:28">
      <c r="G99" s="98"/>
      <c r="AA99" s="54">
        <f t="shared" si="15"/>
        <v>111</v>
      </c>
      <c r="AB99" s="381" t="e">
        <v>#DIV/0!</v>
      </c>
    </row>
    <row r="100" spans="1:28">
      <c r="G100" s="98"/>
      <c r="AA100" s="62">
        <f t="shared" si="15"/>
        <v>110</v>
      </c>
      <c r="AB100" s="382" t="e">
        <v>#DIV/0!</v>
      </c>
    </row>
    <row r="101" spans="1:28">
      <c r="A101" s="26" t="s">
        <v>274</v>
      </c>
      <c r="G101" s="98"/>
    </row>
    <row r="102" spans="1:28">
      <c r="G102" s="98"/>
    </row>
    <row r="103" spans="1:28">
      <c r="A103" s="123" t="s">
        <v>150</v>
      </c>
      <c r="B103" s="57"/>
      <c r="C103" s="57"/>
      <c r="D103" s="57"/>
      <c r="E103" s="23"/>
      <c r="F103" s="26" t="s">
        <v>151</v>
      </c>
      <c r="G103" s="26"/>
    </row>
    <row r="104" spans="1:28" ht="15.6">
      <c r="A104" s="19" t="s">
        <v>152</v>
      </c>
      <c r="B104" s="23" t="s">
        <v>273</v>
      </c>
      <c r="C104" s="320">
        <v>0</v>
      </c>
      <c r="D104" s="214" t="s">
        <v>272</v>
      </c>
      <c r="E104" s="23"/>
      <c r="F104" s="37" t="s">
        <v>153</v>
      </c>
      <c r="G104" s="37" t="s">
        <v>154</v>
      </c>
      <c r="H104" s="37" t="s">
        <v>153</v>
      </c>
    </row>
    <row r="105" spans="1:28">
      <c r="A105" s="19" t="s">
        <v>271</v>
      </c>
      <c r="B105" s="23" t="s">
        <v>155</v>
      </c>
      <c r="C105" s="321">
        <v>101325</v>
      </c>
      <c r="D105" s="23"/>
      <c r="E105" s="23"/>
      <c r="F105" s="23">
        <v>0</v>
      </c>
      <c r="G105" s="24">
        <v>610.48326959999986</v>
      </c>
      <c r="H105" s="23">
        <f t="shared" ref="H105:H168" si="16">F105</f>
        <v>0</v>
      </c>
    </row>
    <row r="106" spans="1:28">
      <c r="A106" s="19" t="s">
        <v>270</v>
      </c>
      <c r="B106" s="23" t="s">
        <v>155</v>
      </c>
      <c r="C106" s="213">
        <f>C105*EXP(-'Combustion_Chaud1 (Micro)'!C94/1000*9.80665/'Combustion_Chaud1 (Micro)'!B32/'Combustion_Chaud1 (Micro)'!B29*C104)</f>
        <v>101325</v>
      </c>
      <c r="D106" s="213"/>
      <c r="E106" s="213"/>
      <c r="F106" s="23">
        <v>2</v>
      </c>
      <c r="G106" s="24">
        <v>705.80878559999985</v>
      </c>
      <c r="H106" s="23">
        <f t="shared" si="16"/>
        <v>2</v>
      </c>
    </row>
    <row r="107" spans="1:28">
      <c r="B107" s="23"/>
      <c r="C107" s="23"/>
      <c r="D107" s="213"/>
      <c r="E107" s="23"/>
      <c r="F107" s="23">
        <v>4</v>
      </c>
      <c r="G107" s="24">
        <v>813.39996239999994</v>
      </c>
      <c r="H107" s="23">
        <f t="shared" si="16"/>
        <v>4</v>
      </c>
    </row>
    <row r="108" spans="1:28">
      <c r="A108" s="123" t="s">
        <v>122</v>
      </c>
      <c r="B108" s="57"/>
      <c r="C108" s="57"/>
      <c r="D108" s="57"/>
      <c r="E108" s="23"/>
      <c r="F108" s="23">
        <v>6</v>
      </c>
      <c r="G108" s="24">
        <v>934.98999119999985</v>
      </c>
      <c r="H108" s="23">
        <f t="shared" si="16"/>
        <v>6</v>
      </c>
    </row>
    <row r="109" spans="1:28" ht="15.6">
      <c r="A109" s="19" t="s">
        <v>156</v>
      </c>
      <c r="B109" s="116" t="s">
        <v>264</v>
      </c>
      <c r="C109" s="212">
        <f>R7</f>
        <v>20</v>
      </c>
      <c r="D109" s="23"/>
      <c r="E109" s="23"/>
      <c r="F109" s="23">
        <v>8</v>
      </c>
      <c r="G109" s="24">
        <v>1072.5787079999998</v>
      </c>
      <c r="H109" s="23">
        <f t="shared" si="16"/>
        <v>8</v>
      </c>
    </row>
    <row r="110" spans="1:28">
      <c r="A110" s="19" t="s">
        <v>149</v>
      </c>
      <c r="B110" s="23"/>
      <c r="C110" s="211">
        <f>D92</f>
        <v>0.05</v>
      </c>
      <c r="D110" s="23"/>
      <c r="E110" s="23"/>
      <c r="F110" s="23">
        <v>10</v>
      </c>
      <c r="G110" s="24">
        <v>1227.7659815999998</v>
      </c>
      <c r="H110" s="23">
        <f t="shared" si="16"/>
        <v>10</v>
      </c>
    </row>
    <row r="111" spans="1:28">
      <c r="B111" s="23"/>
      <c r="C111" s="23"/>
      <c r="D111" s="23"/>
      <c r="E111" s="23"/>
      <c r="F111" s="23">
        <v>12</v>
      </c>
      <c r="G111" s="24">
        <v>1402.2850031999999</v>
      </c>
      <c r="H111" s="23">
        <f t="shared" si="16"/>
        <v>12</v>
      </c>
    </row>
    <row r="112" spans="1:28">
      <c r="A112" s="19" t="s">
        <v>157</v>
      </c>
      <c r="B112" s="23" t="s">
        <v>155</v>
      </c>
      <c r="C112" s="24">
        <f>IF(C109&lt;0,0.09*6895,G197)</f>
        <v>2337.8082839999997</v>
      </c>
      <c r="D112" s="23"/>
      <c r="E112" s="23"/>
      <c r="F112" s="23">
        <v>14</v>
      </c>
      <c r="G112" s="24">
        <v>1598.1356087999998</v>
      </c>
      <c r="H112" s="23">
        <f t="shared" si="16"/>
        <v>14</v>
      </c>
    </row>
    <row r="113" spans="1:8">
      <c r="A113" s="19" t="s">
        <v>158</v>
      </c>
      <c r="B113" s="23" t="s">
        <v>155</v>
      </c>
      <c r="C113" s="24">
        <f>C110*C112</f>
        <v>116.8904142</v>
      </c>
      <c r="D113" s="23"/>
      <c r="E113" s="23"/>
      <c r="F113" s="23">
        <v>16</v>
      </c>
      <c r="G113" s="24">
        <v>1817.7176015999999</v>
      </c>
      <c r="H113" s="23">
        <f t="shared" si="16"/>
        <v>16</v>
      </c>
    </row>
    <row r="114" spans="1:8">
      <c r="B114" s="23"/>
      <c r="C114" s="23"/>
      <c r="D114" s="23"/>
      <c r="E114" s="23"/>
      <c r="F114" s="23">
        <v>18</v>
      </c>
      <c r="G114" s="24">
        <v>2063.4307847999999</v>
      </c>
      <c r="H114" s="23">
        <f t="shared" si="16"/>
        <v>18</v>
      </c>
    </row>
    <row r="115" spans="1:8">
      <c r="A115" s="19" t="s">
        <v>159</v>
      </c>
      <c r="B115" s="23" t="s">
        <v>160</v>
      </c>
      <c r="C115" s="50">
        <f>C113/(C106-C113)</f>
        <v>1.1549510674429225E-3</v>
      </c>
      <c r="D115" s="23"/>
      <c r="E115" s="23"/>
      <c r="F115" s="23">
        <v>20</v>
      </c>
      <c r="G115" s="24">
        <v>2337.8082839999997</v>
      </c>
      <c r="H115" s="23">
        <f t="shared" si="16"/>
        <v>20</v>
      </c>
    </row>
    <row r="116" spans="1:8">
      <c r="A116" s="19" t="s">
        <v>159</v>
      </c>
      <c r="B116" s="23" t="s">
        <v>161</v>
      </c>
      <c r="C116" s="50">
        <f>C115*'Combustion_Chaud1 (Micro)'!$C$15/'Combustion_Chaud1 (Micro)'!$C$94</f>
        <v>7.1833027565531952E-4</v>
      </c>
      <c r="D116" s="23"/>
      <c r="E116" s="23"/>
      <c r="F116" s="23">
        <v>22</v>
      </c>
      <c r="G116" s="24">
        <v>2643.3832247999999</v>
      </c>
      <c r="H116" s="23">
        <f t="shared" si="16"/>
        <v>22</v>
      </c>
    </row>
    <row r="117" spans="1:8">
      <c r="B117" s="23"/>
      <c r="C117" s="23"/>
      <c r="D117" s="23"/>
      <c r="E117" s="23"/>
      <c r="F117" s="23">
        <v>24</v>
      </c>
      <c r="G117" s="24">
        <v>2983.3553447999998</v>
      </c>
      <c r="H117" s="23">
        <f t="shared" si="16"/>
        <v>24</v>
      </c>
    </row>
    <row r="118" spans="1:8">
      <c r="A118" s="19" t="s">
        <v>162</v>
      </c>
      <c r="B118" s="23" t="s">
        <v>160</v>
      </c>
      <c r="C118" s="50">
        <f>C113/C106</f>
        <v>1.153618694300518E-3</v>
      </c>
      <c r="D118" s="23"/>
      <c r="E118" s="23"/>
      <c r="F118" s="23">
        <v>26</v>
      </c>
      <c r="G118" s="24">
        <v>3360.9243815999998</v>
      </c>
      <c r="H118" s="23">
        <f t="shared" si="16"/>
        <v>26</v>
      </c>
    </row>
    <row r="119" spans="1:8" ht="15.6">
      <c r="A119" s="19" t="s">
        <v>163</v>
      </c>
      <c r="B119" s="116" t="s">
        <v>264</v>
      </c>
      <c r="C119" s="115" t="e">
        <f>F203</f>
        <v>#N/A</v>
      </c>
      <c r="D119" s="23"/>
      <c r="F119" s="23">
        <v>28</v>
      </c>
      <c r="G119" s="24">
        <v>3779.5567175999995</v>
      </c>
      <c r="H119" s="23">
        <f t="shared" si="16"/>
        <v>28</v>
      </c>
    </row>
    <row r="120" spans="1:8">
      <c r="E120" s="23"/>
      <c r="F120" s="23">
        <v>30</v>
      </c>
      <c r="G120" s="24">
        <v>4242.8520576000001</v>
      </c>
      <c r="H120" s="23">
        <f t="shared" si="16"/>
        <v>30</v>
      </c>
    </row>
    <row r="121" spans="1:8">
      <c r="A121" s="123" t="s">
        <v>123</v>
      </c>
      <c r="B121" s="57"/>
      <c r="C121" s="57"/>
      <c r="D121" s="57"/>
      <c r="E121" s="23"/>
      <c r="F121" s="23">
        <v>32</v>
      </c>
      <c r="G121" s="24">
        <v>4754.6767511999988</v>
      </c>
      <c r="H121" s="23">
        <f t="shared" si="16"/>
        <v>32</v>
      </c>
    </row>
    <row r="122" spans="1:8" ht="15.6">
      <c r="A122" s="19" t="s">
        <v>156</v>
      </c>
      <c r="B122" s="116" t="s">
        <v>264</v>
      </c>
      <c r="C122" s="117">
        <f>U7</f>
        <v>200</v>
      </c>
      <c r="D122" s="24"/>
      <c r="E122" s="23"/>
      <c r="F122" s="23">
        <v>34</v>
      </c>
      <c r="G122" s="24">
        <v>5319.2971152</v>
      </c>
      <c r="H122" s="23">
        <f t="shared" si="16"/>
        <v>34</v>
      </c>
    </row>
    <row r="123" spans="1:8">
      <c r="B123" s="23"/>
      <c r="C123" s="23"/>
      <c r="D123" s="23"/>
      <c r="E123" s="23"/>
      <c r="F123" s="23">
        <v>36</v>
      </c>
      <c r="G123" s="24">
        <v>5941.2461112000001</v>
      </c>
      <c r="H123" s="23">
        <f t="shared" si="16"/>
        <v>36</v>
      </c>
    </row>
    <row r="124" spans="1:8">
      <c r="A124" s="19" t="s">
        <v>164</v>
      </c>
      <c r="B124" s="23" t="s">
        <v>86</v>
      </c>
      <c r="C124" s="301" t="e">
        <f>'Combustion_Chaud1 (Micro)'!L75</f>
        <v>#DIV/0!</v>
      </c>
      <c r="D124" s="23"/>
      <c r="E124" s="23"/>
      <c r="F124" s="23">
        <v>38</v>
      </c>
      <c r="G124" s="24">
        <v>6625.0567007999998</v>
      </c>
      <c r="H124" s="23">
        <f t="shared" si="16"/>
        <v>38</v>
      </c>
    </row>
    <row r="125" spans="1:8" ht="15.6">
      <c r="A125" s="19" t="s">
        <v>269</v>
      </c>
      <c r="B125" s="23" t="s">
        <v>86</v>
      </c>
      <c r="C125" s="302" t="e">
        <f>'Combustion_Chaud1 (Micro)'!L86</f>
        <v>#DIV/0!</v>
      </c>
      <c r="D125" s="124" t="s">
        <v>165</v>
      </c>
      <c r="E125" s="23"/>
      <c r="F125" s="23">
        <v>40</v>
      </c>
      <c r="G125" s="24">
        <v>7375.9284575999991</v>
      </c>
      <c r="H125" s="23">
        <f t="shared" si="16"/>
        <v>40</v>
      </c>
    </row>
    <row r="126" spans="1:8">
      <c r="B126" s="23"/>
      <c r="C126" s="23"/>
      <c r="D126" s="23"/>
      <c r="E126" s="23"/>
      <c r="F126" s="23">
        <v>42</v>
      </c>
      <c r="G126" s="24">
        <v>8199.3275999999987</v>
      </c>
      <c r="H126" s="23">
        <f t="shared" si="16"/>
        <v>42</v>
      </c>
    </row>
    <row r="127" spans="1:8">
      <c r="A127" s="19" t="s">
        <v>166</v>
      </c>
      <c r="B127" s="23" t="s">
        <v>155</v>
      </c>
      <c r="C127" s="24" t="e">
        <f>C132*C106</f>
        <v>#DIV/0!</v>
      </c>
      <c r="D127" s="23"/>
      <c r="E127" s="23"/>
      <c r="F127" s="23">
        <v>44</v>
      </c>
      <c r="G127" s="24">
        <v>9100.5870240000004</v>
      </c>
      <c r="H127" s="23">
        <f t="shared" si="16"/>
        <v>44</v>
      </c>
    </row>
    <row r="128" spans="1:8">
      <c r="B128" s="23"/>
      <c r="C128" s="23"/>
      <c r="D128" s="23"/>
      <c r="E128" s="23"/>
      <c r="F128" s="23">
        <v>46</v>
      </c>
      <c r="G128" s="24">
        <v>10085.83956</v>
      </c>
      <c r="H128" s="23">
        <f t="shared" si="16"/>
        <v>46</v>
      </c>
    </row>
    <row r="129" spans="1:8" ht="15.6">
      <c r="A129" s="19" t="s">
        <v>267</v>
      </c>
      <c r="B129" s="23" t="s">
        <v>160</v>
      </c>
      <c r="C129" s="50" t="e">
        <f>C125/(C124-C125)</f>
        <v>#DIV/0!</v>
      </c>
      <c r="D129" s="37" t="s">
        <v>268</v>
      </c>
      <c r="E129" s="23"/>
      <c r="F129" s="23">
        <v>48</v>
      </c>
      <c r="G129" s="24">
        <v>11160.418103999998</v>
      </c>
      <c r="H129" s="23">
        <f t="shared" si="16"/>
        <v>48</v>
      </c>
    </row>
    <row r="130" spans="1:8">
      <c r="A130" s="19" t="s">
        <v>267</v>
      </c>
      <c r="B130" s="23" t="s">
        <v>161</v>
      </c>
      <c r="C130" s="50" t="e">
        <f>C129*'Combustion_Chaud1 (Micro)'!$C$15/D130</f>
        <v>#DIV/0!</v>
      </c>
      <c r="D130" s="125" t="e">
        <f>('Combustion_Chaud1 (Micro)'!M77*'Combustion_Chaud1 (Micro)'!$C$25+'Combustion_Chaud1 (Micro)'!M78*'Combustion_Chaud1 (Micro)'!$C$13+'Combustion_Chaud1 (Micro)'!M79*'Combustion_Chaud1 (Micro)'!$C$11+'Combustion_Chaud1 (Micro)'!M80*'Combustion_Chaud1 (Micro)'!$C$26)</f>
        <v>#DIV/0!</v>
      </c>
      <c r="E130" s="23"/>
      <c r="F130" s="23">
        <v>50</v>
      </c>
      <c r="G130" s="24">
        <v>12333.655224</v>
      </c>
      <c r="H130" s="23">
        <f t="shared" si="16"/>
        <v>50</v>
      </c>
    </row>
    <row r="131" spans="1:8">
      <c r="B131" s="23"/>
      <c r="C131" s="23"/>
      <c r="D131" s="23"/>
      <c r="E131" s="23"/>
      <c r="F131" s="23">
        <v>55</v>
      </c>
      <c r="G131" s="24">
        <v>15737.376096</v>
      </c>
      <c r="H131" s="23">
        <f t="shared" si="16"/>
        <v>55</v>
      </c>
    </row>
    <row r="132" spans="1:8">
      <c r="A132" s="19" t="s">
        <v>266</v>
      </c>
      <c r="B132" s="23" t="s">
        <v>160</v>
      </c>
      <c r="C132" s="50" t="e">
        <f>C125/C124</f>
        <v>#DIV/0!</v>
      </c>
      <c r="D132" s="23"/>
      <c r="E132" s="23"/>
      <c r="F132" s="23">
        <v>60</v>
      </c>
      <c r="G132" s="24">
        <v>19915.700111999999</v>
      </c>
      <c r="H132" s="23">
        <f t="shared" si="16"/>
        <v>60</v>
      </c>
    </row>
    <row r="133" spans="1:8">
      <c r="A133" s="19" t="s">
        <v>265</v>
      </c>
      <c r="B133" s="23" t="s">
        <v>160</v>
      </c>
      <c r="C133" s="115" t="e">
        <f>C132*C124</f>
        <v>#DIV/0!</v>
      </c>
      <c r="D133" s="23"/>
      <c r="E133" s="23"/>
      <c r="F133" s="23">
        <v>65</v>
      </c>
      <c r="G133" s="24">
        <v>25003.282895999997</v>
      </c>
      <c r="H133" s="23">
        <f t="shared" si="16"/>
        <v>65</v>
      </c>
    </row>
    <row r="134" spans="1:8">
      <c r="B134" s="23"/>
      <c r="C134" s="23"/>
      <c r="D134" s="23"/>
      <c r="E134" s="23"/>
      <c r="F134" s="23">
        <v>70</v>
      </c>
      <c r="G134" s="24">
        <v>31157.444879999995</v>
      </c>
      <c r="H134" s="23">
        <f t="shared" si="16"/>
        <v>70</v>
      </c>
    </row>
    <row r="135" spans="1:8">
      <c r="A135" s="26" t="s">
        <v>148</v>
      </c>
      <c r="B135" s="23"/>
      <c r="C135" s="37" t="e">
        <f>IF(C136&gt;C122,"VRAI","FAUX")</f>
        <v>#DIV/0!</v>
      </c>
      <c r="D135" s="23"/>
      <c r="E135" s="23"/>
      <c r="F135" s="23">
        <v>75</v>
      </c>
      <c r="G135" s="24">
        <v>38543.505839999998</v>
      </c>
      <c r="H135" s="23">
        <f t="shared" si="16"/>
        <v>75</v>
      </c>
    </row>
    <row r="136" spans="1:8" ht="15.6">
      <c r="A136" s="19" t="s">
        <v>144</v>
      </c>
      <c r="B136" s="116" t="s">
        <v>264</v>
      </c>
      <c r="C136" s="115" t="e">
        <f>F209</f>
        <v>#DIV/0!</v>
      </c>
      <c r="D136" s="23"/>
      <c r="E136" s="23"/>
      <c r="F136" s="23">
        <v>80</v>
      </c>
      <c r="G136" s="24">
        <v>47342.784240000001</v>
      </c>
      <c r="H136" s="23">
        <f t="shared" si="16"/>
        <v>80</v>
      </c>
    </row>
    <row r="137" spans="1:8">
      <c r="B137" s="23"/>
      <c r="C137" s="23"/>
      <c r="D137" s="23"/>
      <c r="E137" s="23"/>
      <c r="F137" s="23">
        <v>85</v>
      </c>
      <c r="G137" s="24">
        <v>57808.592639999995</v>
      </c>
      <c r="H137" s="23">
        <f t="shared" si="16"/>
        <v>85</v>
      </c>
    </row>
    <row r="138" spans="1:8">
      <c r="A138" s="124" t="s">
        <v>157</v>
      </c>
      <c r="B138" s="23" t="s">
        <v>155</v>
      </c>
      <c r="C138" s="24">
        <f>G215</f>
        <v>1553800</v>
      </c>
      <c r="D138" s="23"/>
      <c r="E138" s="23"/>
      <c r="F138" s="23">
        <v>90</v>
      </c>
      <c r="G138" s="24">
        <v>70095.585023999985</v>
      </c>
      <c r="H138" s="23">
        <f t="shared" si="16"/>
        <v>90</v>
      </c>
    </row>
    <row r="139" spans="1:8">
      <c r="A139" s="23" t="s">
        <v>167</v>
      </c>
      <c r="B139" s="23" t="s">
        <v>263</v>
      </c>
      <c r="C139" s="50" t="e">
        <f>IF(C135,C138/C106,"-")</f>
        <v>#DIV/0!</v>
      </c>
      <c r="D139" s="23"/>
      <c r="E139" s="23"/>
      <c r="F139" s="23">
        <v>91</v>
      </c>
      <c r="G139" s="24">
        <v>72800.696519999983</v>
      </c>
      <c r="H139" s="23">
        <f t="shared" si="16"/>
        <v>91</v>
      </c>
    </row>
    <row r="140" spans="1:8">
      <c r="A140" s="23" t="s">
        <v>148</v>
      </c>
      <c r="B140" s="23" t="s">
        <v>263</v>
      </c>
      <c r="C140" s="50" t="e">
        <f>IF(C135,C132-C139,0)</f>
        <v>#DIV/0!</v>
      </c>
      <c r="D140" s="23"/>
      <c r="E140" s="23"/>
      <c r="F140" s="23">
        <v>92</v>
      </c>
      <c r="G140" s="24">
        <v>75592.467575999995</v>
      </c>
      <c r="H140" s="23">
        <f t="shared" si="16"/>
        <v>92</v>
      </c>
    </row>
    <row r="141" spans="1:8">
      <c r="A141" s="23" t="s">
        <v>148</v>
      </c>
      <c r="B141" s="23" t="s">
        <v>86</v>
      </c>
      <c r="C141" s="50" t="e">
        <f>IF(C135,C140*C124,0)</f>
        <v>#DIV/0!</v>
      </c>
      <c r="D141" s="23"/>
      <c r="E141" s="23"/>
      <c r="F141" s="23">
        <v>93</v>
      </c>
      <c r="G141" s="24">
        <v>78473.564639999997</v>
      </c>
      <c r="H141" s="23">
        <f t="shared" si="16"/>
        <v>93</v>
      </c>
    </row>
    <row r="142" spans="1:8">
      <c r="A142" s="23" t="s">
        <v>148</v>
      </c>
      <c r="B142" s="23" t="s">
        <v>168</v>
      </c>
      <c r="C142" s="68" t="e">
        <f>IF(C135,C141*'Combustion_Chaud1 (Micro)'!$C$15,0)</f>
        <v>#DIV/0!</v>
      </c>
      <c r="D142" s="23"/>
      <c r="E142" s="23"/>
      <c r="F142" s="23">
        <v>94</v>
      </c>
      <c r="G142" s="24">
        <v>81446.654159999991</v>
      </c>
      <c r="H142" s="23">
        <f t="shared" si="16"/>
        <v>94</v>
      </c>
    </row>
    <row r="143" spans="1:8">
      <c r="B143" s="23"/>
      <c r="C143" s="23"/>
      <c r="D143" s="23"/>
      <c r="E143" s="23"/>
      <c r="F143" s="23">
        <v>95</v>
      </c>
      <c r="G143" s="24">
        <v>84513.069359999994</v>
      </c>
      <c r="H143" s="23">
        <f t="shared" si="16"/>
        <v>95</v>
      </c>
    </row>
    <row r="144" spans="1:8" ht="14.4">
      <c r="A144" s="19" t="s">
        <v>262</v>
      </c>
      <c r="B144" s="23"/>
      <c r="C144" s="126" t="e">
        <f>IF(C135,1,IF(C122&lt;100,C127/C138,"N / A"))</f>
        <v>#DIV/0!</v>
      </c>
      <c r="D144" s="23"/>
      <c r="E144" s="23"/>
      <c r="F144" s="23">
        <v>96</v>
      </c>
      <c r="G144" s="24">
        <v>87675.476687999995</v>
      </c>
      <c r="H144" s="23">
        <f t="shared" si="16"/>
        <v>96</v>
      </c>
    </row>
    <row r="145" spans="2:8">
      <c r="B145" s="23"/>
      <c r="C145" s="23"/>
      <c r="D145" s="23"/>
      <c r="E145" s="23"/>
      <c r="F145" s="23">
        <v>97</v>
      </c>
      <c r="G145" s="24">
        <v>90935.209367999996</v>
      </c>
      <c r="H145" s="23">
        <f t="shared" si="16"/>
        <v>97</v>
      </c>
    </row>
    <row r="146" spans="2:8">
      <c r="B146" s="23"/>
      <c r="C146" s="23"/>
      <c r="D146" s="23"/>
      <c r="E146" s="23"/>
      <c r="F146" s="23">
        <v>98</v>
      </c>
      <c r="G146" s="24">
        <v>94294.933847999986</v>
      </c>
      <c r="H146" s="23">
        <f t="shared" si="16"/>
        <v>98</v>
      </c>
    </row>
    <row r="147" spans="2:8">
      <c r="B147" s="23"/>
      <c r="C147" s="23"/>
      <c r="D147" s="23"/>
      <c r="E147" s="23"/>
      <c r="F147" s="23">
        <v>99</v>
      </c>
      <c r="G147" s="24">
        <v>97757.316575999997</v>
      </c>
      <c r="H147" s="23">
        <f t="shared" si="16"/>
        <v>99</v>
      </c>
    </row>
    <row r="148" spans="2:8">
      <c r="B148" s="23"/>
      <c r="C148" s="23"/>
      <c r="D148" s="23"/>
      <c r="E148" s="23"/>
      <c r="F148" s="23">
        <v>100</v>
      </c>
      <c r="G148" s="24">
        <v>101325.02399999999</v>
      </c>
      <c r="H148" s="23">
        <f t="shared" si="16"/>
        <v>100</v>
      </c>
    </row>
    <row r="149" spans="2:8">
      <c r="B149" s="23"/>
      <c r="C149" s="23"/>
      <c r="D149" s="23"/>
      <c r="E149" s="23"/>
      <c r="F149" s="23">
        <v>105</v>
      </c>
      <c r="G149" s="24">
        <v>120820</v>
      </c>
      <c r="H149" s="23">
        <f t="shared" si="16"/>
        <v>105</v>
      </c>
    </row>
    <row r="150" spans="2:8">
      <c r="B150" s="23"/>
      <c r="C150" s="23"/>
      <c r="D150" s="23"/>
      <c r="E150" s="23"/>
      <c r="F150" s="23">
        <v>110</v>
      </c>
      <c r="G150" s="24">
        <v>143270</v>
      </c>
      <c r="H150" s="23">
        <f t="shared" si="16"/>
        <v>110</v>
      </c>
    </row>
    <row r="151" spans="2:8">
      <c r="B151" s="23"/>
      <c r="C151" s="23"/>
      <c r="D151" s="23"/>
      <c r="E151" s="23"/>
      <c r="F151" s="23">
        <v>115</v>
      </c>
      <c r="G151" s="24">
        <v>169060</v>
      </c>
      <c r="H151" s="23">
        <f t="shared" si="16"/>
        <v>115</v>
      </c>
    </row>
    <row r="152" spans="2:8">
      <c r="B152" s="23"/>
      <c r="C152" s="23"/>
      <c r="D152" s="23"/>
      <c r="E152" s="23"/>
      <c r="F152" s="23">
        <v>120</v>
      </c>
      <c r="G152" s="24">
        <v>198530</v>
      </c>
      <c r="H152" s="23">
        <f t="shared" si="16"/>
        <v>120</v>
      </c>
    </row>
    <row r="153" spans="2:8">
      <c r="B153" s="23"/>
      <c r="C153" s="23"/>
      <c r="D153" s="23"/>
      <c r="E153" s="23"/>
      <c r="F153" s="23">
        <v>125</v>
      </c>
      <c r="G153" s="24">
        <v>232100</v>
      </c>
      <c r="H153" s="23">
        <f t="shared" si="16"/>
        <v>125</v>
      </c>
    </row>
    <row r="154" spans="2:8">
      <c r="B154" s="23"/>
      <c r="C154" s="23"/>
      <c r="D154" s="23"/>
      <c r="E154" s="23"/>
      <c r="F154" s="23">
        <v>130</v>
      </c>
      <c r="G154" s="24">
        <v>270100</v>
      </c>
      <c r="H154" s="23">
        <f t="shared" si="16"/>
        <v>130</v>
      </c>
    </row>
    <row r="155" spans="2:8">
      <c r="B155" s="23"/>
      <c r="C155" s="23"/>
      <c r="D155" s="23"/>
      <c r="E155" s="23"/>
      <c r="F155" s="23">
        <v>135</v>
      </c>
      <c r="G155" s="24">
        <v>313000</v>
      </c>
      <c r="H155" s="23">
        <f t="shared" si="16"/>
        <v>135</v>
      </c>
    </row>
    <row r="156" spans="2:8">
      <c r="B156" s="23"/>
      <c r="C156" s="23"/>
      <c r="D156" s="23"/>
      <c r="E156" s="23"/>
      <c r="F156" s="23">
        <v>140</v>
      </c>
      <c r="G156" s="24">
        <v>361300</v>
      </c>
      <c r="H156" s="23">
        <f t="shared" si="16"/>
        <v>140</v>
      </c>
    </row>
    <row r="157" spans="2:8">
      <c r="B157" s="23"/>
      <c r="C157" s="23"/>
      <c r="D157" s="23"/>
      <c r="E157" s="23"/>
      <c r="F157" s="23">
        <v>145</v>
      </c>
      <c r="G157" s="24">
        <v>415400</v>
      </c>
      <c r="H157" s="23">
        <f t="shared" si="16"/>
        <v>145</v>
      </c>
    </row>
    <row r="158" spans="2:8">
      <c r="B158" s="23"/>
      <c r="C158" s="23"/>
      <c r="D158" s="23"/>
      <c r="E158" s="23"/>
      <c r="F158" s="23">
        <v>150</v>
      </c>
      <c r="G158" s="24">
        <v>475800</v>
      </c>
      <c r="H158" s="23">
        <f t="shared" si="16"/>
        <v>150</v>
      </c>
    </row>
    <row r="159" spans="2:8">
      <c r="B159" s="23"/>
      <c r="C159" s="23"/>
      <c r="D159" s="23"/>
      <c r="E159" s="23"/>
      <c r="F159" s="23">
        <v>155</v>
      </c>
      <c r="G159" s="24">
        <v>543100</v>
      </c>
      <c r="H159" s="23">
        <f t="shared" si="16"/>
        <v>155</v>
      </c>
    </row>
    <row r="160" spans="2:8">
      <c r="B160" s="23"/>
      <c r="C160" s="23"/>
      <c r="D160" s="23"/>
      <c r="E160" s="23"/>
      <c r="F160" s="23">
        <v>160</v>
      </c>
      <c r="G160" s="24">
        <v>617800</v>
      </c>
      <c r="H160" s="23">
        <f t="shared" si="16"/>
        <v>160</v>
      </c>
    </row>
    <row r="161" spans="2:8">
      <c r="B161" s="23"/>
      <c r="C161" s="23"/>
      <c r="D161" s="23"/>
      <c r="E161" s="23"/>
      <c r="F161" s="23">
        <v>165</v>
      </c>
      <c r="G161" s="24">
        <v>700500</v>
      </c>
      <c r="H161" s="23">
        <f t="shared" si="16"/>
        <v>165</v>
      </c>
    </row>
    <row r="162" spans="2:8">
      <c r="B162" s="23"/>
      <c r="C162" s="23"/>
      <c r="D162" s="23"/>
      <c r="E162" s="23"/>
      <c r="F162" s="23">
        <v>170</v>
      </c>
      <c r="G162" s="24">
        <v>791700</v>
      </c>
      <c r="H162" s="23">
        <f t="shared" si="16"/>
        <v>170</v>
      </c>
    </row>
    <row r="163" spans="2:8">
      <c r="B163" s="23"/>
      <c r="C163" s="23"/>
      <c r="D163" s="23"/>
      <c r="E163" s="23"/>
      <c r="F163" s="23">
        <v>175</v>
      </c>
      <c r="G163" s="24">
        <v>892000</v>
      </c>
      <c r="H163" s="23">
        <f t="shared" si="16"/>
        <v>175</v>
      </c>
    </row>
    <row r="164" spans="2:8">
      <c r="B164" s="23"/>
      <c r="C164" s="23"/>
      <c r="D164" s="23"/>
      <c r="E164" s="23"/>
      <c r="F164" s="23">
        <v>180</v>
      </c>
      <c r="G164" s="24">
        <v>1002100</v>
      </c>
      <c r="H164" s="23">
        <f t="shared" si="16"/>
        <v>180</v>
      </c>
    </row>
    <row r="165" spans="2:8">
      <c r="B165" s="23"/>
      <c r="C165" s="23"/>
      <c r="D165" s="23"/>
      <c r="E165" s="23"/>
      <c r="F165" s="23">
        <v>185</v>
      </c>
      <c r="G165" s="24">
        <v>1122700</v>
      </c>
      <c r="H165" s="23">
        <f t="shared" si="16"/>
        <v>185</v>
      </c>
    </row>
    <row r="166" spans="2:8">
      <c r="B166" s="23"/>
      <c r="C166" s="23"/>
      <c r="D166" s="23"/>
      <c r="E166" s="23"/>
      <c r="F166" s="23">
        <v>190</v>
      </c>
      <c r="G166" s="24">
        <v>1254400</v>
      </c>
      <c r="H166" s="23">
        <f t="shared" si="16"/>
        <v>190</v>
      </c>
    </row>
    <row r="167" spans="2:8">
      <c r="B167" s="23"/>
      <c r="C167" s="23"/>
      <c r="D167" s="23"/>
      <c r="E167" s="23"/>
      <c r="F167" s="23">
        <v>195</v>
      </c>
      <c r="G167" s="24">
        <v>1397800</v>
      </c>
      <c r="H167" s="23">
        <f t="shared" si="16"/>
        <v>195</v>
      </c>
    </row>
    <row r="168" spans="2:8">
      <c r="B168" s="23"/>
      <c r="C168" s="23"/>
      <c r="D168" s="23"/>
      <c r="E168" s="23"/>
      <c r="F168" s="23">
        <v>200</v>
      </c>
      <c r="G168" s="24">
        <v>1553800</v>
      </c>
      <c r="H168" s="23">
        <f t="shared" si="16"/>
        <v>200</v>
      </c>
    </row>
    <row r="169" spans="2:8">
      <c r="B169" s="23"/>
      <c r="C169" s="23"/>
      <c r="D169" s="23"/>
      <c r="E169" s="23"/>
      <c r="F169" s="23">
        <v>205</v>
      </c>
      <c r="G169" s="24">
        <v>1723000</v>
      </c>
      <c r="H169" s="23">
        <f t="shared" ref="H169:H192" si="17">F169</f>
        <v>205</v>
      </c>
    </row>
    <row r="170" spans="2:8">
      <c r="B170" s="23"/>
      <c r="C170" s="23"/>
      <c r="D170" s="23"/>
      <c r="E170" s="23"/>
      <c r="F170" s="23">
        <v>210</v>
      </c>
      <c r="G170" s="24">
        <v>1906200</v>
      </c>
      <c r="H170" s="23">
        <f t="shared" si="17"/>
        <v>210</v>
      </c>
    </row>
    <row r="171" spans="2:8">
      <c r="B171" s="23"/>
      <c r="C171" s="23"/>
      <c r="D171" s="23"/>
      <c r="E171" s="23"/>
      <c r="F171" s="23">
        <v>215</v>
      </c>
      <c r="G171" s="24">
        <v>2104000</v>
      </c>
      <c r="H171" s="23">
        <f t="shared" si="17"/>
        <v>215</v>
      </c>
    </row>
    <row r="172" spans="2:8">
      <c r="B172" s="23"/>
      <c r="C172" s="23"/>
      <c r="D172" s="23"/>
      <c r="E172" s="23"/>
      <c r="F172" s="23">
        <v>220</v>
      </c>
      <c r="G172" s="24">
        <v>2318000</v>
      </c>
      <c r="H172" s="23">
        <f t="shared" si="17"/>
        <v>220</v>
      </c>
    </row>
    <row r="173" spans="2:8">
      <c r="B173" s="23"/>
      <c r="C173" s="23"/>
      <c r="D173" s="23"/>
      <c r="E173" s="23"/>
      <c r="F173" s="23">
        <v>225</v>
      </c>
      <c r="G173" s="24">
        <v>2548000</v>
      </c>
      <c r="H173" s="23">
        <f t="shared" si="17"/>
        <v>225</v>
      </c>
    </row>
    <row r="174" spans="2:8">
      <c r="B174" s="23"/>
      <c r="C174" s="23"/>
      <c r="D174" s="23"/>
      <c r="E174" s="23"/>
      <c r="F174" s="23">
        <v>230</v>
      </c>
      <c r="G174" s="24">
        <v>2795000</v>
      </c>
      <c r="H174" s="23">
        <f t="shared" si="17"/>
        <v>230</v>
      </c>
    </row>
    <row r="175" spans="2:8">
      <c r="B175" s="23"/>
      <c r="C175" s="23"/>
      <c r="D175" s="23"/>
      <c r="E175" s="23"/>
      <c r="F175" s="23">
        <v>235</v>
      </c>
      <c r="G175" s="24">
        <v>3060000</v>
      </c>
      <c r="H175" s="23">
        <f t="shared" si="17"/>
        <v>235</v>
      </c>
    </row>
    <row r="176" spans="2:8">
      <c r="B176" s="23"/>
      <c r="C176" s="23"/>
      <c r="D176" s="23"/>
      <c r="E176" s="23"/>
      <c r="F176" s="23">
        <v>240</v>
      </c>
      <c r="G176" s="24">
        <v>3344000</v>
      </c>
      <c r="H176" s="23">
        <f t="shared" si="17"/>
        <v>240</v>
      </c>
    </row>
    <row r="177" spans="2:8">
      <c r="B177" s="23"/>
      <c r="C177" s="23"/>
      <c r="D177" s="23"/>
      <c r="E177" s="23"/>
      <c r="F177" s="23">
        <v>245</v>
      </c>
      <c r="G177" s="24">
        <v>3648000</v>
      </c>
      <c r="H177" s="23">
        <f t="shared" si="17"/>
        <v>245</v>
      </c>
    </row>
    <row r="178" spans="2:8">
      <c r="B178" s="23"/>
      <c r="C178" s="23"/>
      <c r="D178" s="23"/>
      <c r="E178" s="23"/>
      <c r="F178" s="23">
        <v>250</v>
      </c>
      <c r="G178" s="24">
        <v>3973000</v>
      </c>
      <c r="H178" s="23">
        <f t="shared" si="17"/>
        <v>250</v>
      </c>
    </row>
    <row r="179" spans="2:8">
      <c r="B179" s="23"/>
      <c r="C179" s="23"/>
      <c r="D179" s="23"/>
      <c r="E179" s="23"/>
      <c r="F179" s="23">
        <v>255</v>
      </c>
      <c r="G179" s="24">
        <v>4319000</v>
      </c>
      <c r="H179" s="23">
        <f t="shared" si="17"/>
        <v>255</v>
      </c>
    </row>
    <row r="180" spans="2:8">
      <c r="B180" s="23"/>
      <c r="C180" s="23"/>
      <c r="D180" s="23"/>
      <c r="E180" s="23"/>
      <c r="F180" s="23">
        <v>260</v>
      </c>
      <c r="G180" s="24">
        <v>4688000</v>
      </c>
      <c r="H180" s="23">
        <f t="shared" si="17"/>
        <v>260</v>
      </c>
    </row>
    <row r="181" spans="2:8">
      <c r="B181" s="23"/>
      <c r="C181" s="23"/>
      <c r="D181" s="23"/>
      <c r="E181" s="23"/>
      <c r="F181" s="23">
        <v>265</v>
      </c>
      <c r="G181" s="24">
        <v>5081000</v>
      </c>
      <c r="H181" s="23">
        <f t="shared" si="17"/>
        <v>265</v>
      </c>
    </row>
    <row r="182" spans="2:8">
      <c r="B182" s="23"/>
      <c r="C182" s="23"/>
      <c r="D182" s="23"/>
      <c r="E182" s="23"/>
      <c r="F182" s="23">
        <v>270</v>
      </c>
      <c r="G182" s="24">
        <v>5499000</v>
      </c>
      <c r="H182" s="23">
        <f t="shared" si="17"/>
        <v>270</v>
      </c>
    </row>
    <row r="183" spans="2:8">
      <c r="B183" s="23"/>
      <c r="C183" s="23"/>
      <c r="D183" s="23"/>
      <c r="E183" s="23"/>
      <c r="F183" s="23">
        <v>275</v>
      </c>
      <c r="G183" s="24">
        <v>5942000</v>
      </c>
      <c r="H183" s="23">
        <f t="shared" si="17"/>
        <v>275</v>
      </c>
    </row>
    <row r="184" spans="2:8">
      <c r="B184" s="23"/>
      <c r="C184" s="23"/>
      <c r="D184" s="23"/>
      <c r="E184" s="23"/>
      <c r="F184" s="23">
        <v>280</v>
      </c>
      <c r="G184" s="24">
        <v>6412000</v>
      </c>
      <c r="H184" s="23">
        <f t="shared" si="17"/>
        <v>280</v>
      </c>
    </row>
    <row r="185" spans="2:8">
      <c r="B185" s="23"/>
      <c r="C185" s="23"/>
      <c r="D185" s="23"/>
      <c r="E185" s="23"/>
      <c r="F185" s="23">
        <v>285</v>
      </c>
      <c r="G185" s="24">
        <v>6909000</v>
      </c>
      <c r="H185" s="23">
        <f t="shared" si="17"/>
        <v>285</v>
      </c>
    </row>
    <row r="186" spans="2:8">
      <c r="B186" s="23"/>
      <c r="C186" s="23"/>
      <c r="D186" s="23"/>
      <c r="E186" s="23"/>
      <c r="F186" s="23">
        <v>290</v>
      </c>
      <c r="G186" s="24">
        <v>7436000</v>
      </c>
      <c r="H186" s="23">
        <f t="shared" si="17"/>
        <v>290</v>
      </c>
    </row>
    <row r="187" spans="2:8">
      <c r="B187" s="23"/>
      <c r="C187" s="23"/>
      <c r="D187" s="23"/>
      <c r="E187" s="23"/>
      <c r="F187" s="23">
        <v>295</v>
      </c>
      <c r="G187" s="24">
        <v>7993000</v>
      </c>
      <c r="H187" s="23">
        <f t="shared" si="17"/>
        <v>295</v>
      </c>
    </row>
    <row r="188" spans="2:8">
      <c r="B188" s="23"/>
      <c r="C188" s="23"/>
      <c r="D188" s="23"/>
      <c r="E188" s="23"/>
      <c r="F188" s="23">
        <v>300</v>
      </c>
      <c r="G188" s="24">
        <v>8581000</v>
      </c>
      <c r="H188" s="23">
        <f t="shared" si="17"/>
        <v>300</v>
      </c>
    </row>
    <row r="189" spans="2:8">
      <c r="B189" s="23"/>
      <c r="C189" s="23"/>
      <c r="D189" s="23"/>
      <c r="E189" s="23"/>
      <c r="F189" s="23">
        <v>320</v>
      </c>
      <c r="G189" s="23">
        <v>11274000</v>
      </c>
      <c r="H189" s="23">
        <f t="shared" si="17"/>
        <v>320</v>
      </c>
    </row>
    <row r="190" spans="2:8">
      <c r="B190" s="23"/>
      <c r="C190" s="23"/>
      <c r="D190" s="23"/>
      <c r="E190" s="23"/>
      <c r="F190" s="23">
        <v>340</v>
      </c>
      <c r="G190" s="23">
        <v>14586000</v>
      </c>
      <c r="H190" s="23">
        <f t="shared" si="17"/>
        <v>340</v>
      </c>
    </row>
    <row r="191" spans="2:8">
      <c r="B191" s="23"/>
      <c r="C191" s="23"/>
      <c r="D191" s="23"/>
      <c r="E191" s="23"/>
      <c r="F191" s="23">
        <v>360</v>
      </c>
      <c r="G191" s="23">
        <v>18651000</v>
      </c>
      <c r="H191" s="23">
        <f t="shared" si="17"/>
        <v>360</v>
      </c>
    </row>
    <row r="192" spans="2:8">
      <c r="B192" s="23"/>
      <c r="C192" s="23"/>
      <c r="D192" s="23"/>
      <c r="E192" s="23"/>
      <c r="F192" s="24">
        <v>374.14</v>
      </c>
      <c r="G192" s="24">
        <v>22090000</v>
      </c>
      <c r="H192" s="24">
        <f t="shared" si="17"/>
        <v>374.14</v>
      </c>
    </row>
    <row r="193" spans="2:8">
      <c r="B193" s="23"/>
      <c r="C193" s="23"/>
      <c r="D193" s="23"/>
      <c r="E193" s="23"/>
      <c r="F193" s="23"/>
      <c r="G193" s="23"/>
      <c r="H193" s="23"/>
    </row>
    <row r="194" spans="2:8">
      <c r="B194" s="23"/>
      <c r="C194" s="23"/>
      <c r="D194" s="23"/>
      <c r="E194" s="23"/>
      <c r="F194" s="1920" t="s">
        <v>169</v>
      </c>
      <c r="G194" s="1921"/>
      <c r="H194" s="1937"/>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20" t="s">
        <v>172</v>
      </c>
      <c r="G200" s="1921"/>
      <c r="H200" s="1937"/>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20" t="s">
        <v>261</v>
      </c>
      <c r="G206" s="1921"/>
      <c r="H206" s="1937"/>
    </row>
    <row r="207" spans="2:8">
      <c r="B207" s="23"/>
      <c r="C207" s="23"/>
      <c r="D207" s="23"/>
      <c r="E207" s="23"/>
      <c r="F207" s="35" t="s">
        <v>170</v>
      </c>
      <c r="G207" s="37" t="s">
        <v>171</v>
      </c>
      <c r="H207" s="67"/>
    </row>
    <row r="208" spans="2:8">
      <c r="B208" s="23"/>
      <c r="C208" s="23"/>
      <c r="D208" s="23"/>
      <c r="E208" s="23"/>
      <c r="F208" s="49" t="e">
        <f>VLOOKUP(G208,$G$105:$H$192,2)</f>
        <v>#DIV/0!</v>
      </c>
      <c r="G208" s="24" t="e">
        <f>VLOOKUP(C127,G105:H192,1)</f>
        <v>#DIV/0!</v>
      </c>
      <c r="H208" s="46" t="e">
        <f>MATCH(F208,F105:F192,1)</f>
        <v>#DIV/0!</v>
      </c>
    </row>
    <row r="209" spans="2:8">
      <c r="B209" s="23"/>
      <c r="C209" s="23"/>
      <c r="D209" s="23"/>
      <c r="E209" s="23"/>
      <c r="F209" s="49" t="e">
        <f>F208+(G209-G208)/(G210-G208)*(F210-F208)</f>
        <v>#DIV/0!</v>
      </c>
      <c r="G209" s="24" t="e">
        <f>C127</f>
        <v>#DIV/0!</v>
      </c>
      <c r="H209" s="46"/>
    </row>
    <row r="210" spans="2:8">
      <c r="B210" s="23"/>
      <c r="C210" s="23"/>
      <c r="D210" s="23"/>
      <c r="E210" s="23"/>
      <c r="F210" s="61" t="e">
        <f>INDEX(F105:F192,H210)</f>
        <v>#DIV/0!</v>
      </c>
      <c r="G210" s="69" t="e">
        <f>VLOOKUP(F210,F105:G192,2)</f>
        <v>#DIV/0!</v>
      </c>
      <c r="H210" s="58" t="e">
        <f>H208+1</f>
        <v>#DIV/0!</v>
      </c>
    </row>
    <row r="211" spans="2:8">
      <c r="B211" s="23"/>
      <c r="C211" s="23"/>
      <c r="D211" s="23"/>
      <c r="E211" s="23"/>
    </row>
    <row r="212" spans="2:8">
      <c r="B212" s="23"/>
      <c r="C212" s="23"/>
      <c r="D212" s="23"/>
      <c r="E212" s="23"/>
      <c r="F212" s="1920" t="s">
        <v>173</v>
      </c>
      <c r="G212" s="1921"/>
      <c r="H212" s="1937"/>
    </row>
    <row r="213" spans="2:8">
      <c r="B213" s="23"/>
      <c r="C213" s="23"/>
      <c r="D213" s="23"/>
      <c r="E213" s="23"/>
      <c r="F213" s="35" t="s">
        <v>170</v>
      </c>
      <c r="G213" s="37" t="s">
        <v>171</v>
      </c>
      <c r="H213" s="67"/>
    </row>
    <row r="214" spans="2:8">
      <c r="B214" s="23"/>
      <c r="C214" s="23"/>
      <c r="D214" s="23"/>
      <c r="E214" s="23"/>
      <c r="F214" s="49">
        <f>VLOOKUP(F215,F105:G192,1)</f>
        <v>200</v>
      </c>
      <c r="G214" s="24">
        <f>VLOOKUP(F214,$F$105:$G$192,2)</f>
        <v>1553800</v>
      </c>
      <c r="H214" s="46">
        <f>MATCH(F214,F105:F192,1)</f>
        <v>64</v>
      </c>
    </row>
    <row r="215" spans="2:8">
      <c r="B215" s="23"/>
      <c r="C215" s="23"/>
      <c r="D215" s="23"/>
      <c r="E215" s="23"/>
      <c r="F215" s="49">
        <f>C122</f>
        <v>200</v>
      </c>
      <c r="G215" s="24">
        <f>G214+((F215-F214)/(F216-F214))*(G216-G214)</f>
        <v>1553800</v>
      </c>
      <c r="H215" s="46"/>
    </row>
    <row r="216" spans="2:8">
      <c r="B216" s="23"/>
      <c r="C216" s="23"/>
      <c r="D216" s="23"/>
      <c r="E216" s="23"/>
      <c r="F216" s="61">
        <f>INDEX(F105:F192,H216)</f>
        <v>205</v>
      </c>
      <c r="G216" s="69">
        <f>VLOOKUP(F216,$F$105:$G$192,2)</f>
        <v>1723000</v>
      </c>
      <c r="H216" s="58">
        <f>H214+1</f>
        <v>65</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scenarios current="0">
    <scenario name="Tfumée_micro2" count="1" user="Céline Hertz" comment="Créé par Céline Hertz le 2023-05-16_x000a_Modifié par: Céline Hertz le 2023-05-16">
      <inputCells r="U7" val="126,582227015757" numFmtId="1"/>
    </scenario>
  </scenarios>
  <mergeCells count="26">
    <mergeCell ref="M72:N72"/>
    <mergeCell ref="F194:H194"/>
    <mergeCell ref="F200:H200"/>
    <mergeCell ref="F206:H20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AA1:AC3"/>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B4DF7-7220-49FF-9917-6766D5A23314}">
  <sheetPr codeName="Feuil14">
    <tabColor theme="4"/>
  </sheetPr>
  <dimension ref="A1:AE355"/>
  <sheetViews>
    <sheetView workbookViewId="0">
      <selection activeCell="C116" sqref="C116:D116"/>
    </sheetView>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25" width="11.44140625" style="19"/>
    <col min="26" max="26" width="11.44140625" style="564"/>
    <col min="27" max="27" width="13.77734375" style="23" customWidth="1"/>
    <col min="28" max="29" width="13.77734375" style="19" customWidth="1"/>
    <col min="30" max="16384" width="11.44140625" style="19"/>
  </cols>
  <sheetData>
    <row r="1" spans="1:31">
      <c r="G1" s="374"/>
      <c r="AA1" s="1964" t="s">
        <v>421</v>
      </c>
      <c r="AB1" s="1964"/>
      <c r="AC1" s="1964"/>
    </row>
    <row r="2" spans="1:31">
      <c r="E2" s="20" t="s">
        <v>64</v>
      </c>
      <c r="F2" s="21" t="s">
        <v>16</v>
      </c>
      <c r="G2" s="22" t="e">
        <f>1-(G4/(G5+ABS(L27)))</f>
        <v>#DIV/0!</v>
      </c>
      <c r="AA2" s="1964"/>
      <c r="AB2" s="1964"/>
      <c r="AC2" s="1964"/>
    </row>
    <row r="3" spans="1:31" ht="15" thickBot="1">
      <c r="B3" s="6"/>
      <c r="C3" s="564"/>
      <c r="U3" s="375"/>
      <c r="AA3" s="1964"/>
      <c r="AB3" s="1964"/>
      <c r="AC3" s="1964"/>
    </row>
    <row r="4" spans="1:31" ht="13.8" thickBot="1">
      <c r="E4" s="23" t="s">
        <v>65</v>
      </c>
      <c r="F4" s="23" t="s">
        <v>66</v>
      </c>
      <c r="G4" s="255" t="e">
        <f>V27</f>
        <v>#DIV/0!</v>
      </c>
      <c r="H4" s="25"/>
      <c r="AA4" s="65" t="s">
        <v>419</v>
      </c>
      <c r="AB4" s="378">
        <f>'Micromodulation et sonde O2'!E93</f>
        <v>1.0044118150193189</v>
      </c>
    </row>
    <row r="5" spans="1:31">
      <c r="A5" s="26" t="s">
        <v>67</v>
      </c>
      <c r="E5" s="23" t="s">
        <v>68</v>
      </c>
      <c r="F5" s="23" t="s">
        <v>66</v>
      </c>
      <c r="G5" s="255" t="e">
        <f>P27+S27</f>
        <v>#DIV/0!</v>
      </c>
      <c r="J5" s="1941" t="s">
        <v>339</v>
      </c>
      <c r="K5" s="1942"/>
      <c r="L5" s="1942"/>
      <c r="M5" s="1943"/>
      <c r="N5" s="1965" t="s">
        <v>69</v>
      </c>
      <c r="O5" s="1966"/>
      <c r="P5" s="1966"/>
      <c r="Q5" s="1966"/>
      <c r="R5" s="1966"/>
      <c r="S5" s="1966"/>
      <c r="T5" s="1966"/>
      <c r="U5" s="1966"/>
      <c r="V5" s="1967"/>
      <c r="AA5" s="65" t="s">
        <v>418</v>
      </c>
      <c r="AB5" s="565" t="e">
        <f>(AB4-AE11)/AE10</f>
        <v>#DIV/0!</v>
      </c>
      <c r="AC5" s="377" t="s">
        <v>13</v>
      </c>
    </row>
    <row r="6" spans="1:31">
      <c r="A6" s="300" t="s">
        <v>338</v>
      </c>
      <c r="J6" s="1944" t="s">
        <v>337</v>
      </c>
      <c r="K6" s="1945"/>
      <c r="L6" s="1945"/>
      <c r="M6" s="1946"/>
      <c r="N6" s="1926" t="s">
        <v>336</v>
      </c>
      <c r="O6" s="1927"/>
      <c r="P6" s="1928"/>
      <c r="Q6" s="1926" t="s">
        <v>70</v>
      </c>
      <c r="R6" s="1927"/>
      <c r="S6" s="1928"/>
      <c r="T6" s="1926" t="s">
        <v>123</v>
      </c>
      <c r="U6" s="1927"/>
      <c r="V6" s="1928"/>
      <c r="AA6" s="65"/>
      <c r="AB6" s="373"/>
    </row>
    <row r="7" spans="1:31" ht="14.25" customHeight="1">
      <c r="C7" s="1935" t="s">
        <v>335</v>
      </c>
      <c r="D7" s="1920" t="s">
        <v>334</v>
      </c>
      <c r="E7" s="1937"/>
      <c r="F7" s="1920" t="s">
        <v>333</v>
      </c>
      <c r="G7" s="1921"/>
      <c r="H7" s="1921"/>
      <c r="I7" s="1921"/>
      <c r="J7" s="28" t="s">
        <v>71</v>
      </c>
      <c r="K7" s="29" t="s">
        <v>72</v>
      </c>
      <c r="L7" s="29" t="s">
        <v>332</v>
      </c>
      <c r="M7" s="1947" t="s">
        <v>331</v>
      </c>
      <c r="N7" s="30" t="s">
        <v>73</v>
      </c>
      <c r="O7" s="31">
        <f>'3c. Calculator EEM 2-3'!I34</f>
        <v>20</v>
      </c>
      <c r="P7" s="32"/>
      <c r="Q7" s="33" t="s">
        <v>73</v>
      </c>
      <c r="R7" s="34">
        <f>'3c. Calculator EEM 2-3'!I33</f>
        <v>20</v>
      </c>
      <c r="S7" s="32"/>
      <c r="T7" s="33" t="s">
        <v>73</v>
      </c>
      <c r="U7" s="387">
        <v>200</v>
      </c>
      <c r="V7" s="32"/>
      <c r="AA7" s="383" t="s">
        <v>423</v>
      </c>
      <c r="AB7" s="379" t="s">
        <v>422</v>
      </c>
    </row>
    <row r="8" spans="1:31" ht="42">
      <c r="C8" s="1936"/>
      <c r="D8" s="299" t="s">
        <v>330</v>
      </c>
      <c r="E8" s="298" t="s">
        <v>329</v>
      </c>
      <c r="F8" s="1923" t="s">
        <v>74</v>
      </c>
      <c r="G8" s="1924"/>
      <c r="H8" s="1924"/>
      <c r="I8" s="1924"/>
      <c r="J8" s="35" t="s">
        <v>75</v>
      </c>
      <c r="K8" s="37" t="s">
        <v>75</v>
      </c>
      <c r="L8" s="37"/>
      <c r="M8" s="1948"/>
      <c r="N8" s="37" t="s">
        <v>76</v>
      </c>
      <c r="O8" s="37" t="s">
        <v>77</v>
      </c>
      <c r="P8" s="36" t="s">
        <v>78</v>
      </c>
      <c r="Q8" s="35" t="s">
        <v>76</v>
      </c>
      <c r="R8" s="37" t="s">
        <v>77</v>
      </c>
      <c r="S8" s="36" t="s">
        <v>78</v>
      </c>
      <c r="T8" s="35" t="s">
        <v>76</v>
      </c>
      <c r="U8" s="37" t="s">
        <v>77</v>
      </c>
      <c r="V8" s="36" t="s">
        <v>78</v>
      </c>
      <c r="AA8" s="384"/>
      <c r="AB8" s="386"/>
      <c r="AD8" s="19" t="s">
        <v>765</v>
      </c>
    </row>
    <row r="9" spans="1:31" ht="20.399999999999999">
      <c r="B9" s="19" t="s">
        <v>35</v>
      </c>
      <c r="C9" s="247" t="s">
        <v>328</v>
      </c>
      <c r="D9" s="1954" t="s">
        <v>328</v>
      </c>
      <c r="E9" s="1955"/>
      <c r="F9" s="1932" t="s">
        <v>111</v>
      </c>
      <c r="G9" s="1933"/>
      <c r="H9" s="1933"/>
      <c r="I9" s="1934"/>
      <c r="J9" s="35"/>
      <c r="K9" s="37"/>
      <c r="L9" s="37"/>
      <c r="M9" s="297" t="s">
        <v>327</v>
      </c>
      <c r="N9" s="37"/>
      <c r="O9" s="37"/>
      <c r="P9" s="36"/>
      <c r="Q9" s="37"/>
      <c r="R9" s="37"/>
      <c r="S9" s="36"/>
      <c r="T9" s="37"/>
      <c r="U9" s="37"/>
      <c r="V9" s="36"/>
      <c r="AA9" s="385"/>
      <c r="AB9" s="380" t="e">
        <f>1-(G4/(G5+ABS(L27)))</f>
        <v>#DIV/0!</v>
      </c>
      <c r="AD9" s="566" t="s">
        <v>766</v>
      </c>
      <c r="AE9" s="566"/>
    </row>
    <row r="10" spans="1:31" ht="23.25" customHeight="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c r="AA10" s="54">
        <v>200</v>
      </c>
      <c r="AB10" s="381" t="e">
        <f t="dataTable" ref="AB10:AB11" dt2D="0" dtr="0" r1="U7"/>
        <v>#DIV/0!</v>
      </c>
      <c r="AD10" s="19" t="s">
        <v>763</v>
      </c>
      <c r="AE10" s="19" t="e">
        <f>SLOPE(AB10:AB11,AA10:AA11)</f>
        <v>#DIV/0!</v>
      </c>
    </row>
    <row r="11" spans="1:31" ht="15.6">
      <c r="A11" s="44" t="s">
        <v>88</v>
      </c>
      <c r="B11" s="45" t="s">
        <v>89</v>
      </c>
      <c r="C11" s="290">
        <v>31.998799999999999</v>
      </c>
      <c r="D11" s="283">
        <v>0</v>
      </c>
      <c r="E11" s="282">
        <v>0</v>
      </c>
      <c r="F11" s="47">
        <v>29.1</v>
      </c>
      <c r="G11" s="48">
        <v>1.1579999999999999</v>
      </c>
      <c r="H11" s="48">
        <v>-0.60760000000000003</v>
      </c>
      <c r="I11" s="48">
        <v>1.3109999999999999</v>
      </c>
      <c r="J11" s="49">
        <f>N11*C11</f>
        <v>0</v>
      </c>
      <c r="K11" s="48">
        <f t="shared" ref="K11:K26" si="0">($E$29*(C11/1000))/($B$32*$B$29)*N11</f>
        <v>0</v>
      </c>
      <c r="L11" s="255">
        <f t="shared" ref="L11:L26" si="1">N11*E11</f>
        <v>0</v>
      </c>
      <c r="M11" s="279">
        <f t="shared" ref="M11:M26" si="2">N11*D11/2*$W$15</f>
        <v>0</v>
      </c>
      <c r="N11" s="51">
        <f>'Combustion_Chaud2 (Micro)'!C53/100</f>
        <v>0</v>
      </c>
      <c r="O11" s="50">
        <f>AVERAGE($F11+$G11/100*O$7+$H11/100000*O$7^2+$I11/1000000000*O$7^3,$F11+$G11/100*$B$28+$H11/100000*$B$28^2+$I11/1000000000*$B$28^3)</f>
        <v>29.303892412703927</v>
      </c>
      <c r="P11" s="52">
        <f>N11*O11*(O$7-$B$28)</f>
        <v>0</v>
      </c>
      <c r="Q11" s="51" t="e">
        <f>'Combustion_Chaud2 (Micro)'!G88</f>
        <v>#DIV/0!</v>
      </c>
      <c r="R11" s="50">
        <f t="shared" ref="R11:R26" si="3">AVERAGE($F11+$G11/100*R$7+$H11/100000*R$7^2+$I11/1000000000*R$7^3,$F11+$G11/100*$B$28+$H11/100000*$B$28^2+$I11/1000000000*$B$28^3)</f>
        <v>29.303892412703927</v>
      </c>
      <c r="S11" s="282" t="e">
        <f>Q11*R11*(R$7-$B$28)</f>
        <v>#DIV/0!</v>
      </c>
      <c r="T11" s="51" t="e">
        <f>'Combustion_Chaud2 (Micro)'!L79</f>
        <v>#DIV/0!</v>
      </c>
      <c r="U11" s="50">
        <f t="shared" ref="U11:U26" si="4">AVERAGE($F11+$G11/100*U$7+$H11/100000*U$7^2+$I11/1000000000*U$7^3,$F11+$G11/100*$B$28+$H11/100000*$B$28^2+$I11/1000000000*$B$28^3)</f>
        <v>30.231026368703926</v>
      </c>
      <c r="V11" s="282" t="e">
        <f>T11*U11*(U$7-$B$28)</f>
        <v>#DIV/0!</v>
      </c>
      <c r="AA11" s="62">
        <v>110</v>
      </c>
      <c r="AB11" s="382" t="e">
        <v>#DIV/0!</v>
      </c>
      <c r="AD11" s="19" t="s">
        <v>764</v>
      </c>
      <c r="AE11" s="19" t="e">
        <f>INTERCEPT(AB10:AB11,AA10:AA11)</f>
        <v>#DIV/0!</v>
      </c>
    </row>
    <row r="12" spans="1:31" ht="14.4">
      <c r="A12" s="53" t="s">
        <v>299</v>
      </c>
      <c r="B12" s="19" t="s">
        <v>90</v>
      </c>
      <c r="C12" s="284">
        <v>28.010100000000001</v>
      </c>
      <c r="D12" s="283">
        <v>0</v>
      </c>
      <c r="E12" s="282">
        <v>-282910</v>
      </c>
      <c r="F12" s="51">
        <v>28.95</v>
      </c>
      <c r="G12" s="50">
        <v>0.41099999999999998</v>
      </c>
      <c r="H12" s="50">
        <v>0.3548</v>
      </c>
      <c r="I12" s="50">
        <v>-2.2200000000000002</v>
      </c>
      <c r="J12" s="49">
        <f t="shared" ref="J12:J26" si="5">N12*C12</f>
        <v>0</v>
      </c>
      <c r="K12" s="50">
        <f t="shared" si="0"/>
        <v>0</v>
      </c>
      <c r="L12" s="255">
        <f t="shared" si="1"/>
        <v>0</v>
      </c>
      <c r="M12" s="279">
        <f t="shared" si="2"/>
        <v>0</v>
      </c>
      <c r="N12" s="51">
        <f>'Combustion_Chaud2 (Micro)'!C54/100</f>
        <v>0</v>
      </c>
      <c r="O12" s="50">
        <f t="shared" ref="O12:O26" si="6">AVERAGE($F12+$G12/100*O$7+$H12/100000*O$7^2+$I12/1000000000*O$7^3,$F12+$G12/100*$B$28+$H12/100000*$B$28^2+$I12/1000000000*$B$28^3)</f>
        <v>29.024180754002948</v>
      </c>
      <c r="P12" s="52">
        <f>N12*O12*(O$7-$B$28)</f>
        <v>0</v>
      </c>
      <c r="Q12" s="285"/>
      <c r="R12" s="50">
        <f t="shared" si="3"/>
        <v>29.024180754002948</v>
      </c>
      <c r="S12" s="282">
        <f>Q12*R12*(R$7-$B$28)</f>
        <v>0</v>
      </c>
      <c r="T12" s="285"/>
      <c r="U12" s="50">
        <f t="shared" si="4"/>
        <v>29.455460034002947</v>
      </c>
      <c r="V12" s="282">
        <f>T12*U12*(U$7-$B$28)</f>
        <v>0</v>
      </c>
      <c r="AA12" s="6"/>
      <c r="AB12" s="6"/>
    </row>
    <row r="13" spans="1:31" ht="15.6">
      <c r="A13" s="53" t="s">
        <v>284</v>
      </c>
      <c r="B13" s="19" t="s">
        <v>91</v>
      </c>
      <c r="C13" s="284">
        <v>44.009500000000003</v>
      </c>
      <c r="D13" s="283">
        <v>0</v>
      </c>
      <c r="E13" s="282">
        <v>0</v>
      </c>
      <c r="F13" s="51">
        <v>36.11</v>
      </c>
      <c r="G13" s="50">
        <v>4.2329999999999997</v>
      </c>
      <c r="H13" s="50">
        <v>-2.887</v>
      </c>
      <c r="I13" s="50">
        <v>7.4640000000000004</v>
      </c>
      <c r="J13" s="49">
        <f t="shared" si="5"/>
        <v>0.28166080000000004</v>
      </c>
      <c r="K13" s="50">
        <f t="shared" si="0"/>
        <v>1.1916985502539782E-2</v>
      </c>
      <c r="L13" s="255">
        <f t="shared" si="1"/>
        <v>0</v>
      </c>
      <c r="M13" s="279">
        <f t="shared" si="2"/>
        <v>0</v>
      </c>
      <c r="N13" s="51">
        <f>'Combustion_Chaud2 (Micro)'!C55/100</f>
        <v>6.4000000000000003E-3</v>
      </c>
      <c r="O13" s="50">
        <f t="shared" si="6"/>
        <v>36.853195219340265</v>
      </c>
      <c r="P13" s="52">
        <f>N13*O13*(O$7-$B$28)</f>
        <v>1.0495789998468106</v>
      </c>
      <c r="Q13" s="285"/>
      <c r="R13" s="50">
        <f t="shared" si="3"/>
        <v>36.853195219340265</v>
      </c>
      <c r="S13" s="282">
        <f>Q13*R13*(R$7-$B$28)</f>
        <v>0</v>
      </c>
      <c r="T13" s="51">
        <f>'Combustion_Chaud2 (Micro)'!L78</f>
        <v>1.0020999999999998</v>
      </c>
      <c r="U13" s="50">
        <f t="shared" si="4"/>
        <v>40.12109536334026</v>
      </c>
      <c r="V13" s="282">
        <f>T13*U13*(U$7-$B$28)</f>
        <v>7415.8767454516219</v>
      </c>
      <c r="AA13" s="6"/>
      <c r="AB13" s="6"/>
    </row>
    <row r="14" spans="1:31" ht="15.6">
      <c r="A14" s="53" t="s">
        <v>92</v>
      </c>
      <c r="B14" s="19" t="s">
        <v>93</v>
      </c>
      <c r="C14" s="284">
        <v>2.0158800000000001</v>
      </c>
      <c r="D14" s="283">
        <v>2</v>
      </c>
      <c r="E14" s="282">
        <v>-286130</v>
      </c>
      <c r="F14" s="51">
        <v>28.84</v>
      </c>
      <c r="G14" s="50">
        <v>7.6499999999999997E-3</v>
      </c>
      <c r="H14" s="50">
        <v>0.32879999999999998</v>
      </c>
      <c r="I14" s="50">
        <v>-0.86980000000000002</v>
      </c>
      <c r="J14" s="49">
        <f t="shared" si="5"/>
        <v>0</v>
      </c>
      <c r="K14" s="50">
        <f t="shared" si="0"/>
        <v>0</v>
      </c>
      <c r="L14" s="255">
        <f t="shared" si="1"/>
        <v>0</v>
      </c>
      <c r="M14" s="279">
        <f t="shared" si="2"/>
        <v>0</v>
      </c>
      <c r="N14" s="51">
        <f>'Combustion_Chaud2 (Micro)'!C56/100</f>
        <v>0</v>
      </c>
      <c r="O14" s="50">
        <f t="shared" si="6"/>
        <v>28.842409796373442</v>
      </c>
      <c r="P14" s="52">
        <f>N14*O14*(O$7-$B$28)</f>
        <v>0</v>
      </c>
      <c r="Q14" s="285"/>
      <c r="R14" s="50">
        <f t="shared" si="3"/>
        <v>28.842409796373442</v>
      </c>
      <c r="S14" s="282">
        <f>Q14*R14*(R$7-$B$28)</f>
        <v>0</v>
      </c>
      <c r="T14" s="285"/>
      <c r="U14" s="50">
        <f t="shared" si="4"/>
        <v>28.910921475573442</v>
      </c>
      <c r="V14" s="282">
        <f>T14*U14*(U$7-$B$28)</f>
        <v>0</v>
      </c>
      <c r="AA14" s="6"/>
      <c r="AB14" s="6"/>
    </row>
    <row r="15" spans="1:31" ht="15.6">
      <c r="A15" s="53" t="s">
        <v>94</v>
      </c>
      <c r="B15" s="19" t="s">
        <v>298</v>
      </c>
      <c r="C15" s="284">
        <v>18.015280000000001</v>
      </c>
      <c r="D15" s="283">
        <v>2</v>
      </c>
      <c r="E15" s="282">
        <v>0</v>
      </c>
      <c r="F15" s="51">
        <v>33.46</v>
      </c>
      <c r="G15" s="50">
        <v>0.68799999999999994</v>
      </c>
      <c r="H15" s="50">
        <v>0.76039999999999996</v>
      </c>
      <c r="I15" s="50">
        <v>-3.593</v>
      </c>
      <c r="J15" s="49">
        <f t="shared" si="5"/>
        <v>0</v>
      </c>
      <c r="K15" s="50">
        <f t="shared" si="0"/>
        <v>0</v>
      </c>
      <c r="L15" s="255">
        <f t="shared" si="1"/>
        <v>0</v>
      </c>
      <c r="M15" s="279">
        <f t="shared" si="2"/>
        <v>0</v>
      </c>
      <c r="N15" s="51">
        <f>'Combustion_Chaud2 (Micro)'!C57/100</f>
        <v>0</v>
      </c>
      <c r="O15" s="50">
        <f t="shared" si="6"/>
        <v>33.584711006213126</v>
      </c>
      <c r="P15" s="52">
        <f>N15*(W15+O15*(O$7-$B$28))</f>
        <v>0</v>
      </c>
      <c r="Q15" s="51" t="e">
        <f>'Combustion_Chaud2 (Micro)'!G89</f>
        <v>#DIV/0!</v>
      </c>
      <c r="R15" s="50">
        <f t="shared" si="3"/>
        <v>33.584711006213126</v>
      </c>
      <c r="S15" s="282" t="e">
        <f>Q15*(W15+R15*(R$7-$B$28))</f>
        <v>#DIV/0!</v>
      </c>
      <c r="T15" s="51" t="e">
        <f>'Combustion_Chaud2 (Micro)'!L81-T16</f>
        <v>#DIV/0!</v>
      </c>
      <c r="U15" s="50">
        <f t="shared" si="4"/>
        <v>34.340112578213123</v>
      </c>
      <c r="V15" s="286" t="e">
        <f>((T15-G89)*$W$15)+(T15*U15*(U$7-$B$28))</f>
        <v>#DIV/0!</v>
      </c>
      <c r="W15" s="257">
        <v>44408</v>
      </c>
      <c r="X15" s="19" t="s">
        <v>95</v>
      </c>
      <c r="AA15" s="6"/>
      <c r="AB15" s="6"/>
    </row>
    <row r="16" spans="1:31" ht="15.6">
      <c r="A16" s="53" t="s">
        <v>96</v>
      </c>
      <c r="B16" s="19" t="s">
        <v>324</v>
      </c>
      <c r="C16" s="284">
        <f>C15</f>
        <v>18.015280000000001</v>
      </c>
      <c r="D16" s="283">
        <v>2</v>
      </c>
      <c r="E16" s="282">
        <v>0</v>
      </c>
      <c r="F16" s="51">
        <v>75.400000000000006</v>
      </c>
      <c r="G16" s="50">
        <v>0</v>
      </c>
      <c r="H16" s="50">
        <v>0</v>
      </c>
      <c r="I16" s="50">
        <v>0</v>
      </c>
      <c r="J16" s="49">
        <f t="shared" si="5"/>
        <v>0</v>
      </c>
      <c r="K16" s="50">
        <f t="shared" si="0"/>
        <v>0</v>
      </c>
      <c r="L16" s="255">
        <f t="shared" si="1"/>
        <v>0</v>
      </c>
      <c r="M16" s="279">
        <f t="shared" si="2"/>
        <v>0</v>
      </c>
      <c r="N16" s="51">
        <v>0</v>
      </c>
      <c r="O16" s="50">
        <f t="shared" si="6"/>
        <v>75.400000000000006</v>
      </c>
      <c r="P16" s="52">
        <f t="shared" ref="P16:P26" si="7">N16*O16*(O$7-$B$28)</f>
        <v>0</v>
      </c>
      <c r="Q16" s="285"/>
      <c r="R16" s="50">
        <f t="shared" si="3"/>
        <v>75.400000000000006</v>
      </c>
      <c r="S16" s="282">
        <f t="shared" ref="S16:S26" si="8">Q16*R16*(R$7-$B$28)</f>
        <v>0</v>
      </c>
      <c r="T16" s="51" t="e">
        <f>'Combustion_Chaud2 (Micro)'!L92</f>
        <v>#DIV/0!</v>
      </c>
      <c r="U16" s="50">
        <f t="shared" si="4"/>
        <v>75.400000000000006</v>
      </c>
      <c r="V16" s="286" t="e">
        <f t="shared" ref="V16:V26" si="9">T16*U16*(U$7-$B$28)</f>
        <v>#DIV/0!</v>
      </c>
      <c r="AA16" s="6"/>
      <c r="AB16" s="6"/>
    </row>
    <row r="17" spans="1:28" ht="15.6">
      <c r="A17" s="53" t="s">
        <v>97</v>
      </c>
      <c r="B17" s="19" t="s">
        <v>98</v>
      </c>
      <c r="C17" s="284">
        <v>16.042459999999998</v>
      </c>
      <c r="D17" s="283">
        <v>4</v>
      </c>
      <c r="E17" s="282">
        <v>-891460</v>
      </c>
      <c r="F17" s="51">
        <v>34.31</v>
      </c>
      <c r="G17" s="50">
        <v>5.4690000000000003</v>
      </c>
      <c r="H17" s="50">
        <v>0.36609999999999998</v>
      </c>
      <c r="I17" s="50">
        <v>-11</v>
      </c>
      <c r="J17" s="49">
        <f t="shared" si="5"/>
        <v>15.347821481999999</v>
      </c>
      <c r="K17" s="50">
        <f t="shared" si="0"/>
        <v>0.6493618071686319</v>
      </c>
      <c r="L17" s="255">
        <f>N17*E17</f>
        <v>-852859.78200000001</v>
      </c>
      <c r="M17" s="279">
        <f t="shared" si="2"/>
        <v>84970.267200000002</v>
      </c>
      <c r="N17" s="51">
        <f>'Combustion_Chaud2 (Micro)'!C58/100</f>
        <v>0.95669999999999999</v>
      </c>
      <c r="O17" s="50">
        <f t="shared" si="6"/>
        <v>35.283224889317438</v>
      </c>
      <c r="P17" s="52">
        <f t="shared" si="7"/>
        <v>150.21180256966446</v>
      </c>
      <c r="Q17" s="285"/>
      <c r="R17" s="50">
        <f t="shared" si="3"/>
        <v>35.283224889317438</v>
      </c>
      <c r="S17" s="282">
        <f t="shared" si="8"/>
        <v>0</v>
      </c>
      <c r="T17" s="285"/>
      <c r="U17" s="50">
        <f t="shared" si="4"/>
        <v>40.233856689317435</v>
      </c>
      <c r="V17" s="282">
        <f t="shared" si="9"/>
        <v>0</v>
      </c>
      <c r="AA17" s="6"/>
      <c r="AB17" s="6"/>
    </row>
    <row r="18" spans="1:28" ht="15.6">
      <c r="A18" s="53" t="s">
        <v>99</v>
      </c>
      <c r="B18" s="19" t="s">
        <v>297</v>
      </c>
      <c r="C18" s="284">
        <v>30.09562</v>
      </c>
      <c r="D18" s="283">
        <v>6</v>
      </c>
      <c r="E18" s="282">
        <v>-1562060</v>
      </c>
      <c r="F18" s="51">
        <v>49.37</v>
      </c>
      <c r="G18" s="50">
        <v>13.92</v>
      </c>
      <c r="H18" s="50">
        <v>-5.8159999999999998</v>
      </c>
      <c r="I18" s="50">
        <v>7.28</v>
      </c>
      <c r="J18" s="49">
        <f t="shared" si="5"/>
        <v>0.4875490440000001</v>
      </c>
      <c r="K18" s="50">
        <f t="shared" si="0"/>
        <v>2.0628056474756629E-2</v>
      </c>
      <c r="L18" s="255">
        <f t="shared" si="1"/>
        <v>-25305.372000000003</v>
      </c>
      <c r="M18" s="279">
        <f t="shared" si="2"/>
        <v>2158.2288000000003</v>
      </c>
      <c r="N18" s="51">
        <f>'Combustion_Chaud2 (Micro)'!C59/100</f>
        <v>1.6200000000000003E-2</v>
      </c>
      <c r="O18" s="50">
        <f t="shared" si="6"/>
        <v>51.825659189805108</v>
      </c>
      <c r="P18" s="52">
        <f t="shared" si="7"/>
        <v>3.73611177099305</v>
      </c>
      <c r="Q18" s="285"/>
      <c r="R18" s="50">
        <f t="shared" si="3"/>
        <v>51.825659189805108</v>
      </c>
      <c r="S18" s="282">
        <f t="shared" si="8"/>
        <v>0</v>
      </c>
      <c r="T18" s="285"/>
      <c r="U18" s="50">
        <f t="shared" si="4"/>
        <v>63.231182069805101</v>
      </c>
      <c r="V18" s="282">
        <f t="shared" si="9"/>
        <v>0</v>
      </c>
      <c r="AA18" s="6"/>
      <c r="AB18" s="6"/>
    </row>
    <row r="19" spans="1:28" ht="15.6">
      <c r="A19" s="53" t="s">
        <v>100</v>
      </c>
      <c r="B19" s="19" t="s">
        <v>296</v>
      </c>
      <c r="C19" s="284">
        <v>44.095619999999997</v>
      </c>
      <c r="D19" s="283">
        <v>8</v>
      </c>
      <c r="E19" s="282">
        <v>-2220990</v>
      </c>
      <c r="F19" s="51">
        <v>68.031999999999996</v>
      </c>
      <c r="G19" s="50">
        <v>22.59</v>
      </c>
      <c r="H19" s="50">
        <v>-13.11</v>
      </c>
      <c r="I19" s="50">
        <v>31.71</v>
      </c>
      <c r="J19" s="49">
        <f t="shared" si="5"/>
        <v>6.1733868000000004E-2</v>
      </c>
      <c r="K19" s="50">
        <f t="shared" si="0"/>
        <v>2.611941775254862E-3</v>
      </c>
      <c r="L19" s="255">
        <f t="shared" si="1"/>
        <v>-3109.3860000000004</v>
      </c>
      <c r="M19" s="279">
        <f t="shared" si="2"/>
        <v>248.68480000000002</v>
      </c>
      <c r="N19" s="51">
        <f>'Combustion_Chaud2 (Micro)'!C60/100</f>
        <v>1.4000000000000002E-3</v>
      </c>
      <c r="O19" s="50">
        <f t="shared" si="6"/>
        <v>72.005488801382796</v>
      </c>
      <c r="P19" s="52">
        <f t="shared" si="7"/>
        <v>0.44859419523261485</v>
      </c>
      <c r="Q19" s="285"/>
      <c r="R19" s="50">
        <f t="shared" si="3"/>
        <v>72.005488801382796</v>
      </c>
      <c r="S19" s="282">
        <f t="shared" si="8"/>
        <v>0</v>
      </c>
      <c r="T19" s="285"/>
      <c r="U19" s="50">
        <f t="shared" si="4"/>
        <v>89.867421961382803</v>
      </c>
      <c r="V19" s="282">
        <f t="shared" si="9"/>
        <v>0</v>
      </c>
      <c r="AA19" s="6"/>
      <c r="AB19" s="6"/>
    </row>
    <row r="20" spans="1:28" ht="15.6">
      <c r="A20" s="53" t="s">
        <v>323</v>
      </c>
      <c r="B20" s="19" t="s">
        <v>322</v>
      </c>
      <c r="C20" s="284">
        <v>58.122199999999999</v>
      </c>
      <c r="D20" s="283">
        <v>10</v>
      </c>
      <c r="E20" s="286">
        <v>-2870450</v>
      </c>
      <c r="F20" s="51">
        <v>89.46</v>
      </c>
      <c r="G20" s="50">
        <v>30.13</v>
      </c>
      <c r="H20" s="50">
        <v>-18.91</v>
      </c>
      <c r="I20" s="50">
        <v>49.87</v>
      </c>
      <c r="J20" s="49">
        <f t="shared" si="5"/>
        <v>2.324888E-2</v>
      </c>
      <c r="K20" s="50">
        <f t="shared" si="0"/>
        <v>9.8365326630573758E-4</v>
      </c>
      <c r="L20" s="255">
        <f t="shared" si="1"/>
        <v>-1148.18</v>
      </c>
      <c r="M20" s="279">
        <f t="shared" si="2"/>
        <v>88.816000000000003</v>
      </c>
      <c r="N20" s="51">
        <f>'Combustion_Chaud2 (Micro)'!C61/100</f>
        <v>4.0000000000000002E-4</v>
      </c>
      <c r="O20" s="50">
        <f t="shared" si="6"/>
        <v>94.755218309944979</v>
      </c>
      <c r="P20" s="52">
        <f t="shared" si="7"/>
        <v>0.16866428859170204</v>
      </c>
      <c r="Q20" s="285"/>
      <c r="R20" s="50">
        <f t="shared" si="3"/>
        <v>94.755218309944979</v>
      </c>
      <c r="S20" s="282">
        <f t="shared" si="8"/>
        <v>0</v>
      </c>
      <c r="T20" s="285"/>
      <c r="U20" s="50">
        <f t="shared" si="4"/>
        <v>118.327318829945</v>
      </c>
      <c r="V20" s="282">
        <f t="shared" si="9"/>
        <v>0</v>
      </c>
      <c r="AA20" s="6"/>
      <c r="AB20" s="6"/>
    </row>
    <row r="21" spans="1:28" ht="15.6">
      <c r="A21" s="53" t="s">
        <v>101</v>
      </c>
      <c r="B21" s="19" t="s">
        <v>321</v>
      </c>
      <c r="C21" s="284">
        <f>C20</f>
        <v>58.122199999999999</v>
      </c>
      <c r="D21" s="283">
        <v>10</v>
      </c>
      <c r="E21" s="289">
        <v>-2879630</v>
      </c>
      <c r="F21" s="51">
        <v>92.3</v>
      </c>
      <c r="G21" s="50">
        <v>27.88</v>
      </c>
      <c r="H21" s="50">
        <v>-15.47</v>
      </c>
      <c r="I21" s="50">
        <v>34.979999999999997</v>
      </c>
      <c r="J21" s="49">
        <f t="shared" si="5"/>
        <v>1.162444E-2</v>
      </c>
      <c r="K21" s="50">
        <f t="shared" si="0"/>
        <v>4.9182663315286879E-4</v>
      </c>
      <c r="L21" s="255">
        <f t="shared" si="1"/>
        <v>-575.92600000000004</v>
      </c>
      <c r="M21" s="279">
        <f t="shared" si="2"/>
        <v>44.408000000000001</v>
      </c>
      <c r="N21" s="51">
        <f>'Combustion_Chaud2 (Micro)'!C62/100</f>
        <v>2.0000000000000001E-4</v>
      </c>
      <c r="O21" s="50">
        <f t="shared" si="6"/>
        <v>97.206232259530026</v>
      </c>
      <c r="P21" s="52">
        <f t="shared" si="7"/>
        <v>8.6513546710981701E-2</v>
      </c>
      <c r="Q21" s="285"/>
      <c r="R21" s="50">
        <f t="shared" si="3"/>
        <v>97.206232259530026</v>
      </c>
      <c r="S21" s="282">
        <f t="shared" si="8"/>
        <v>0</v>
      </c>
      <c r="T21" s="285"/>
      <c r="U21" s="50">
        <f t="shared" si="4"/>
        <v>119.37495233953004</v>
      </c>
      <c r="V21" s="282">
        <f t="shared" si="9"/>
        <v>0</v>
      </c>
      <c r="AA21" s="6"/>
      <c r="AB21" s="6"/>
    </row>
    <row r="22" spans="1:28" ht="15.6">
      <c r="A22" s="53" t="s">
        <v>320</v>
      </c>
      <c r="B22" s="19" t="s">
        <v>292</v>
      </c>
      <c r="C22" s="284">
        <v>72.148780000000002</v>
      </c>
      <c r="D22" s="283">
        <v>12</v>
      </c>
      <c r="E22" s="286">
        <v>-3531520</v>
      </c>
      <c r="F22" s="288">
        <f>F23</f>
        <v>114.8</v>
      </c>
      <c r="G22" s="287">
        <f>G23</f>
        <v>34.090000000000003</v>
      </c>
      <c r="H22" s="287">
        <f>H23</f>
        <v>-18.989999999999998</v>
      </c>
      <c r="I22" s="287">
        <f>I23</f>
        <v>42.26</v>
      </c>
      <c r="J22" s="49">
        <f t="shared" si="5"/>
        <v>0</v>
      </c>
      <c r="K22" s="50">
        <f t="shared" si="0"/>
        <v>0</v>
      </c>
      <c r="L22" s="255">
        <f t="shared" si="1"/>
        <v>0</v>
      </c>
      <c r="M22" s="279">
        <f t="shared" si="2"/>
        <v>0</v>
      </c>
      <c r="N22" s="51">
        <f>'Combustion_Chaud2 (Micro)'!C63/100</f>
        <v>0</v>
      </c>
      <c r="O22" s="50">
        <f t="shared" si="6"/>
        <v>120.79880684203513</v>
      </c>
      <c r="P22" s="52">
        <f t="shared" si="7"/>
        <v>0</v>
      </c>
      <c r="Q22" s="285"/>
      <c r="R22" s="50">
        <f t="shared" si="3"/>
        <v>120.79880684203513</v>
      </c>
      <c r="S22" s="282">
        <f t="shared" si="8"/>
        <v>0</v>
      </c>
      <c r="T22" s="285"/>
      <c r="U22" s="50">
        <f t="shared" si="4"/>
        <v>147.88865780203514</v>
      </c>
      <c r="V22" s="282">
        <f t="shared" si="9"/>
        <v>0</v>
      </c>
      <c r="AA22" s="6"/>
      <c r="AB22" s="6"/>
    </row>
    <row r="23" spans="1:28" ht="15.6">
      <c r="A23" s="53" t="s">
        <v>291</v>
      </c>
      <c r="B23" s="19" t="s">
        <v>290</v>
      </c>
      <c r="C23" s="284">
        <f>C22</f>
        <v>72.148780000000002</v>
      </c>
      <c r="D23" s="283">
        <v>12</v>
      </c>
      <c r="E23" s="286">
        <v>-3538450</v>
      </c>
      <c r="F23" s="51">
        <v>114.8</v>
      </c>
      <c r="G23" s="50">
        <v>34.090000000000003</v>
      </c>
      <c r="H23" s="50">
        <v>-18.989999999999998</v>
      </c>
      <c r="I23" s="50">
        <v>42.26</v>
      </c>
      <c r="J23" s="49">
        <f t="shared" si="5"/>
        <v>0</v>
      </c>
      <c r="K23" s="50">
        <f t="shared" si="0"/>
        <v>0</v>
      </c>
      <c r="L23" s="255">
        <f t="shared" si="1"/>
        <v>0</v>
      </c>
      <c r="M23" s="279">
        <f t="shared" si="2"/>
        <v>0</v>
      </c>
      <c r="N23" s="51">
        <f>'Combustion_Chaud2 (Micro)'!C64/100</f>
        <v>0</v>
      </c>
      <c r="O23" s="50">
        <f t="shared" si="6"/>
        <v>120.79880684203513</v>
      </c>
      <c r="P23" s="52">
        <f t="shared" si="7"/>
        <v>0</v>
      </c>
      <c r="Q23" s="285"/>
      <c r="R23" s="50">
        <f t="shared" si="3"/>
        <v>120.79880684203513</v>
      </c>
      <c r="S23" s="282">
        <f t="shared" si="8"/>
        <v>0</v>
      </c>
      <c r="T23" s="285"/>
      <c r="U23" s="50">
        <f t="shared" si="4"/>
        <v>147.88865780203514</v>
      </c>
      <c r="V23" s="282">
        <f t="shared" si="9"/>
        <v>0</v>
      </c>
      <c r="AA23" s="6"/>
      <c r="AB23" s="6"/>
    </row>
    <row r="24" spans="1:28" ht="15.6">
      <c r="A24" s="53" t="s">
        <v>289</v>
      </c>
      <c r="B24" s="19" t="s">
        <v>288</v>
      </c>
      <c r="C24" s="284">
        <v>86.175359999999998</v>
      </c>
      <c r="D24" s="283">
        <v>14</v>
      </c>
      <c r="E24" s="282">
        <v>-4198060</v>
      </c>
      <c r="F24" s="51">
        <v>137.44</v>
      </c>
      <c r="G24" s="50">
        <v>40.85</v>
      </c>
      <c r="H24" s="50">
        <v>-23.92</v>
      </c>
      <c r="I24" s="50">
        <v>57.66</v>
      </c>
      <c r="J24" s="49">
        <f t="shared" si="5"/>
        <v>0</v>
      </c>
      <c r="K24" s="50">
        <f t="shared" si="0"/>
        <v>0</v>
      </c>
      <c r="L24" s="255">
        <f t="shared" si="1"/>
        <v>0</v>
      </c>
      <c r="M24" s="279">
        <f t="shared" si="2"/>
        <v>0</v>
      </c>
      <c r="N24" s="51">
        <f>'Combustion_Chaud2 (Micro)'!C65/100</f>
        <v>0</v>
      </c>
      <c r="O24" s="50">
        <f t="shared" si="6"/>
        <v>144.62466696263243</v>
      </c>
      <c r="P24" s="52">
        <f t="shared" si="7"/>
        <v>0</v>
      </c>
      <c r="Q24" s="285"/>
      <c r="R24" s="50">
        <f t="shared" si="3"/>
        <v>144.62466696263243</v>
      </c>
      <c r="S24" s="282">
        <f t="shared" si="8"/>
        <v>0</v>
      </c>
      <c r="T24" s="285"/>
      <c r="U24" s="50">
        <f t="shared" si="4"/>
        <v>176.88391632263244</v>
      </c>
      <c r="V24" s="282">
        <f t="shared" si="9"/>
        <v>0</v>
      </c>
      <c r="AA24" s="6"/>
      <c r="AB24" s="6"/>
    </row>
    <row r="25" spans="1:28" ht="15.6">
      <c r="A25" s="53" t="s">
        <v>102</v>
      </c>
      <c r="B25" s="19" t="s">
        <v>103</v>
      </c>
      <c r="C25" s="284">
        <v>28.013400000000001</v>
      </c>
      <c r="D25" s="283">
        <v>0</v>
      </c>
      <c r="E25" s="282">
        <v>0</v>
      </c>
      <c r="F25" s="51">
        <v>29</v>
      </c>
      <c r="G25" s="50">
        <v>0.21990000000000001</v>
      </c>
      <c r="H25" s="50">
        <v>0.57230000000000003</v>
      </c>
      <c r="I25" s="50">
        <v>-2.871</v>
      </c>
      <c r="J25" s="49">
        <f t="shared" si="5"/>
        <v>0.51544656</v>
      </c>
      <c r="K25" s="50">
        <f t="shared" si="0"/>
        <v>2.1808392161259224E-2</v>
      </c>
      <c r="L25" s="255">
        <f t="shared" si="1"/>
        <v>0</v>
      </c>
      <c r="M25" s="279">
        <f t="shared" si="2"/>
        <v>0</v>
      </c>
      <c r="N25" s="51">
        <f>'Combustion_Chaud2 (Micro)'!C66/100</f>
        <v>1.84E-2</v>
      </c>
      <c r="O25" s="50">
        <f t="shared" si="6"/>
        <v>29.040906861332303</v>
      </c>
      <c r="P25" s="52">
        <f t="shared" si="7"/>
        <v>2.3778694538058889</v>
      </c>
      <c r="Q25" s="51" t="e">
        <f>'Combustion_Chaud2 (Micro)'!G87</f>
        <v>#DIV/0!</v>
      </c>
      <c r="R25" s="50">
        <f t="shared" si="3"/>
        <v>29.040906861332303</v>
      </c>
      <c r="S25" s="282" t="e">
        <f t="shared" si="8"/>
        <v>#DIV/0!</v>
      </c>
      <c r="T25" s="51" t="e">
        <f>'Combustion_Chaud2 (Micro)'!L77</f>
        <v>#DIV/0!</v>
      </c>
      <c r="U25" s="50">
        <f t="shared" si="4"/>
        <v>29.340659745332303</v>
      </c>
      <c r="V25" s="282" t="e">
        <f>T25*U25*(U$7-$B$28)</f>
        <v>#DIV/0!</v>
      </c>
      <c r="AA25" s="6"/>
      <c r="AB25" s="6"/>
    </row>
    <row r="26" spans="1:28" ht="14.4">
      <c r="A26" s="55" t="s">
        <v>104</v>
      </c>
      <c r="B26" s="56" t="s">
        <v>105</v>
      </c>
      <c r="C26" s="281">
        <v>4.0026020000000004</v>
      </c>
      <c r="D26" s="280">
        <v>0</v>
      </c>
      <c r="E26" s="275">
        <v>0</v>
      </c>
      <c r="F26" s="59">
        <v>20.8</v>
      </c>
      <c r="G26" s="60">
        <v>0</v>
      </c>
      <c r="H26" s="60">
        <v>0</v>
      </c>
      <c r="I26" s="60">
        <v>0</v>
      </c>
      <c r="J26" s="61">
        <f t="shared" si="5"/>
        <v>1.2007806E-3</v>
      </c>
      <c r="K26" s="60">
        <f t="shared" si="0"/>
        <v>5.0804673571654341E-5</v>
      </c>
      <c r="L26" s="252">
        <f t="shared" si="1"/>
        <v>0</v>
      </c>
      <c r="M26" s="279">
        <f t="shared" si="2"/>
        <v>0</v>
      </c>
      <c r="N26" s="59">
        <f>'Combustion_Chaud2 (Micro)'!C67/100</f>
        <v>2.9999999999999997E-4</v>
      </c>
      <c r="O26" s="60">
        <f t="shared" si="6"/>
        <v>20.8</v>
      </c>
      <c r="P26" s="278">
        <f t="shared" si="7"/>
        <v>2.7767999999999994E-2</v>
      </c>
      <c r="Q26" s="277"/>
      <c r="R26" s="60">
        <f t="shared" si="3"/>
        <v>20.8</v>
      </c>
      <c r="S26" s="275">
        <f t="shared" si="8"/>
        <v>0</v>
      </c>
      <c r="T26" s="276">
        <f>L80</f>
        <v>2.9999999999999997E-4</v>
      </c>
      <c r="U26" s="60">
        <f t="shared" si="4"/>
        <v>20.8</v>
      </c>
      <c r="V26" s="275">
        <f t="shared" si="9"/>
        <v>1.150968</v>
      </c>
      <c r="AA26" s="6"/>
      <c r="AB26" s="6"/>
    </row>
    <row r="27" spans="1:28" ht="14.4">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t="e">
        <f>SUM(Q11:Q26)</f>
        <v>#DIV/0!</v>
      </c>
      <c r="R27" s="63"/>
      <c r="S27" s="269" t="e">
        <f>SUM(S11:S26)</f>
        <v>#DIV/0!</v>
      </c>
      <c r="T27" s="64" t="e">
        <f>SUM(T11:T26)</f>
        <v>#DIV/0!</v>
      </c>
      <c r="U27" s="63"/>
      <c r="V27" s="269" t="e">
        <f>SUM(V11:V26)</f>
        <v>#DIV/0!</v>
      </c>
      <c r="AA27" s="6"/>
      <c r="AB27" s="6"/>
    </row>
    <row r="28" spans="1:28" ht="14.4">
      <c r="A28" s="38" t="s">
        <v>319</v>
      </c>
      <c r="B28" s="268">
        <v>15.55</v>
      </c>
      <c r="C28" s="38" t="s">
        <v>318</v>
      </c>
      <c r="D28" s="38" t="s">
        <v>195</v>
      </c>
      <c r="E28" s="268">
        <v>14.73</v>
      </c>
      <c r="F28" s="19" t="s">
        <v>317</v>
      </c>
      <c r="AA28" s="6"/>
      <c r="AB28" s="6"/>
    </row>
    <row r="29" spans="1:28" ht="14.4">
      <c r="A29" s="38"/>
      <c r="B29" s="267">
        <f>B28+273.15</f>
        <v>288.7</v>
      </c>
      <c r="C29" s="38" t="s">
        <v>316</v>
      </c>
      <c r="D29" s="38"/>
      <c r="E29" s="266">
        <f>E28/0.145038*1000</f>
        <v>101559.59127952674</v>
      </c>
      <c r="F29" s="19" t="s">
        <v>155</v>
      </c>
      <c r="J29" s="1949" t="s">
        <v>315</v>
      </c>
      <c r="K29" s="1950"/>
      <c r="L29" s="1951"/>
      <c r="AA29" s="6"/>
      <c r="AB29" s="6"/>
    </row>
    <row r="30" spans="1:28" ht="14.4">
      <c r="A30" s="38" t="s">
        <v>314</v>
      </c>
      <c r="J30" s="265" t="s">
        <v>313</v>
      </c>
      <c r="K30" s="264" t="s">
        <v>312</v>
      </c>
      <c r="L30" s="263"/>
      <c r="N30" s="23"/>
      <c r="U30" s="24"/>
      <c r="V30" s="24"/>
      <c r="AA30" s="6"/>
      <c r="AB30" s="6"/>
    </row>
    <row r="31" spans="1:28" ht="14.4">
      <c r="D31" s="23"/>
      <c r="J31" s="262">
        <f>K31-M27/1000</f>
        <v>795.48824120000018</v>
      </c>
      <c r="K31" s="261">
        <f>ABS(L27/1000)</f>
        <v>882.99864600000012</v>
      </c>
      <c r="L31" s="66" t="s">
        <v>107</v>
      </c>
      <c r="AA31" s="6"/>
      <c r="AB31" s="6"/>
    </row>
    <row r="32" spans="1:28" ht="14.4">
      <c r="A32" s="38" t="s">
        <v>311</v>
      </c>
      <c r="B32" s="37">
        <v>8.3144621000000001</v>
      </c>
      <c r="C32" s="19" t="s">
        <v>310</v>
      </c>
      <c r="J32" s="256">
        <f>J31/(J27/1000)</f>
        <v>47547.797336725132</v>
      </c>
      <c r="K32" s="255">
        <f>K31/(J27/1000)</f>
        <v>52778.455411580377</v>
      </c>
      <c r="L32" s="67" t="s">
        <v>108</v>
      </c>
      <c r="AA32" s="6"/>
      <c r="AB32" s="6"/>
    </row>
    <row r="33" spans="1:28" ht="16.2">
      <c r="F33" s="24"/>
      <c r="I33" s="23"/>
      <c r="J33" s="260">
        <f>(J32/1000)*K27</f>
        <v>33.656873224180529</v>
      </c>
      <c r="K33" s="259">
        <f>(K32/1000)*K27</f>
        <v>37.359412680586914</v>
      </c>
      <c r="L33" s="67" t="s">
        <v>109</v>
      </c>
      <c r="M33" s="19" t="s">
        <v>303</v>
      </c>
      <c r="AA33" s="6"/>
      <c r="AB33" s="6"/>
    </row>
    <row r="34" spans="1:28" ht="14.4">
      <c r="A34" s="26" t="s">
        <v>309</v>
      </c>
      <c r="F34" s="24"/>
      <c r="I34" s="23"/>
      <c r="J34" s="258"/>
      <c r="K34" s="257"/>
      <c r="L34" s="67"/>
      <c r="AA34" s="6"/>
      <c r="AB34" s="6"/>
    </row>
    <row r="35" spans="1:28" ht="16.2">
      <c r="A35" s="254" t="s">
        <v>308</v>
      </c>
      <c r="F35" s="24"/>
      <c r="I35" s="24"/>
      <c r="J35" s="256">
        <f>(J33*1000)/1.055056*0.02831685</f>
        <v>903.32326488654292</v>
      </c>
      <c r="K35" s="255">
        <f>(K33*1000)/1.055056*0.02831685</f>
        <v>1002.696430297802</v>
      </c>
      <c r="L35" s="67" t="s">
        <v>307</v>
      </c>
      <c r="M35" s="19" t="s">
        <v>303</v>
      </c>
      <c r="AA35" s="6"/>
      <c r="AB35" s="6"/>
    </row>
    <row r="36" spans="1:28" ht="15.6">
      <c r="A36" s="254" t="s">
        <v>306</v>
      </c>
      <c r="J36" s="256">
        <f>(J32/1.055056)*0.4535924</f>
        <v>20441.871814082628</v>
      </c>
      <c r="K36" s="255">
        <f>(K32/1.055056)*0.4535924</f>
        <v>22690.649840796821</v>
      </c>
      <c r="L36" s="67" t="s">
        <v>305</v>
      </c>
      <c r="AA36" s="6"/>
      <c r="AB36" s="6"/>
    </row>
    <row r="37" spans="1:28" ht="14.4">
      <c r="A37" s="254"/>
      <c r="J37" s="253">
        <f>J35/7.480519</f>
        <v>120.75676365323621</v>
      </c>
      <c r="K37" s="252">
        <f>K35/7.480519</f>
        <v>134.04102446605668</v>
      </c>
      <c r="L37" s="70" t="s">
        <v>304</v>
      </c>
      <c r="M37" s="19" t="s">
        <v>303</v>
      </c>
      <c r="AA37" s="6"/>
      <c r="AB37" s="6"/>
    </row>
    <row r="38" spans="1:28" ht="14.4">
      <c r="AA38" s="6"/>
      <c r="AB38" s="6"/>
    </row>
    <row r="39" spans="1:28" ht="14.4">
      <c r="B39" s="23"/>
      <c r="F39" s="38"/>
      <c r="H39" s="71"/>
      <c r="AA39" s="6"/>
      <c r="AB39" s="6"/>
    </row>
    <row r="40" spans="1:28" ht="14.4">
      <c r="B40" s="23"/>
      <c r="F40" s="72" t="s">
        <v>112</v>
      </c>
      <c r="H40" s="38"/>
      <c r="AA40" s="6"/>
      <c r="AB40" s="6"/>
    </row>
    <row r="41" spans="1:28" ht="14.4">
      <c r="B41" s="23"/>
      <c r="E41" s="73" t="s">
        <v>102</v>
      </c>
      <c r="F41" s="251">
        <v>0.78995048751598307</v>
      </c>
      <c r="H41" s="38"/>
      <c r="AA41" s="6"/>
      <c r="AB41" s="6"/>
    </row>
    <row r="42" spans="1:28" ht="14.4">
      <c r="B42" s="23"/>
      <c r="E42" s="73" t="s">
        <v>88</v>
      </c>
      <c r="F42" s="251">
        <f>1-F41</f>
        <v>0.21004951248401693</v>
      </c>
      <c r="G42" s="74"/>
      <c r="H42" s="38"/>
      <c r="AA42" s="6"/>
      <c r="AB42" s="6"/>
    </row>
    <row r="43" spans="1:28" ht="14.4">
      <c r="A43" s="26" t="s">
        <v>113</v>
      </c>
      <c r="B43" s="23"/>
      <c r="E43" s="73" t="s">
        <v>114</v>
      </c>
      <c r="F43" s="251">
        <v>0</v>
      </c>
      <c r="G43" s="74"/>
      <c r="H43" s="38"/>
      <c r="AA43" s="6"/>
      <c r="AB43" s="6"/>
    </row>
    <row r="44" spans="1:28" ht="14.4">
      <c r="B44" s="23"/>
      <c r="F44" s="74"/>
      <c r="G44" s="74"/>
      <c r="H44" s="75"/>
      <c r="AA44" s="6"/>
      <c r="AB44" s="6"/>
    </row>
    <row r="45" spans="1:28" ht="16.8" thickBot="1">
      <c r="B45" s="23"/>
      <c r="G45" s="68"/>
      <c r="H45" s="76"/>
      <c r="AA45" s="6"/>
      <c r="AB45" s="6"/>
    </row>
    <row r="46" spans="1:28" ht="14.4">
      <c r="A46" s="1929" t="s">
        <v>302</v>
      </c>
      <c r="B46" s="1930"/>
      <c r="C46" s="1930"/>
      <c r="D46" s="1930"/>
      <c r="E46" s="1930"/>
      <c r="F46" s="1930"/>
      <c r="G46" s="1930"/>
      <c r="H46" s="1930"/>
      <c r="I46" s="1930"/>
      <c r="J46" s="250"/>
      <c r="AA46" s="6"/>
      <c r="AB46" s="6"/>
    </row>
    <row r="47" spans="1:28" ht="14.4">
      <c r="A47" s="77"/>
      <c r="B47" s="37"/>
      <c r="C47" s="37"/>
      <c r="D47" s="37"/>
      <c r="E47" s="37"/>
      <c r="J47" s="248"/>
      <c r="AA47" s="6"/>
      <c r="AB47" s="6"/>
    </row>
    <row r="48" spans="1:28" ht="14.4">
      <c r="A48" s="79"/>
      <c r="B48" s="24"/>
      <c r="C48" s="27" t="s">
        <v>115</v>
      </c>
      <c r="D48" s="1920" t="s">
        <v>301</v>
      </c>
      <c r="E48" s="1921"/>
      <c r="F48" s="1921"/>
      <c r="G48" s="1921"/>
      <c r="H48" s="1937"/>
      <c r="I48" s="249" t="s">
        <v>287</v>
      </c>
      <c r="J48" s="248"/>
      <c r="AA48" s="6"/>
      <c r="AB48" s="6"/>
    </row>
    <row r="49" spans="1:28" ht="15.6">
      <c r="A49" s="79"/>
      <c r="B49" s="24"/>
      <c r="C49" s="247" t="s">
        <v>300</v>
      </c>
      <c r="D49" s="35" t="s">
        <v>116</v>
      </c>
      <c r="E49" s="37" t="s">
        <v>117</v>
      </c>
      <c r="F49" s="37" t="s">
        <v>105</v>
      </c>
      <c r="G49" s="37" t="s">
        <v>118</v>
      </c>
      <c r="H49" s="36" t="s">
        <v>119</v>
      </c>
      <c r="I49" s="80" t="s">
        <v>120</v>
      </c>
      <c r="AA49" s="6"/>
      <c r="AB49" s="6"/>
    </row>
    <row r="50" spans="1:28" ht="14.4">
      <c r="A50" s="81" t="s">
        <v>121</v>
      </c>
      <c r="B50" s="23"/>
      <c r="C50" s="82"/>
      <c r="D50" s="35"/>
      <c r="E50" s="37"/>
      <c r="F50" s="37"/>
      <c r="G50" s="37"/>
      <c r="H50" s="36"/>
      <c r="I50" s="83"/>
      <c r="AA50" s="6"/>
      <c r="AB50" s="6"/>
    </row>
    <row r="51" spans="1:28" ht="14.4">
      <c r="A51" s="81"/>
      <c r="B51" s="84" t="s">
        <v>119</v>
      </c>
      <c r="C51" s="85">
        <f>SUM(C53:C67)</f>
        <v>100.00000000000001</v>
      </c>
      <c r="D51" s="86">
        <f>SUM(D53:D67)</f>
        <v>1.0020999999999998</v>
      </c>
      <c r="E51" s="87">
        <f t="shared" ref="E51:H51" si="10">SUM(E53:E67)</f>
        <v>1.9705999999999999</v>
      </c>
      <c r="F51" s="87">
        <f t="shared" si="10"/>
        <v>2.9999999999999997E-4</v>
      </c>
      <c r="G51" s="87">
        <f t="shared" si="10"/>
        <v>1.84E-2</v>
      </c>
      <c r="H51" s="88">
        <f t="shared" si="10"/>
        <v>2.9914000000000001</v>
      </c>
      <c r="I51" s="89">
        <f>SUM(I53:I67)</f>
        <v>1.9809999999999999</v>
      </c>
      <c r="AA51" s="6"/>
      <c r="AB51" s="6"/>
    </row>
    <row r="52" spans="1:28" ht="14.4">
      <c r="A52" s="79"/>
      <c r="B52" s="23"/>
      <c r="H52" s="50"/>
      <c r="I52" s="78"/>
      <c r="AA52" s="6"/>
      <c r="AB52" s="6"/>
    </row>
    <row r="53" spans="1:28" ht="15.6">
      <c r="A53" s="79" t="s">
        <v>88</v>
      </c>
      <c r="B53" s="19" t="s">
        <v>89</v>
      </c>
      <c r="C53" s="305">
        <v>0</v>
      </c>
      <c r="D53" s="90"/>
      <c r="E53" s="90"/>
      <c r="F53" s="90"/>
      <c r="G53" s="90"/>
      <c r="H53" s="50">
        <f t="shared" ref="H53:H67" si="11">SUM(D53:G53)</f>
        <v>0</v>
      </c>
      <c r="I53" s="91">
        <f>-C53/100</f>
        <v>0</v>
      </c>
      <c r="AA53" s="6"/>
      <c r="AB53" s="6"/>
    </row>
    <row r="54" spans="1:28" ht="14.4">
      <c r="A54" s="79" t="s">
        <v>299</v>
      </c>
      <c r="B54" s="19" t="s">
        <v>90</v>
      </c>
      <c r="C54" s="305">
        <v>0</v>
      </c>
      <c r="D54" s="90">
        <f>C54/100</f>
        <v>0</v>
      </c>
      <c r="E54" s="90"/>
      <c r="F54" s="90"/>
      <c r="G54" s="90"/>
      <c r="H54" s="50">
        <f t="shared" si="11"/>
        <v>0</v>
      </c>
      <c r="I54" s="246">
        <f>D54+E54/2</f>
        <v>0</v>
      </c>
      <c r="AA54" s="6"/>
      <c r="AB54" s="6"/>
    </row>
    <row r="55" spans="1:28" ht="15.6">
      <c r="A55" s="79" t="s">
        <v>284</v>
      </c>
      <c r="B55" s="19" t="s">
        <v>91</v>
      </c>
      <c r="C55" s="305">
        <v>0.64</v>
      </c>
      <c r="D55" s="90">
        <f>C55/100</f>
        <v>6.4000000000000003E-3</v>
      </c>
      <c r="E55" s="90"/>
      <c r="F55" s="90"/>
      <c r="G55" s="90"/>
      <c r="H55" s="50">
        <f t="shared" si="11"/>
        <v>6.4000000000000003E-3</v>
      </c>
      <c r="I55" s="91">
        <v>0</v>
      </c>
      <c r="AA55" s="6"/>
      <c r="AB55" s="6"/>
    </row>
    <row r="56" spans="1:28" ht="15.6">
      <c r="A56" s="79" t="s">
        <v>92</v>
      </c>
      <c r="B56" s="19" t="s">
        <v>93</v>
      </c>
      <c r="C56" s="305">
        <v>0</v>
      </c>
      <c r="D56" s="90"/>
      <c r="E56" s="90">
        <f>C56/100</f>
        <v>0</v>
      </c>
      <c r="F56" s="90"/>
      <c r="G56" s="90"/>
      <c r="H56" s="50">
        <f t="shared" si="11"/>
        <v>0</v>
      </c>
      <c r="I56" s="91">
        <f>D56+E56/2</f>
        <v>0</v>
      </c>
      <c r="AA56" s="6"/>
      <c r="AB56" s="6"/>
    </row>
    <row r="57" spans="1:28" ht="15.6">
      <c r="A57" s="79" t="s">
        <v>94</v>
      </c>
      <c r="B57" s="19" t="s">
        <v>298</v>
      </c>
      <c r="C57" s="305">
        <v>0</v>
      </c>
      <c r="D57" s="90"/>
      <c r="E57" s="90">
        <f>C57/100</f>
        <v>0</v>
      </c>
      <c r="F57" s="90"/>
      <c r="G57" s="90"/>
      <c r="H57" s="50">
        <f t="shared" si="11"/>
        <v>0</v>
      </c>
      <c r="I57" s="246">
        <v>0</v>
      </c>
      <c r="AA57" s="6"/>
      <c r="AB57" s="6"/>
    </row>
    <row r="58" spans="1:28" ht="15.6">
      <c r="A58" s="79" t="s">
        <v>97</v>
      </c>
      <c r="B58" s="19" t="s">
        <v>98</v>
      </c>
      <c r="C58" s="305">
        <v>95.67</v>
      </c>
      <c r="D58" s="90">
        <f>C58/100</f>
        <v>0.95669999999999999</v>
      </c>
      <c r="E58" s="90">
        <f>C58/100*2</f>
        <v>1.9134</v>
      </c>
      <c r="F58" s="90"/>
      <c r="G58" s="90"/>
      <c r="H58" s="50">
        <f t="shared" si="11"/>
        <v>2.8700999999999999</v>
      </c>
      <c r="I58" s="91">
        <f t="shared" ref="I58:I64" si="12">D58+E58/2</f>
        <v>1.9134</v>
      </c>
      <c r="AA58" s="6"/>
      <c r="AB58" s="6"/>
    </row>
    <row r="59" spans="1:28" ht="15.6">
      <c r="A59" s="79" t="s">
        <v>99</v>
      </c>
      <c r="B59" s="19" t="s">
        <v>297</v>
      </c>
      <c r="C59" s="305">
        <v>1.62</v>
      </c>
      <c r="D59" s="90">
        <f>C59*2/100</f>
        <v>3.2400000000000005E-2</v>
      </c>
      <c r="E59" s="90">
        <f>C59/100*3</f>
        <v>4.8600000000000004E-2</v>
      </c>
      <c r="F59" s="90"/>
      <c r="G59" s="90"/>
      <c r="H59" s="50">
        <f t="shared" si="11"/>
        <v>8.1000000000000016E-2</v>
      </c>
      <c r="I59" s="91">
        <f t="shared" si="12"/>
        <v>5.6700000000000007E-2</v>
      </c>
      <c r="AA59" s="6"/>
      <c r="AB59" s="6"/>
    </row>
    <row r="60" spans="1:28" ht="15.6">
      <c r="A60" s="79" t="s">
        <v>100</v>
      </c>
      <c r="B60" s="19" t="s">
        <v>296</v>
      </c>
      <c r="C60" s="305">
        <v>0.14000000000000001</v>
      </c>
      <c r="D60" s="90">
        <f>C60*3/100</f>
        <v>4.2000000000000006E-3</v>
      </c>
      <c r="E60" s="90">
        <f>C60/100*4</f>
        <v>5.6000000000000008E-3</v>
      </c>
      <c r="F60" s="90"/>
      <c r="G60" s="90"/>
      <c r="H60" s="50">
        <f t="shared" si="11"/>
        <v>9.8000000000000014E-3</v>
      </c>
      <c r="I60" s="91">
        <f t="shared" si="12"/>
        <v>7.000000000000001E-3</v>
      </c>
      <c r="AA60" s="6"/>
      <c r="AB60" s="6"/>
    </row>
    <row r="61" spans="1:28" ht="15.6">
      <c r="A61" s="79" t="s">
        <v>295</v>
      </c>
      <c r="B61" s="19" t="s">
        <v>294</v>
      </c>
      <c r="C61" s="305">
        <v>0.04</v>
      </c>
      <c r="D61" s="90">
        <f>C61*4/100</f>
        <v>1.6000000000000001E-3</v>
      </c>
      <c r="E61" s="90">
        <f>C61/100*5</f>
        <v>2E-3</v>
      </c>
      <c r="F61" s="90"/>
      <c r="G61" s="90"/>
      <c r="H61" s="50">
        <f t="shared" si="11"/>
        <v>3.5999999999999999E-3</v>
      </c>
      <c r="I61" s="91">
        <f t="shared" si="12"/>
        <v>2.5999999999999999E-3</v>
      </c>
      <c r="AA61" s="6"/>
      <c r="AB61" s="6"/>
    </row>
    <row r="62" spans="1:28" ht="15.6">
      <c r="A62" s="79" t="s">
        <v>101</v>
      </c>
      <c r="B62" s="19" t="s">
        <v>294</v>
      </c>
      <c r="C62" s="305">
        <v>0.02</v>
      </c>
      <c r="D62" s="90">
        <f>C62*4/100</f>
        <v>8.0000000000000004E-4</v>
      </c>
      <c r="E62" s="90">
        <f>C62/100*5</f>
        <v>1E-3</v>
      </c>
      <c r="F62" s="90"/>
      <c r="G62" s="90"/>
      <c r="H62" s="50">
        <f t="shared" si="11"/>
        <v>1.8E-3</v>
      </c>
      <c r="I62" s="91">
        <f t="shared" si="12"/>
        <v>1.2999999999999999E-3</v>
      </c>
      <c r="AA62" s="6"/>
      <c r="AB62" s="6"/>
    </row>
    <row r="63" spans="1:28" ht="15.6">
      <c r="A63" s="53" t="s">
        <v>293</v>
      </c>
      <c r="B63" s="19" t="s">
        <v>292</v>
      </c>
      <c r="C63" s="305">
        <v>0</v>
      </c>
      <c r="D63" s="90">
        <f>C63*5/100</f>
        <v>0</v>
      </c>
      <c r="E63" s="90">
        <f>C63/100*6</f>
        <v>0</v>
      </c>
      <c r="F63" s="90"/>
      <c r="G63" s="90"/>
      <c r="H63" s="50">
        <f t="shared" si="11"/>
        <v>0</v>
      </c>
      <c r="I63" s="91">
        <f t="shared" si="12"/>
        <v>0</v>
      </c>
      <c r="AA63" s="6"/>
      <c r="AB63" s="6"/>
    </row>
    <row r="64" spans="1:28" ht="15.6">
      <c r="A64" s="53" t="s">
        <v>291</v>
      </c>
      <c r="B64" s="19" t="s">
        <v>290</v>
      </c>
      <c r="C64" s="305">
        <v>0</v>
      </c>
      <c r="D64" s="90">
        <f>C64*5/100</f>
        <v>0</v>
      </c>
      <c r="E64" s="90">
        <f>C64/100*6</f>
        <v>0</v>
      </c>
      <c r="F64" s="90"/>
      <c r="G64" s="90"/>
      <c r="H64" s="50">
        <f t="shared" si="11"/>
        <v>0</v>
      </c>
      <c r="I64" s="91">
        <f t="shared" si="12"/>
        <v>0</v>
      </c>
      <c r="AA64" s="6"/>
      <c r="AB64" s="6"/>
    </row>
    <row r="65" spans="1:28" ht="15.6">
      <c r="A65" s="53" t="s">
        <v>289</v>
      </c>
      <c r="B65" s="19" t="s">
        <v>288</v>
      </c>
      <c r="C65" s="305">
        <v>0</v>
      </c>
      <c r="D65" s="90">
        <f>C65*6/100</f>
        <v>0</v>
      </c>
      <c r="E65" s="90">
        <f>C65/100*7</f>
        <v>0</v>
      </c>
      <c r="F65" s="90"/>
      <c r="G65" s="90"/>
      <c r="H65" s="50">
        <f t="shared" si="11"/>
        <v>0</v>
      </c>
      <c r="I65" s="91">
        <f>D65+E65/2</f>
        <v>0</v>
      </c>
      <c r="AA65" s="6"/>
      <c r="AB65" s="6"/>
    </row>
    <row r="66" spans="1:28" ht="15.6">
      <c r="A66" s="79" t="s">
        <v>102</v>
      </c>
      <c r="B66" s="19" t="s">
        <v>103</v>
      </c>
      <c r="C66" s="305">
        <v>1.84</v>
      </c>
      <c r="D66" s="90"/>
      <c r="E66" s="90"/>
      <c r="G66" s="90">
        <f>C66/100</f>
        <v>1.84E-2</v>
      </c>
      <c r="H66" s="50">
        <f t="shared" si="11"/>
        <v>1.84E-2</v>
      </c>
      <c r="I66" s="91">
        <v>0</v>
      </c>
      <c r="AA66" s="6"/>
      <c r="AB66" s="6"/>
    </row>
    <row r="67" spans="1:28" ht="15" thickBot="1">
      <c r="A67" s="92" t="s">
        <v>104</v>
      </c>
      <c r="B67" s="93" t="s">
        <v>105</v>
      </c>
      <c r="C67" s="306">
        <v>0.03</v>
      </c>
      <c r="D67" s="95"/>
      <c r="E67" s="95"/>
      <c r="F67" s="95">
        <f>C67/100</f>
        <v>2.9999999999999997E-4</v>
      </c>
      <c r="G67" s="93"/>
      <c r="H67" s="96">
        <f t="shared" si="11"/>
        <v>2.9999999999999997E-4</v>
      </c>
      <c r="I67" s="97">
        <v>0</v>
      </c>
      <c r="AA67" s="6"/>
      <c r="AB67" s="6"/>
    </row>
    <row r="68" spans="1:28" ht="14.4">
      <c r="B68" s="23"/>
      <c r="AA68" s="6"/>
      <c r="AB68" s="6"/>
    </row>
    <row r="69" spans="1:28" ht="15" thickBot="1">
      <c r="B69" s="23"/>
      <c r="C69" s="375" t="s">
        <v>420</v>
      </c>
      <c r="D69" s="37"/>
      <c r="E69" s="98"/>
      <c r="F69" s="98"/>
      <c r="G69" s="98"/>
      <c r="H69" s="98"/>
      <c r="I69" s="98"/>
      <c r="J69" s="98"/>
      <c r="AA69" s="6"/>
      <c r="AB69" s="6"/>
    </row>
    <row r="70" spans="1:28" ht="14.4">
      <c r="A70" s="1929" t="s">
        <v>122</v>
      </c>
      <c r="B70" s="1930"/>
      <c r="C70" s="1930"/>
      <c r="D70" s="1930"/>
      <c r="E70" s="1930"/>
      <c r="F70" s="1930"/>
      <c r="G70" s="1931"/>
      <c r="H70" s="98"/>
      <c r="I70" s="1929" t="s">
        <v>123</v>
      </c>
      <c r="J70" s="1930"/>
      <c r="K70" s="1930"/>
      <c r="L70" s="1930"/>
      <c r="M70" s="1930"/>
      <c r="N70" s="1931"/>
      <c r="AA70" s="6"/>
      <c r="AB70" s="6"/>
    </row>
    <row r="71" spans="1:28" ht="14.4">
      <c r="A71" s="99"/>
      <c r="C71" s="37"/>
      <c r="D71" s="1920" t="s">
        <v>124</v>
      </c>
      <c r="E71" s="1921"/>
      <c r="F71" s="1921"/>
      <c r="G71" s="1922"/>
      <c r="H71" s="98"/>
      <c r="I71" s="79"/>
      <c r="K71" s="37"/>
      <c r="L71" s="1923" t="s">
        <v>124</v>
      </c>
      <c r="M71" s="1924"/>
      <c r="N71" s="1925"/>
      <c r="AA71" s="6"/>
      <c r="AB71" s="6"/>
    </row>
    <row r="72" spans="1:28" ht="15.6">
      <c r="A72" s="99"/>
      <c r="C72" s="23"/>
      <c r="D72" s="35" t="s">
        <v>125</v>
      </c>
      <c r="E72" s="37" t="s">
        <v>126</v>
      </c>
      <c r="F72" s="37" t="s">
        <v>127</v>
      </c>
      <c r="G72" s="100" t="s">
        <v>128</v>
      </c>
      <c r="H72" s="90"/>
      <c r="I72" s="79"/>
      <c r="K72" s="37"/>
      <c r="L72" s="53"/>
      <c r="M72" s="1924" t="s">
        <v>129</v>
      </c>
      <c r="N72" s="1925"/>
      <c r="AA72" s="6"/>
      <c r="AB72" s="6"/>
    </row>
    <row r="73" spans="1:28" ht="27">
      <c r="A73" s="79"/>
      <c r="C73" s="23"/>
      <c r="D73" s="55" t="b">
        <v>1</v>
      </c>
      <c r="E73" s="304"/>
      <c r="F73" s="56"/>
      <c r="G73" s="101"/>
      <c r="H73" s="90"/>
      <c r="I73" s="77"/>
      <c r="K73" s="37"/>
      <c r="L73" s="245" t="s">
        <v>287</v>
      </c>
      <c r="M73" s="40" t="s">
        <v>130</v>
      </c>
      <c r="N73" s="102" t="s">
        <v>131</v>
      </c>
      <c r="AA73" s="6"/>
      <c r="AB73" s="6"/>
    </row>
    <row r="74" spans="1:28" ht="14.4">
      <c r="A74" s="79"/>
      <c r="C74" s="23"/>
      <c r="D74" s="65">
        <f>IF(D73,1,"-")</f>
        <v>1</v>
      </c>
      <c r="E74" s="65" t="str">
        <f>IF(E73,2,"-")</f>
        <v>-</v>
      </c>
      <c r="F74" s="65" t="str">
        <f>IF(F73,3,"-")</f>
        <v>-</v>
      </c>
      <c r="G74" s="103">
        <f>AVERAGE(D74:F74)</f>
        <v>1</v>
      </c>
      <c r="H74" s="90"/>
      <c r="I74" s="77"/>
      <c r="K74" s="37"/>
      <c r="L74" s="37"/>
      <c r="N74" s="78"/>
      <c r="AA74" s="6"/>
      <c r="AB74" s="6"/>
    </row>
    <row r="75" spans="1:28" ht="14.4">
      <c r="A75" s="81" t="s">
        <v>132</v>
      </c>
      <c r="C75" s="23"/>
      <c r="D75" s="244" t="e">
        <f>D83/D80</f>
        <v>#DIV/0!</v>
      </c>
      <c r="E75" s="371"/>
      <c r="F75" s="244" t="e">
        <f>F82/F79</f>
        <v>#DIV/0!</v>
      </c>
      <c r="G75" s="238" t="e">
        <f>INDEX(D75:F75,G$74)</f>
        <v>#DIV/0!</v>
      </c>
      <c r="H75" s="244"/>
      <c r="I75" s="81" t="s">
        <v>119</v>
      </c>
      <c r="K75" s="239" t="s">
        <v>286</v>
      </c>
      <c r="L75" s="105" t="e">
        <f>SUM(L77:L81)</f>
        <v>#DIV/0!</v>
      </c>
      <c r="M75" s="243" t="e">
        <f>SUM(M77:M81)</f>
        <v>#DIV/0!</v>
      </c>
      <c r="N75" s="242" t="e">
        <f>SUM(N77:N81)</f>
        <v>#DIV/0!</v>
      </c>
      <c r="AA75" s="6"/>
      <c r="AB75" s="6"/>
    </row>
    <row r="76" spans="1:28" ht="14.4">
      <c r="A76" s="79" t="s">
        <v>133</v>
      </c>
      <c r="C76" s="23"/>
      <c r="D76" s="223" t="e">
        <f>'Micromodulation et sonde O2'!E51</f>
        <v>#DIV/0!</v>
      </c>
      <c r="E76" s="222">
        <f>E82/(E79*($F$41/$F$42)+H51-E51+E82/$F$42)</f>
        <v>0</v>
      </c>
      <c r="F76" s="241" t="e">
        <f>F82/(F79*($F$41/$F$42)+H51-E51+F82/$F$42)</f>
        <v>#DIV/0!</v>
      </c>
      <c r="G76" s="240" t="e">
        <f>INDEX(D76:F76,G$74)</f>
        <v>#DIV/0!</v>
      </c>
      <c r="H76" s="106"/>
      <c r="I76" s="77"/>
      <c r="K76" s="239"/>
      <c r="L76" s="37"/>
      <c r="N76" s="78"/>
      <c r="AA76" s="6"/>
      <c r="AB76" s="6"/>
    </row>
    <row r="77" spans="1:28" ht="14.4">
      <c r="A77" s="79" t="s">
        <v>285</v>
      </c>
      <c r="C77" s="23"/>
      <c r="D77" s="222" t="e">
        <f>$N$78</f>
        <v>#DIV/0!</v>
      </c>
      <c r="E77" s="222" t="e">
        <f>N78</f>
        <v>#DIV/0!</v>
      </c>
      <c r="F77" s="319"/>
      <c r="G77" s="238" t="e">
        <f>INDEX(D77:F77,G$74)</f>
        <v>#DIV/0!</v>
      </c>
      <c r="H77" s="222"/>
      <c r="I77" s="79" t="s">
        <v>102</v>
      </c>
      <c r="K77" s="237" t="s">
        <v>276</v>
      </c>
      <c r="L77" s="50" t="e">
        <f>G87</f>
        <v>#DIV/0!</v>
      </c>
      <c r="M77" s="222" t="e">
        <f t="shared" ref="M77:M82" si="13">L77/$L$75</f>
        <v>#DIV/0!</v>
      </c>
      <c r="N77" s="236" t="e">
        <f>L77/($L$75-$L$81)</f>
        <v>#DIV/0!</v>
      </c>
      <c r="AA77" s="6"/>
      <c r="AB77" s="6"/>
    </row>
    <row r="78" spans="1:28" ht="14.4">
      <c r="A78" s="79"/>
      <c r="C78" s="23"/>
      <c r="F78" s="37"/>
      <c r="G78" s="107"/>
      <c r="H78" s="106"/>
      <c r="I78" s="79" t="s">
        <v>284</v>
      </c>
      <c r="K78" s="237" t="s">
        <v>276</v>
      </c>
      <c r="L78" s="50">
        <f>D51</f>
        <v>1.0020999999999998</v>
      </c>
      <c r="M78" s="222" t="e">
        <f t="shared" si="13"/>
        <v>#DIV/0!</v>
      </c>
      <c r="N78" s="236" t="e">
        <f>L78/($L$75-$L$81)</f>
        <v>#DIV/0!</v>
      </c>
      <c r="AA78" s="6"/>
      <c r="AB78" s="6"/>
    </row>
    <row r="79" spans="1:28"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t="e">
        <f>G82</f>
        <v>#DIV/0!</v>
      </c>
      <c r="M79" s="222" t="e">
        <f t="shared" si="13"/>
        <v>#DIV/0!</v>
      </c>
      <c r="N79" s="236" t="e">
        <f>L79/($L$75-$L$81)</f>
        <v>#DIV/0!</v>
      </c>
      <c r="AA79" s="6"/>
      <c r="AB79" s="6"/>
    </row>
    <row r="80" spans="1:28"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t="e">
        <f t="shared" si="13"/>
        <v>#DIV/0!</v>
      </c>
      <c r="N80" s="236" t="e">
        <f>L80/($L$75-$L$81)</f>
        <v>#DIV/0!</v>
      </c>
      <c r="AA80" s="6"/>
      <c r="AB80" s="6"/>
    </row>
    <row r="81" spans="1:28" ht="14.4">
      <c r="A81" s="79"/>
      <c r="C81" s="23"/>
      <c r="D81" s="50"/>
      <c r="E81" s="108"/>
      <c r="F81" s="105"/>
      <c r="G81" s="109"/>
      <c r="H81" s="50"/>
      <c r="I81" s="79" t="s">
        <v>135</v>
      </c>
      <c r="K81" s="237" t="s">
        <v>276</v>
      </c>
      <c r="L81" s="50" t="e">
        <f>G89+E51</f>
        <v>#DIV/0!</v>
      </c>
      <c r="M81" s="222" t="e">
        <f t="shared" si="13"/>
        <v>#DIV/0!</v>
      </c>
      <c r="N81" s="236">
        <v>0</v>
      </c>
      <c r="AA81" s="6"/>
      <c r="AB81" s="6"/>
    </row>
    <row r="82" spans="1:28" ht="14.4">
      <c r="A82" s="79" t="s">
        <v>134</v>
      </c>
      <c r="C82" s="23" t="s">
        <v>276</v>
      </c>
      <c r="D82" s="50" t="e">
        <f>D76/(1-D76/$F$42)*(($H$51-$E$51)+D79*$F$41/$F$42)</f>
        <v>#DIV/0!</v>
      </c>
      <c r="E82" s="50">
        <f>E79*$E$75</f>
        <v>0</v>
      </c>
      <c r="F82" s="90" t="e">
        <f>(D51/F77-(H51-E51)-F79*(F41/F42))/(1+F41/F42)</f>
        <v>#DIV/0!</v>
      </c>
      <c r="G82" s="230" t="e">
        <f>INDEX(D82:F82,G$74)</f>
        <v>#DIV/0!</v>
      </c>
      <c r="H82" s="50"/>
      <c r="I82" s="110" t="s">
        <v>137</v>
      </c>
      <c r="J82" s="111"/>
      <c r="K82" s="235" t="s">
        <v>276</v>
      </c>
      <c r="L82" s="112" t="e">
        <f>L92</f>
        <v>#DIV/0!</v>
      </c>
      <c r="M82" s="234" t="e">
        <f t="shared" si="13"/>
        <v>#DIV/0!</v>
      </c>
      <c r="N82" s="233">
        <v>1</v>
      </c>
      <c r="AA82" s="6"/>
      <c r="AB82" s="6"/>
    </row>
    <row r="83" spans="1:28" ht="14.4">
      <c r="A83" s="79" t="s">
        <v>136</v>
      </c>
      <c r="C83" s="23" t="s">
        <v>276</v>
      </c>
      <c r="D83" s="50" t="e">
        <f>D82/F42</f>
        <v>#DIV/0!</v>
      </c>
      <c r="E83" s="50">
        <f>E80*$E$75</f>
        <v>0</v>
      </c>
      <c r="F83" s="50" t="e">
        <f>F82/F42</f>
        <v>#DIV/0!</v>
      </c>
      <c r="G83" s="230" t="e">
        <f>INDEX(D83:F83,G$74)</f>
        <v>#DIV/0!</v>
      </c>
      <c r="H83" s="50"/>
      <c r="I83" s="79" t="s">
        <v>281</v>
      </c>
      <c r="K83" s="23" t="s">
        <v>138</v>
      </c>
      <c r="L83" s="50"/>
      <c r="M83" s="50" t="e">
        <f>M77*$C$12+M78*$C$13+M79*$C$11+M80*$C$26+M81*$C$15</f>
        <v>#DIV/0!</v>
      </c>
      <c r="N83" s="78"/>
      <c r="O83" s="113"/>
      <c r="AA83" s="6"/>
      <c r="AB83" s="6"/>
    </row>
    <row r="84" spans="1:28" ht="14.4">
      <c r="A84" s="79"/>
      <c r="C84" s="23"/>
      <c r="F84" s="37"/>
      <c r="G84" s="109"/>
      <c r="I84" s="79"/>
      <c r="N84" s="78"/>
      <c r="AA84" s="6"/>
      <c r="AB84" s="6"/>
    </row>
    <row r="85" spans="1:28" ht="14.4">
      <c r="A85" s="81" t="s">
        <v>139</v>
      </c>
      <c r="C85" s="37" t="s">
        <v>276</v>
      </c>
      <c r="D85" s="105" t="e">
        <f>SUM(D87:D89)</f>
        <v>#DIV/0!</v>
      </c>
      <c r="E85" s="105">
        <f>SUM(E87:E89)</f>
        <v>9.4420021956276443</v>
      </c>
      <c r="F85" s="105" t="e">
        <f>SUM(F87:F89)</f>
        <v>#DIV/0!</v>
      </c>
      <c r="G85" s="230" t="e">
        <f>INDEX(D85:F85,G$74)</f>
        <v>#DIV/0!</v>
      </c>
      <c r="H85" s="105"/>
      <c r="I85" s="81" t="s">
        <v>140</v>
      </c>
      <c r="K85" s="23"/>
      <c r="L85" s="37" t="e">
        <f>IF(L87&lt;L88,"VRAI","FAUX")</f>
        <v>#DIV/0!</v>
      </c>
      <c r="N85" s="78"/>
      <c r="AA85" s="6"/>
      <c r="AB85" s="6"/>
    </row>
    <row r="86" spans="1:28" ht="14.4">
      <c r="A86" s="79"/>
      <c r="G86" s="114"/>
      <c r="I86" s="79" t="s">
        <v>141</v>
      </c>
      <c r="K86" s="23" t="s">
        <v>142</v>
      </c>
      <c r="L86" s="50" t="e">
        <f>E51+G89</f>
        <v>#DIV/0!</v>
      </c>
      <c r="N86" s="78"/>
      <c r="AA86" s="6"/>
      <c r="AB86" s="6"/>
    </row>
    <row r="87" spans="1:28" ht="16.2">
      <c r="A87" s="225" t="s">
        <v>102</v>
      </c>
      <c r="C87" s="228" t="s">
        <v>276</v>
      </c>
      <c r="D87" s="232" t="e">
        <f>D88*($F$41/$F$42)</f>
        <v>#DIV/0!</v>
      </c>
      <c r="E87" s="232">
        <f>E88*($F$41/$F$42)</f>
        <v>7.4501097253831423</v>
      </c>
      <c r="F87" s="232" t="e">
        <f>F88*($F$41/$F$42)</f>
        <v>#DIV/0!</v>
      </c>
      <c r="G87" s="230" t="e">
        <f>INDEX(D87:F87,G$74)</f>
        <v>#DIV/0!</v>
      </c>
      <c r="H87" s="50"/>
      <c r="I87" s="79" t="s">
        <v>143</v>
      </c>
      <c r="K87" s="116" t="s">
        <v>264</v>
      </c>
      <c r="L87" s="117">
        <f>U7</f>
        <v>200</v>
      </c>
      <c r="M87" s="24"/>
      <c r="N87" s="78"/>
      <c r="AA87" s="6"/>
      <c r="AB87" s="6"/>
    </row>
    <row r="88" spans="1:28" ht="16.2">
      <c r="A88" s="225" t="s">
        <v>88</v>
      </c>
      <c r="C88" s="228" t="s">
        <v>276</v>
      </c>
      <c r="D88" s="232" t="e">
        <f>D79+D82</f>
        <v>#DIV/0!</v>
      </c>
      <c r="E88" s="232">
        <f>E79+E82</f>
        <v>1.9809999999999999</v>
      </c>
      <c r="F88" s="231" t="e">
        <f>F79+F82</f>
        <v>#DIV/0!</v>
      </c>
      <c r="G88" s="230" t="e">
        <f>INDEX(D88:F88,G$74)</f>
        <v>#DIV/0!</v>
      </c>
      <c r="H88" s="50"/>
      <c r="I88" s="79" t="s">
        <v>144</v>
      </c>
      <c r="K88" s="116" t="s">
        <v>264</v>
      </c>
      <c r="L88" s="229" t="e">
        <f>'Combustion_Chaud2 (Micro)'!C136</f>
        <v>#DIV/0!</v>
      </c>
      <c r="N88" s="78"/>
      <c r="AA88" s="6"/>
      <c r="AB88" s="6"/>
    </row>
    <row r="89" spans="1:28" ht="16.2">
      <c r="A89" s="225" t="s">
        <v>145</v>
      </c>
      <c r="C89" s="228" t="s">
        <v>276</v>
      </c>
      <c r="D89" s="227" t="e">
        <f>'Combustion_Chaud2 (Micro)'!$C$115*('Combustion_Chaud2 (Micro)'!D80+'Combustion_Chaud2 (Micro)'!D83)</f>
        <v>#DIV/0!</v>
      </c>
      <c r="E89" s="227">
        <f>'Combustion_Chaud2 (Micro)'!$C$115*'Combustion_Chaud2 (Micro)'!E80</f>
        <v>1.089247024450259E-2</v>
      </c>
      <c r="F89" s="227">
        <f>'Combustion_Chaud2 (Micro)'!$C$115*'Combustion_Chaud2 (Micro)'!F80</f>
        <v>1.089247024450259E-2</v>
      </c>
      <c r="G89" s="226" t="e">
        <f>INDEX(D89:F89,G$74)</f>
        <v>#DIV/0!</v>
      </c>
      <c r="H89" s="50"/>
      <c r="I89" s="79" t="s">
        <v>280</v>
      </c>
      <c r="K89" s="23" t="s">
        <v>279</v>
      </c>
      <c r="L89" s="50" t="e">
        <f>($E$29*(M83/1000))/($B$32*(L87+273.15))</f>
        <v>#DIV/0!</v>
      </c>
      <c r="N89" s="118"/>
      <c r="AA89" s="6"/>
      <c r="AB89" s="6"/>
    </row>
    <row r="90" spans="1:28" ht="15.6">
      <c r="A90" s="225"/>
      <c r="C90" s="23"/>
      <c r="D90" s="50"/>
      <c r="F90" s="37"/>
      <c r="G90" s="119"/>
      <c r="H90" s="50"/>
      <c r="I90" s="79" t="s">
        <v>278</v>
      </c>
      <c r="K90" s="23" t="s">
        <v>142</v>
      </c>
      <c r="L90" s="224" t="e">
        <f>'Combustion_Chaud2 (Micro)'!C129</f>
        <v>#DIV/0!</v>
      </c>
      <c r="M90" s="19" t="s">
        <v>146</v>
      </c>
      <c r="N90" s="118"/>
      <c r="AA90" s="6"/>
      <c r="AB90" s="6"/>
    </row>
    <row r="91" spans="1:28" ht="14.4">
      <c r="A91" s="81" t="s">
        <v>147</v>
      </c>
      <c r="C91" s="23"/>
      <c r="D91" s="50"/>
      <c r="F91" s="37"/>
      <c r="G91" s="119"/>
      <c r="H91" s="50"/>
      <c r="I91" s="79" t="s">
        <v>148</v>
      </c>
      <c r="K91" s="23" t="s">
        <v>142</v>
      </c>
      <c r="L91" s="224" t="e">
        <f>'Combustion_Chaud2 (Micro)'!C140</f>
        <v>#DIV/0!</v>
      </c>
      <c r="M91" s="19" t="s">
        <v>277</v>
      </c>
      <c r="N91" s="118"/>
      <c r="AA91" s="6"/>
      <c r="AB91" s="6"/>
    </row>
    <row r="92" spans="1:28" ht="15" thickBot="1">
      <c r="A92" s="79" t="s">
        <v>149</v>
      </c>
      <c r="C92" s="23"/>
      <c r="D92" s="223">
        <f>Hypothèses!D26</f>
        <v>0.05</v>
      </c>
      <c r="E92" s="222"/>
      <c r="F92" s="222"/>
      <c r="G92" s="119"/>
      <c r="H92" s="222"/>
      <c r="I92" s="92"/>
      <c r="J92" s="93"/>
      <c r="K92" s="221" t="s">
        <v>276</v>
      </c>
      <c r="L92" s="220" t="e">
        <f>'Combustion_Chaud2 (Micro)'!C141</f>
        <v>#DIV/0!</v>
      </c>
      <c r="M92" s="93"/>
      <c r="N92" s="94"/>
      <c r="AA92" s="6"/>
      <c r="AB92" s="6"/>
    </row>
    <row r="93" spans="1:28" ht="16.8" thickBot="1">
      <c r="A93" s="92" t="s">
        <v>144</v>
      </c>
      <c r="B93" s="93"/>
      <c r="C93" s="120" t="s">
        <v>264</v>
      </c>
      <c r="D93" s="219" t="e">
        <f>IF(D92&lt;&gt;0,'Combustion_Chaud2 (Micro)'!$C$119,"-")</f>
        <v>#N/A</v>
      </c>
      <c r="E93" s="218"/>
      <c r="F93" s="218"/>
      <c r="G93" s="121"/>
      <c r="H93" s="90"/>
      <c r="AA93" s="6"/>
      <c r="AB93" s="6"/>
    </row>
    <row r="94" spans="1:28" ht="16.2">
      <c r="A94" s="19" t="s">
        <v>275</v>
      </c>
      <c r="B94" s="116"/>
      <c r="C94" s="217">
        <v>28.96546</v>
      </c>
      <c r="D94" s="215" t="s">
        <v>138</v>
      </c>
      <c r="E94" s="216"/>
      <c r="F94" s="122"/>
      <c r="G94" s="98"/>
      <c r="H94" s="98"/>
      <c r="AA94" s="6"/>
      <c r="AB94" s="6"/>
    </row>
    <row r="95" spans="1:28" ht="14.4">
      <c r="G95" s="98"/>
      <c r="AA95" s="6"/>
      <c r="AB95" s="6"/>
    </row>
    <row r="96" spans="1:28" ht="14.4">
      <c r="G96" s="98"/>
      <c r="AA96" s="6"/>
      <c r="AB96" s="6"/>
    </row>
    <row r="97" spans="1:28" ht="14.4">
      <c r="G97" s="98"/>
      <c r="AA97" s="6"/>
      <c r="AB97" s="6"/>
    </row>
    <row r="98" spans="1:28" ht="14.4">
      <c r="G98" s="98"/>
      <c r="AA98" s="6"/>
      <c r="AB98" s="6"/>
    </row>
    <row r="99" spans="1:28" ht="14.4">
      <c r="G99" s="98"/>
      <c r="AA99" s="6"/>
      <c r="AB99" s="6"/>
    </row>
    <row r="100" spans="1:28" ht="14.4">
      <c r="G100" s="98"/>
      <c r="AA100" s="6"/>
      <c r="AB100" s="6"/>
    </row>
    <row r="101" spans="1:28">
      <c r="A101" s="26" t="s">
        <v>274</v>
      </c>
      <c r="G101" s="98"/>
    </row>
    <row r="102" spans="1:28">
      <c r="G102" s="98"/>
    </row>
    <row r="103" spans="1:28">
      <c r="A103" s="123" t="s">
        <v>150</v>
      </c>
      <c r="B103" s="57"/>
      <c r="C103" s="57"/>
      <c r="D103" s="57"/>
      <c r="E103" s="23"/>
      <c r="F103" s="26" t="s">
        <v>151</v>
      </c>
      <c r="G103" s="26"/>
    </row>
    <row r="104" spans="1:28" ht="15.6">
      <c r="A104" s="19" t="s">
        <v>152</v>
      </c>
      <c r="B104" s="23" t="s">
        <v>273</v>
      </c>
      <c r="C104" s="320">
        <v>0</v>
      </c>
      <c r="D104" s="214" t="s">
        <v>272</v>
      </c>
      <c r="E104" s="23"/>
      <c r="F104" s="37" t="s">
        <v>153</v>
      </c>
      <c r="G104" s="37" t="s">
        <v>154</v>
      </c>
      <c r="H104" s="37" t="s">
        <v>153</v>
      </c>
    </row>
    <row r="105" spans="1:28">
      <c r="A105" s="19" t="s">
        <v>271</v>
      </c>
      <c r="B105" s="23" t="s">
        <v>155</v>
      </c>
      <c r="C105" s="321">
        <v>101325</v>
      </c>
      <c r="D105" s="23"/>
      <c r="E105" s="23"/>
      <c r="F105" s="23">
        <v>0</v>
      </c>
      <c r="G105" s="24">
        <v>610.48326959999986</v>
      </c>
      <c r="H105" s="23">
        <f t="shared" ref="H105:H168" si="14">F105</f>
        <v>0</v>
      </c>
    </row>
    <row r="106" spans="1:28">
      <c r="A106" s="19" t="s">
        <v>270</v>
      </c>
      <c r="B106" s="23" t="s">
        <v>155</v>
      </c>
      <c r="C106" s="213">
        <f>C105*EXP(-'Combustion_Chaud2 (Micro)'!C94/1000*9.80665/'Combustion_Chaud2 (Micro)'!B32/'Combustion_Chaud2 (Micro)'!B29*C104)</f>
        <v>101325</v>
      </c>
      <c r="D106" s="213"/>
      <c r="E106" s="213"/>
      <c r="F106" s="23">
        <v>2</v>
      </c>
      <c r="G106" s="24">
        <v>705.80878559999985</v>
      </c>
      <c r="H106" s="23">
        <f t="shared" si="14"/>
        <v>2</v>
      </c>
    </row>
    <row r="107" spans="1:28">
      <c r="B107" s="23"/>
      <c r="C107" s="23"/>
      <c r="D107" s="213"/>
      <c r="E107" s="23"/>
      <c r="F107" s="23">
        <v>4</v>
      </c>
      <c r="G107" s="24">
        <v>813.39996239999994</v>
      </c>
      <c r="H107" s="23">
        <f t="shared" si="14"/>
        <v>4</v>
      </c>
    </row>
    <row r="108" spans="1:28">
      <c r="A108" s="123" t="s">
        <v>122</v>
      </c>
      <c r="B108" s="57"/>
      <c r="C108" s="57"/>
      <c r="D108" s="57"/>
      <c r="E108" s="23"/>
      <c r="F108" s="23">
        <v>6</v>
      </c>
      <c r="G108" s="24">
        <v>934.98999119999985</v>
      </c>
      <c r="H108" s="23">
        <f t="shared" si="14"/>
        <v>6</v>
      </c>
    </row>
    <row r="109" spans="1:28" ht="15.6">
      <c r="A109" s="19" t="s">
        <v>156</v>
      </c>
      <c r="B109" s="116" t="s">
        <v>264</v>
      </c>
      <c r="C109" s="212">
        <f>R7</f>
        <v>20</v>
      </c>
      <c r="D109" s="23"/>
      <c r="E109" s="23"/>
      <c r="F109" s="23">
        <v>8</v>
      </c>
      <c r="G109" s="24">
        <v>1072.5787079999998</v>
      </c>
      <c r="H109" s="23">
        <f t="shared" si="14"/>
        <v>8</v>
      </c>
    </row>
    <row r="110" spans="1:28">
      <c r="A110" s="19" t="s">
        <v>149</v>
      </c>
      <c r="B110" s="23"/>
      <c r="C110" s="211">
        <f>D92</f>
        <v>0.05</v>
      </c>
      <c r="D110" s="23"/>
      <c r="E110" s="23"/>
      <c r="F110" s="23">
        <v>10</v>
      </c>
      <c r="G110" s="24">
        <v>1227.7659815999998</v>
      </c>
      <c r="H110" s="23">
        <f t="shared" si="14"/>
        <v>10</v>
      </c>
    </row>
    <row r="111" spans="1:28">
      <c r="B111" s="23"/>
      <c r="C111" s="23"/>
      <c r="D111" s="23"/>
      <c r="E111" s="23"/>
      <c r="F111" s="23">
        <v>12</v>
      </c>
      <c r="G111" s="24">
        <v>1402.2850031999999</v>
      </c>
      <c r="H111" s="23">
        <f t="shared" si="14"/>
        <v>12</v>
      </c>
    </row>
    <row r="112" spans="1:28">
      <c r="A112" s="19" t="s">
        <v>157</v>
      </c>
      <c r="B112" s="23" t="s">
        <v>155</v>
      </c>
      <c r="C112" s="24">
        <f>IF(C109&lt;0,0.09*6895,G197)</f>
        <v>2337.8082839999997</v>
      </c>
      <c r="D112" s="23"/>
      <c r="E112" s="23"/>
      <c r="F112" s="23">
        <v>14</v>
      </c>
      <c r="G112" s="24">
        <v>1598.1356087999998</v>
      </c>
      <c r="H112" s="23">
        <f t="shared" si="14"/>
        <v>14</v>
      </c>
    </row>
    <row r="113" spans="1:8">
      <c r="A113" s="19" t="s">
        <v>158</v>
      </c>
      <c r="B113" s="23" t="s">
        <v>155</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159</v>
      </c>
      <c r="B115" s="23" t="s">
        <v>160</v>
      </c>
      <c r="C115" s="50">
        <f>C113/(C106-C113)</f>
        <v>1.1549510674429225E-3</v>
      </c>
      <c r="D115" s="23"/>
      <c r="E115" s="23"/>
      <c r="F115" s="23">
        <v>20</v>
      </c>
      <c r="G115" s="24">
        <v>2337.8082839999997</v>
      </c>
      <c r="H115" s="23">
        <f t="shared" si="14"/>
        <v>20</v>
      </c>
    </row>
    <row r="116" spans="1:8">
      <c r="A116" s="19" t="s">
        <v>159</v>
      </c>
      <c r="B116" s="23" t="s">
        <v>161</v>
      </c>
      <c r="C116" s="50">
        <f>C115*'Combustion_Chaud2 (Micro)'!$C$15/'Combustion_Chaud2 (Micro)'!$C$94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162</v>
      </c>
      <c r="B118" s="23" t="s">
        <v>160</v>
      </c>
      <c r="C118" s="50">
        <f>C113/C106</f>
        <v>1.153618694300518E-3</v>
      </c>
      <c r="D118" s="23"/>
      <c r="E118" s="23"/>
      <c r="F118" s="23">
        <v>26</v>
      </c>
      <c r="G118" s="24">
        <v>3360.9243815999998</v>
      </c>
      <c r="H118" s="23">
        <f t="shared" si="14"/>
        <v>26</v>
      </c>
    </row>
    <row r="119" spans="1:8" ht="15.6">
      <c r="A119" s="19" t="s">
        <v>163</v>
      </c>
      <c r="B119" s="116" t="s">
        <v>264</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123</v>
      </c>
      <c r="B121" s="57"/>
      <c r="C121" s="57"/>
      <c r="D121" s="57"/>
      <c r="E121" s="23"/>
      <c r="F121" s="23">
        <v>32</v>
      </c>
      <c r="G121" s="24">
        <v>4754.6767511999988</v>
      </c>
      <c r="H121" s="23">
        <f t="shared" si="14"/>
        <v>32</v>
      </c>
    </row>
    <row r="122" spans="1:8" ht="15.6">
      <c r="A122" s="19" t="s">
        <v>156</v>
      </c>
      <c r="B122" s="116" t="s">
        <v>264</v>
      </c>
      <c r="C122" s="117">
        <f>U7</f>
        <v>200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164</v>
      </c>
      <c r="B124" s="23" t="s">
        <v>86</v>
      </c>
      <c r="C124" s="301" t="e">
        <f>'Combustion_Chaud2 (Micro)'!L75</f>
        <v>#DIV/0!</v>
      </c>
      <c r="D124" s="23"/>
      <c r="E124" s="23"/>
      <c r="F124" s="23">
        <v>38</v>
      </c>
      <c r="G124" s="24">
        <v>6625.0567007999998</v>
      </c>
      <c r="H124" s="23">
        <f t="shared" si="14"/>
        <v>38</v>
      </c>
    </row>
    <row r="125" spans="1:8" ht="15.6">
      <c r="A125" s="19" t="s">
        <v>269</v>
      </c>
      <c r="B125" s="23" t="s">
        <v>86</v>
      </c>
      <c r="C125" s="302" t="e">
        <f>'Combustion_Chaud2 (Micro)'!L86</f>
        <v>#DIV/0!</v>
      </c>
      <c r="D125" s="124" t="s">
        <v>165</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166</v>
      </c>
      <c r="B127" s="23" t="s">
        <v>155</v>
      </c>
      <c r="C127" s="24" t="e">
        <f>C132*C106</f>
        <v>#DIV/0!</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267</v>
      </c>
      <c r="B129" s="23" t="s">
        <v>160</v>
      </c>
      <c r="C129" s="50" t="e">
        <f>C125/(C124-C125)</f>
        <v>#DIV/0!</v>
      </c>
      <c r="D129" s="37" t="s">
        <v>268</v>
      </c>
      <c r="E129" s="23"/>
      <c r="F129" s="23">
        <v>48</v>
      </c>
      <c r="G129" s="24">
        <v>11160.418103999998</v>
      </c>
      <c r="H129" s="23">
        <f t="shared" si="14"/>
        <v>48</v>
      </c>
    </row>
    <row r="130" spans="1:8">
      <c r="A130" s="19" t="s">
        <v>267</v>
      </c>
      <c r="B130" s="23" t="s">
        <v>161</v>
      </c>
      <c r="C130" s="50" t="e">
        <f>C129*'Combustion_Chaud2 (Micro)'!$C$15/D130</f>
        <v>#DIV/0!</v>
      </c>
      <c r="D130" s="125" t="e">
        <f>('Combustion_Chaud2 (Micro)'!M77*'Combustion_Chaud2 (Micro)'!$C$25+'Combustion_Chaud2 (Micro)'!M78*'Combustion_Chaud2 (Micro)'!$C$13+'Combustion_Chaud2 (Micro)'!M79*'Combustion_Chaud2 (Micro)'!$C$11+'Combustion_Chaud2 (Micro)'!M80*'Combustion_Chaud2 (Micro)'!$C$26)</f>
        <v>#DIV/0!</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266</v>
      </c>
      <c r="B132" s="23" t="s">
        <v>160</v>
      </c>
      <c r="C132" s="50" t="e">
        <f>C125/C124</f>
        <v>#DIV/0!</v>
      </c>
      <c r="D132" s="23"/>
      <c r="E132" s="23"/>
      <c r="F132" s="23">
        <v>60</v>
      </c>
      <c r="G132" s="24">
        <v>19915.700111999999</v>
      </c>
      <c r="H132" s="23">
        <f t="shared" si="14"/>
        <v>60</v>
      </c>
    </row>
    <row r="133" spans="1:8">
      <c r="A133" s="19" t="s">
        <v>265</v>
      </c>
      <c r="B133" s="23" t="s">
        <v>160</v>
      </c>
      <c r="C133" s="115" t="e">
        <f>C132*C124</f>
        <v>#DIV/0!</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148</v>
      </c>
      <c r="B135" s="23"/>
      <c r="C135" s="37" t="e">
        <f>IF(C136&gt;C122,"VRAI","FAUX")</f>
        <v>#DIV/0!</v>
      </c>
      <c r="D135" s="23"/>
      <c r="E135" s="23"/>
      <c r="F135" s="23">
        <v>75</v>
      </c>
      <c r="G135" s="24">
        <v>38543.505839999998</v>
      </c>
      <c r="H135" s="23">
        <f t="shared" si="14"/>
        <v>75</v>
      </c>
    </row>
    <row r="136" spans="1:8" ht="15.6">
      <c r="A136" s="19" t="s">
        <v>144</v>
      </c>
      <c r="B136" s="116" t="s">
        <v>264</v>
      </c>
      <c r="C136" s="115" t="e">
        <f>F209</f>
        <v>#DIV/0!</v>
      </c>
      <c r="D136" s="23"/>
      <c r="E136" s="23"/>
      <c r="F136" s="23">
        <v>80</v>
      </c>
      <c r="G136" s="24">
        <v>47342.784240000001</v>
      </c>
      <c r="H136" s="23">
        <f t="shared" si="14"/>
        <v>80</v>
      </c>
    </row>
    <row r="137" spans="1:8">
      <c r="B137" s="23"/>
      <c r="C137" s="23"/>
      <c r="D137" s="23"/>
      <c r="E137" s="23"/>
      <c r="F137" s="23">
        <v>85</v>
      </c>
      <c r="G137" s="24">
        <v>57808.592639999995</v>
      </c>
      <c r="H137" s="23">
        <f t="shared" si="14"/>
        <v>85</v>
      </c>
    </row>
    <row r="138" spans="1:8">
      <c r="A138" s="124" t="s">
        <v>157</v>
      </c>
      <c r="B138" s="23" t="s">
        <v>155</v>
      </c>
      <c r="C138" s="24">
        <f>G215</f>
        <v>1553800</v>
      </c>
      <c r="D138" s="23"/>
      <c r="E138" s="23"/>
      <c r="F138" s="23">
        <v>90</v>
      </c>
      <c r="G138" s="24">
        <v>70095.585023999985</v>
      </c>
      <c r="H138" s="23">
        <f t="shared" si="14"/>
        <v>90</v>
      </c>
    </row>
    <row r="139" spans="1:8">
      <c r="A139" s="23" t="s">
        <v>167</v>
      </c>
      <c r="B139" s="23" t="s">
        <v>263</v>
      </c>
      <c r="C139" s="50" t="e">
        <f>IF(C135,C138/C106,"-")</f>
        <v>#DIV/0!</v>
      </c>
      <c r="D139" s="23"/>
      <c r="E139" s="23"/>
      <c r="F139" s="23">
        <v>91</v>
      </c>
      <c r="G139" s="24">
        <v>72800.696519999983</v>
      </c>
      <c r="H139" s="23">
        <f t="shared" si="14"/>
        <v>91</v>
      </c>
    </row>
    <row r="140" spans="1:8">
      <c r="A140" s="23" t="s">
        <v>148</v>
      </c>
      <c r="B140" s="23" t="s">
        <v>263</v>
      </c>
      <c r="C140" s="50" t="e">
        <f>IF(C135,C132-C139,0)</f>
        <v>#DIV/0!</v>
      </c>
      <c r="D140" s="23"/>
      <c r="E140" s="23"/>
      <c r="F140" s="23">
        <v>92</v>
      </c>
      <c r="G140" s="24">
        <v>75592.467575999995</v>
      </c>
      <c r="H140" s="23">
        <f t="shared" si="14"/>
        <v>92</v>
      </c>
    </row>
    <row r="141" spans="1:8">
      <c r="A141" s="23" t="s">
        <v>148</v>
      </c>
      <c r="B141" s="23" t="s">
        <v>86</v>
      </c>
      <c r="C141" s="50" t="e">
        <f>IF(C135,C140*C124,0)</f>
        <v>#DIV/0!</v>
      </c>
      <c r="D141" s="23"/>
      <c r="E141" s="23"/>
      <c r="F141" s="23">
        <v>93</v>
      </c>
      <c r="G141" s="24">
        <v>78473.564639999997</v>
      </c>
      <c r="H141" s="23">
        <f t="shared" si="14"/>
        <v>93</v>
      </c>
    </row>
    <row r="142" spans="1:8">
      <c r="A142" s="23" t="s">
        <v>148</v>
      </c>
      <c r="B142" s="23" t="s">
        <v>168</v>
      </c>
      <c r="C142" s="68" t="e">
        <f>IF(C135,C141*'Combustion_Chaud2 (Micro)'!$C$15,0)</f>
        <v>#DIV/0!</v>
      </c>
      <c r="D142" s="23"/>
      <c r="E142" s="23"/>
      <c r="F142" s="23">
        <v>94</v>
      </c>
      <c r="G142" s="24">
        <v>81446.654159999991</v>
      </c>
      <c r="H142" s="23">
        <f t="shared" si="14"/>
        <v>94</v>
      </c>
    </row>
    <row r="143" spans="1:8">
      <c r="B143" s="23"/>
      <c r="C143" s="23"/>
      <c r="D143" s="23"/>
      <c r="E143" s="23"/>
      <c r="F143" s="23">
        <v>95</v>
      </c>
      <c r="G143" s="24">
        <v>84513.069359999994</v>
      </c>
      <c r="H143" s="23">
        <f t="shared" si="14"/>
        <v>95</v>
      </c>
    </row>
    <row r="144" spans="1:8" ht="14.4">
      <c r="A144" s="19" t="s">
        <v>262</v>
      </c>
      <c r="B144" s="23"/>
      <c r="C144" s="126" t="e">
        <f>IF(C135,1,IF(C122&lt;100,C127/C138,"N / A"))</f>
        <v>#DIV/0!</v>
      </c>
      <c r="D144" s="23"/>
      <c r="E144" s="23"/>
      <c r="F144" s="23">
        <v>96</v>
      </c>
      <c r="G144" s="24">
        <v>87675.476687999995</v>
      </c>
      <c r="H144" s="23">
        <f t="shared" si="14"/>
        <v>96</v>
      </c>
    </row>
    <row r="145" spans="2:8">
      <c r="B145" s="23"/>
      <c r="C145" s="23"/>
      <c r="D145" s="23"/>
      <c r="E145" s="23"/>
      <c r="F145" s="23">
        <v>97</v>
      </c>
      <c r="G145" s="24">
        <v>90935.209367999996</v>
      </c>
      <c r="H145" s="23">
        <f t="shared" si="14"/>
        <v>97</v>
      </c>
    </row>
    <row r="146" spans="2:8">
      <c r="B146" s="23"/>
      <c r="C146" s="23"/>
      <c r="D146" s="23"/>
      <c r="E146" s="23"/>
      <c r="F146" s="23">
        <v>98</v>
      </c>
      <c r="G146" s="24">
        <v>94294.933847999986</v>
      </c>
      <c r="H146" s="23">
        <f t="shared" si="14"/>
        <v>98</v>
      </c>
    </row>
    <row r="147" spans="2:8">
      <c r="B147" s="23"/>
      <c r="C147" s="23"/>
      <c r="D147" s="23"/>
      <c r="E147" s="23"/>
      <c r="F147" s="23">
        <v>99</v>
      </c>
      <c r="G147" s="24">
        <v>97757.316575999997</v>
      </c>
      <c r="H147" s="23">
        <f t="shared" si="14"/>
        <v>99</v>
      </c>
    </row>
    <row r="148" spans="2:8">
      <c r="B148" s="23"/>
      <c r="C148" s="23"/>
      <c r="D148" s="23"/>
      <c r="E148" s="23"/>
      <c r="F148" s="23">
        <v>100</v>
      </c>
      <c r="G148" s="24">
        <v>101325.02399999999</v>
      </c>
      <c r="H148" s="23">
        <f t="shared" si="14"/>
        <v>100</v>
      </c>
    </row>
    <row r="149" spans="2:8">
      <c r="B149" s="23"/>
      <c r="C149" s="23"/>
      <c r="D149" s="23"/>
      <c r="E149" s="23"/>
      <c r="F149" s="23">
        <v>105</v>
      </c>
      <c r="G149" s="24">
        <v>120820</v>
      </c>
      <c r="H149" s="23">
        <f t="shared" si="14"/>
        <v>105</v>
      </c>
    </row>
    <row r="150" spans="2:8">
      <c r="B150" s="23"/>
      <c r="C150" s="23"/>
      <c r="D150" s="23"/>
      <c r="E150" s="23"/>
      <c r="F150" s="23">
        <v>110</v>
      </c>
      <c r="G150" s="24">
        <v>143270</v>
      </c>
      <c r="H150" s="23">
        <f t="shared" si="14"/>
        <v>110</v>
      </c>
    </row>
    <row r="151" spans="2:8">
      <c r="B151" s="23"/>
      <c r="C151" s="23"/>
      <c r="D151" s="23"/>
      <c r="E151" s="23"/>
      <c r="F151" s="23">
        <v>115</v>
      </c>
      <c r="G151" s="24">
        <v>169060</v>
      </c>
      <c r="H151" s="23">
        <f t="shared" si="14"/>
        <v>115</v>
      </c>
    </row>
    <row r="152" spans="2:8">
      <c r="B152" s="23"/>
      <c r="C152" s="23"/>
      <c r="D152" s="23"/>
      <c r="E152" s="23"/>
      <c r="F152" s="23">
        <v>120</v>
      </c>
      <c r="G152" s="24">
        <v>198530</v>
      </c>
      <c r="H152" s="23">
        <f t="shared" si="14"/>
        <v>120</v>
      </c>
    </row>
    <row r="153" spans="2:8">
      <c r="B153" s="23"/>
      <c r="C153" s="23"/>
      <c r="D153" s="23"/>
      <c r="E153" s="23"/>
      <c r="F153" s="23">
        <v>125</v>
      </c>
      <c r="G153" s="24">
        <v>232100</v>
      </c>
      <c r="H153" s="23">
        <f t="shared" si="14"/>
        <v>125</v>
      </c>
    </row>
    <row r="154" spans="2:8">
      <c r="B154" s="23"/>
      <c r="C154" s="23"/>
      <c r="D154" s="23"/>
      <c r="E154" s="23"/>
      <c r="F154" s="23">
        <v>130</v>
      </c>
      <c r="G154" s="24">
        <v>270100</v>
      </c>
      <c r="H154" s="23">
        <f t="shared" si="14"/>
        <v>130</v>
      </c>
    </row>
    <row r="155" spans="2:8">
      <c r="B155" s="23"/>
      <c r="C155" s="23"/>
      <c r="D155" s="23"/>
      <c r="E155" s="23"/>
      <c r="F155" s="23">
        <v>135</v>
      </c>
      <c r="G155" s="24">
        <v>313000</v>
      </c>
      <c r="H155" s="23">
        <f t="shared" si="14"/>
        <v>135</v>
      </c>
    </row>
    <row r="156" spans="2:8">
      <c r="B156" s="23"/>
      <c r="C156" s="23"/>
      <c r="D156" s="23"/>
      <c r="E156" s="23"/>
      <c r="F156" s="23">
        <v>140</v>
      </c>
      <c r="G156" s="24">
        <v>361300</v>
      </c>
      <c r="H156" s="23">
        <f t="shared" si="14"/>
        <v>140</v>
      </c>
    </row>
    <row r="157" spans="2:8">
      <c r="B157" s="23"/>
      <c r="C157" s="23"/>
      <c r="D157" s="23"/>
      <c r="E157" s="23"/>
      <c r="F157" s="23">
        <v>145</v>
      </c>
      <c r="G157" s="24">
        <v>415400</v>
      </c>
      <c r="H157" s="23">
        <f t="shared" si="14"/>
        <v>145</v>
      </c>
    </row>
    <row r="158" spans="2:8">
      <c r="B158" s="23"/>
      <c r="C158" s="23"/>
      <c r="D158" s="23"/>
      <c r="E158" s="23"/>
      <c r="F158" s="23">
        <v>150</v>
      </c>
      <c r="G158" s="24">
        <v>475800</v>
      </c>
      <c r="H158" s="23">
        <f t="shared" si="14"/>
        <v>150</v>
      </c>
    </row>
    <row r="159" spans="2:8">
      <c r="B159" s="23"/>
      <c r="C159" s="23"/>
      <c r="D159" s="23"/>
      <c r="E159" s="23"/>
      <c r="F159" s="23">
        <v>155</v>
      </c>
      <c r="G159" s="24">
        <v>543100</v>
      </c>
      <c r="H159" s="23">
        <f t="shared" si="14"/>
        <v>155</v>
      </c>
    </row>
    <row r="160" spans="2:8">
      <c r="B160" s="23"/>
      <c r="C160" s="23"/>
      <c r="D160" s="23"/>
      <c r="E160" s="23"/>
      <c r="F160" s="23">
        <v>160</v>
      </c>
      <c r="G160" s="24">
        <v>617800</v>
      </c>
      <c r="H160" s="23">
        <f t="shared" si="14"/>
        <v>160</v>
      </c>
    </row>
    <row r="161" spans="2:8">
      <c r="B161" s="23"/>
      <c r="C161" s="23"/>
      <c r="D161" s="23"/>
      <c r="E161" s="23"/>
      <c r="F161" s="23">
        <v>165</v>
      </c>
      <c r="G161" s="24">
        <v>700500</v>
      </c>
      <c r="H161" s="23">
        <f t="shared" si="14"/>
        <v>165</v>
      </c>
    </row>
    <row r="162" spans="2:8">
      <c r="B162" s="23"/>
      <c r="C162" s="23"/>
      <c r="D162" s="23"/>
      <c r="E162" s="23"/>
      <c r="F162" s="23">
        <v>170</v>
      </c>
      <c r="G162" s="24">
        <v>791700</v>
      </c>
      <c r="H162" s="23">
        <f t="shared" si="14"/>
        <v>170</v>
      </c>
    </row>
    <row r="163" spans="2:8">
      <c r="B163" s="23"/>
      <c r="C163" s="23"/>
      <c r="D163" s="23"/>
      <c r="E163" s="23"/>
      <c r="F163" s="23">
        <v>175</v>
      </c>
      <c r="G163" s="24">
        <v>892000</v>
      </c>
      <c r="H163" s="23">
        <f t="shared" si="14"/>
        <v>175</v>
      </c>
    </row>
    <row r="164" spans="2:8">
      <c r="B164" s="23"/>
      <c r="C164" s="23"/>
      <c r="D164" s="23"/>
      <c r="E164" s="23"/>
      <c r="F164" s="23">
        <v>180</v>
      </c>
      <c r="G164" s="24">
        <v>1002100</v>
      </c>
      <c r="H164" s="23">
        <f t="shared" si="14"/>
        <v>180</v>
      </c>
    </row>
    <row r="165" spans="2:8">
      <c r="B165" s="23"/>
      <c r="C165" s="23"/>
      <c r="D165" s="23"/>
      <c r="E165" s="23"/>
      <c r="F165" s="23">
        <v>185</v>
      </c>
      <c r="G165" s="24">
        <v>1122700</v>
      </c>
      <c r="H165" s="23">
        <f t="shared" si="14"/>
        <v>185</v>
      </c>
    </row>
    <row r="166" spans="2:8">
      <c r="B166" s="23"/>
      <c r="C166" s="23"/>
      <c r="D166" s="23"/>
      <c r="E166" s="23"/>
      <c r="F166" s="23">
        <v>190</v>
      </c>
      <c r="G166" s="24">
        <v>1254400</v>
      </c>
      <c r="H166" s="23">
        <f t="shared" si="14"/>
        <v>190</v>
      </c>
    </row>
    <row r="167" spans="2:8">
      <c r="B167" s="23"/>
      <c r="C167" s="23"/>
      <c r="D167" s="23"/>
      <c r="E167" s="23"/>
      <c r="F167" s="23">
        <v>195</v>
      </c>
      <c r="G167" s="24">
        <v>1397800</v>
      </c>
      <c r="H167" s="23">
        <f t="shared" si="14"/>
        <v>195</v>
      </c>
    </row>
    <row r="168" spans="2:8">
      <c r="B168" s="23"/>
      <c r="C168" s="23"/>
      <c r="D168" s="23"/>
      <c r="E168" s="23"/>
      <c r="F168" s="23">
        <v>200</v>
      </c>
      <c r="G168" s="24">
        <v>1553800</v>
      </c>
      <c r="H168" s="23">
        <f t="shared" si="14"/>
        <v>200</v>
      </c>
    </row>
    <row r="169" spans="2:8">
      <c r="B169" s="23"/>
      <c r="C169" s="23"/>
      <c r="D169" s="23"/>
      <c r="E169" s="23"/>
      <c r="F169" s="23">
        <v>205</v>
      </c>
      <c r="G169" s="24">
        <v>1723000</v>
      </c>
      <c r="H169" s="23">
        <f t="shared" ref="H169:H192" si="15">F169</f>
        <v>205</v>
      </c>
    </row>
    <row r="170" spans="2:8">
      <c r="B170" s="23"/>
      <c r="C170" s="23"/>
      <c r="D170" s="23"/>
      <c r="E170" s="23"/>
      <c r="F170" s="23">
        <v>210</v>
      </c>
      <c r="G170" s="24">
        <v>1906200</v>
      </c>
      <c r="H170" s="23">
        <f t="shared" si="15"/>
        <v>210</v>
      </c>
    </row>
    <row r="171" spans="2:8">
      <c r="B171" s="23"/>
      <c r="C171" s="23"/>
      <c r="D171" s="23"/>
      <c r="E171" s="23"/>
      <c r="F171" s="23">
        <v>215</v>
      </c>
      <c r="G171" s="24">
        <v>2104000</v>
      </c>
      <c r="H171" s="23">
        <f t="shared" si="15"/>
        <v>215</v>
      </c>
    </row>
    <row r="172" spans="2:8">
      <c r="B172" s="23"/>
      <c r="C172" s="23"/>
      <c r="D172" s="23"/>
      <c r="E172" s="23"/>
      <c r="F172" s="23">
        <v>220</v>
      </c>
      <c r="G172" s="24">
        <v>2318000</v>
      </c>
      <c r="H172" s="23">
        <f t="shared" si="15"/>
        <v>220</v>
      </c>
    </row>
    <row r="173" spans="2:8">
      <c r="B173" s="23"/>
      <c r="C173" s="23"/>
      <c r="D173" s="23"/>
      <c r="E173" s="23"/>
      <c r="F173" s="23">
        <v>225</v>
      </c>
      <c r="G173" s="24">
        <v>2548000</v>
      </c>
      <c r="H173" s="23">
        <f t="shared" si="15"/>
        <v>225</v>
      </c>
    </row>
    <row r="174" spans="2:8">
      <c r="B174" s="23"/>
      <c r="C174" s="23"/>
      <c r="D174" s="23"/>
      <c r="E174" s="23"/>
      <c r="F174" s="23">
        <v>230</v>
      </c>
      <c r="G174" s="24">
        <v>2795000</v>
      </c>
      <c r="H174" s="23">
        <f t="shared" si="15"/>
        <v>230</v>
      </c>
    </row>
    <row r="175" spans="2:8">
      <c r="B175" s="23"/>
      <c r="C175" s="23"/>
      <c r="D175" s="23"/>
      <c r="E175" s="23"/>
      <c r="F175" s="23">
        <v>235</v>
      </c>
      <c r="G175" s="24">
        <v>3060000</v>
      </c>
      <c r="H175" s="23">
        <f t="shared" si="15"/>
        <v>235</v>
      </c>
    </row>
    <row r="176" spans="2:8">
      <c r="B176" s="23"/>
      <c r="C176" s="23"/>
      <c r="D176" s="23"/>
      <c r="E176" s="23"/>
      <c r="F176" s="23">
        <v>240</v>
      </c>
      <c r="G176" s="24">
        <v>3344000</v>
      </c>
      <c r="H176" s="23">
        <f t="shared" si="15"/>
        <v>240</v>
      </c>
    </row>
    <row r="177" spans="2:8">
      <c r="B177" s="23"/>
      <c r="C177" s="23"/>
      <c r="D177" s="23"/>
      <c r="E177" s="23"/>
      <c r="F177" s="23">
        <v>245</v>
      </c>
      <c r="G177" s="24">
        <v>3648000</v>
      </c>
      <c r="H177" s="23">
        <f t="shared" si="15"/>
        <v>245</v>
      </c>
    </row>
    <row r="178" spans="2:8">
      <c r="B178" s="23"/>
      <c r="C178" s="23"/>
      <c r="D178" s="23"/>
      <c r="E178" s="23"/>
      <c r="F178" s="23">
        <v>250</v>
      </c>
      <c r="G178" s="24">
        <v>3973000</v>
      </c>
      <c r="H178" s="23">
        <f t="shared" si="15"/>
        <v>250</v>
      </c>
    </row>
    <row r="179" spans="2:8">
      <c r="B179" s="23"/>
      <c r="C179" s="23"/>
      <c r="D179" s="23"/>
      <c r="E179" s="23"/>
      <c r="F179" s="23">
        <v>255</v>
      </c>
      <c r="G179" s="24">
        <v>4319000</v>
      </c>
      <c r="H179" s="23">
        <f t="shared" si="15"/>
        <v>255</v>
      </c>
    </row>
    <row r="180" spans="2:8">
      <c r="B180" s="23"/>
      <c r="C180" s="23"/>
      <c r="D180" s="23"/>
      <c r="E180" s="23"/>
      <c r="F180" s="23">
        <v>260</v>
      </c>
      <c r="G180" s="24">
        <v>4688000</v>
      </c>
      <c r="H180" s="23">
        <f t="shared" si="15"/>
        <v>260</v>
      </c>
    </row>
    <row r="181" spans="2:8">
      <c r="B181" s="23"/>
      <c r="C181" s="23"/>
      <c r="D181" s="23"/>
      <c r="E181" s="23"/>
      <c r="F181" s="23">
        <v>265</v>
      </c>
      <c r="G181" s="24">
        <v>5081000</v>
      </c>
      <c r="H181" s="23">
        <f t="shared" si="15"/>
        <v>265</v>
      </c>
    </row>
    <row r="182" spans="2:8">
      <c r="B182" s="23"/>
      <c r="C182" s="23"/>
      <c r="D182" s="23"/>
      <c r="E182" s="23"/>
      <c r="F182" s="23">
        <v>270</v>
      </c>
      <c r="G182" s="24">
        <v>5499000</v>
      </c>
      <c r="H182" s="23">
        <f t="shared" si="15"/>
        <v>270</v>
      </c>
    </row>
    <row r="183" spans="2:8">
      <c r="B183" s="23"/>
      <c r="C183" s="23"/>
      <c r="D183" s="23"/>
      <c r="E183" s="23"/>
      <c r="F183" s="23">
        <v>275</v>
      </c>
      <c r="G183" s="24">
        <v>5942000</v>
      </c>
      <c r="H183" s="23">
        <f t="shared" si="15"/>
        <v>275</v>
      </c>
    </row>
    <row r="184" spans="2:8">
      <c r="B184" s="23"/>
      <c r="C184" s="23"/>
      <c r="D184" s="23"/>
      <c r="E184" s="23"/>
      <c r="F184" s="23">
        <v>280</v>
      </c>
      <c r="G184" s="24">
        <v>6412000</v>
      </c>
      <c r="H184" s="23">
        <f t="shared" si="15"/>
        <v>280</v>
      </c>
    </row>
    <row r="185" spans="2:8">
      <c r="B185" s="23"/>
      <c r="C185" s="23"/>
      <c r="D185" s="23"/>
      <c r="E185" s="23"/>
      <c r="F185" s="23">
        <v>285</v>
      </c>
      <c r="G185" s="24">
        <v>6909000</v>
      </c>
      <c r="H185" s="23">
        <f t="shared" si="15"/>
        <v>285</v>
      </c>
    </row>
    <row r="186" spans="2:8">
      <c r="B186" s="23"/>
      <c r="C186" s="23"/>
      <c r="D186" s="23"/>
      <c r="E186" s="23"/>
      <c r="F186" s="23">
        <v>290</v>
      </c>
      <c r="G186" s="24">
        <v>7436000</v>
      </c>
      <c r="H186" s="23">
        <f t="shared" si="15"/>
        <v>290</v>
      </c>
    </row>
    <row r="187" spans="2:8">
      <c r="B187" s="23"/>
      <c r="C187" s="23"/>
      <c r="D187" s="23"/>
      <c r="E187" s="23"/>
      <c r="F187" s="23">
        <v>295</v>
      </c>
      <c r="G187" s="24">
        <v>7993000</v>
      </c>
      <c r="H187" s="23">
        <f t="shared" si="15"/>
        <v>295</v>
      </c>
    </row>
    <row r="188" spans="2:8">
      <c r="B188" s="23"/>
      <c r="C188" s="23"/>
      <c r="D188" s="23"/>
      <c r="E188" s="23"/>
      <c r="F188" s="23">
        <v>300</v>
      </c>
      <c r="G188" s="24">
        <v>8581000</v>
      </c>
      <c r="H188" s="23">
        <f t="shared" si="15"/>
        <v>300</v>
      </c>
    </row>
    <row r="189" spans="2:8">
      <c r="B189" s="23"/>
      <c r="C189" s="23"/>
      <c r="D189" s="23"/>
      <c r="E189" s="23"/>
      <c r="F189" s="23">
        <v>320</v>
      </c>
      <c r="G189" s="23">
        <v>11274000</v>
      </c>
      <c r="H189" s="23">
        <f t="shared" si="15"/>
        <v>320</v>
      </c>
    </row>
    <row r="190" spans="2:8">
      <c r="B190" s="23"/>
      <c r="C190" s="23"/>
      <c r="D190" s="23"/>
      <c r="E190" s="23"/>
      <c r="F190" s="23">
        <v>340</v>
      </c>
      <c r="G190" s="23">
        <v>14586000</v>
      </c>
      <c r="H190" s="23">
        <f t="shared" si="15"/>
        <v>340</v>
      </c>
    </row>
    <row r="191" spans="2:8">
      <c r="B191" s="23"/>
      <c r="C191" s="23"/>
      <c r="D191" s="23"/>
      <c r="E191" s="23"/>
      <c r="F191" s="23">
        <v>360</v>
      </c>
      <c r="G191" s="23">
        <v>18651000</v>
      </c>
      <c r="H191" s="23">
        <f t="shared" si="15"/>
        <v>360</v>
      </c>
    </row>
    <row r="192" spans="2:8">
      <c r="B192" s="23"/>
      <c r="C192" s="23"/>
      <c r="D192" s="23"/>
      <c r="E192" s="23"/>
      <c r="F192" s="24">
        <v>374.14</v>
      </c>
      <c r="G192" s="24">
        <v>22090000</v>
      </c>
      <c r="H192" s="24">
        <f t="shared" si="15"/>
        <v>374.14</v>
      </c>
    </row>
    <row r="193" spans="2:8">
      <c r="B193" s="23"/>
      <c r="C193" s="23"/>
      <c r="D193" s="23"/>
      <c r="E193" s="23"/>
      <c r="F193" s="23"/>
      <c r="G193" s="23"/>
      <c r="H193" s="23"/>
    </row>
    <row r="194" spans="2:8">
      <c r="B194" s="23"/>
      <c r="C194" s="23"/>
      <c r="D194" s="23"/>
      <c r="E194" s="23"/>
      <c r="F194" s="1920" t="s">
        <v>169</v>
      </c>
      <c r="G194" s="1921"/>
      <c r="H194" s="1937"/>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20" t="s">
        <v>172</v>
      </c>
      <c r="G200" s="1921"/>
      <c r="H200" s="1937"/>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20" t="s">
        <v>261</v>
      </c>
      <c r="G206" s="1921"/>
      <c r="H206" s="1937"/>
    </row>
    <row r="207" spans="2:8">
      <c r="B207" s="23"/>
      <c r="C207" s="23"/>
      <c r="D207" s="23"/>
      <c r="E207" s="23"/>
      <c r="F207" s="35" t="s">
        <v>170</v>
      </c>
      <c r="G207" s="37" t="s">
        <v>171</v>
      </c>
      <c r="H207" s="67"/>
    </row>
    <row r="208" spans="2:8">
      <c r="B208" s="23"/>
      <c r="C208" s="23"/>
      <c r="D208" s="23"/>
      <c r="E208" s="23"/>
      <c r="F208" s="49" t="e">
        <f>VLOOKUP(G208,$G$105:$H$192,2)</f>
        <v>#DIV/0!</v>
      </c>
      <c r="G208" s="24" t="e">
        <f>VLOOKUP(C127,G105:H192,1)</f>
        <v>#DIV/0!</v>
      </c>
      <c r="H208" s="46" t="e">
        <f>MATCH(F208,F105:F192,1)</f>
        <v>#DIV/0!</v>
      </c>
    </row>
    <row r="209" spans="2:8">
      <c r="B209" s="23"/>
      <c r="C209" s="23"/>
      <c r="D209" s="23"/>
      <c r="E209" s="23"/>
      <c r="F209" s="49" t="e">
        <f>F208+(G209-G208)/(G210-G208)*(F210-F208)</f>
        <v>#DIV/0!</v>
      </c>
      <c r="G209" s="24" t="e">
        <f>C127</f>
        <v>#DIV/0!</v>
      </c>
      <c r="H209" s="46"/>
    </row>
    <row r="210" spans="2:8">
      <c r="B210" s="23"/>
      <c r="C210" s="23"/>
      <c r="D210" s="23"/>
      <c r="E210" s="23"/>
      <c r="F210" s="61" t="e">
        <f>INDEX(F105:F192,H210)</f>
        <v>#DIV/0!</v>
      </c>
      <c r="G210" s="69" t="e">
        <f>VLOOKUP(F210,F105:G192,2)</f>
        <v>#DIV/0!</v>
      </c>
      <c r="H210" s="58" t="e">
        <f>H208+1</f>
        <v>#DIV/0!</v>
      </c>
    </row>
    <row r="211" spans="2:8">
      <c r="B211" s="23"/>
      <c r="C211" s="23"/>
      <c r="D211" s="23"/>
      <c r="E211" s="23"/>
    </row>
    <row r="212" spans="2:8">
      <c r="B212" s="23"/>
      <c r="C212" s="23"/>
      <c r="D212" s="23"/>
      <c r="E212" s="23"/>
      <c r="F212" s="1920" t="s">
        <v>173</v>
      </c>
      <c r="G212" s="1921"/>
      <c r="H212" s="1937"/>
    </row>
    <row r="213" spans="2:8">
      <c r="B213" s="23"/>
      <c r="C213" s="23"/>
      <c r="D213" s="23"/>
      <c r="E213" s="23"/>
      <c r="F213" s="35" t="s">
        <v>170</v>
      </c>
      <c r="G213" s="37" t="s">
        <v>171</v>
      </c>
      <c r="H213" s="67"/>
    </row>
    <row r="214" spans="2:8">
      <c r="B214" s="23"/>
      <c r="C214" s="23"/>
      <c r="D214" s="23"/>
      <c r="E214" s="23"/>
      <c r="F214" s="49">
        <f>VLOOKUP(F215,F105:G192,1)</f>
        <v>200</v>
      </c>
      <c r="G214" s="24">
        <f>VLOOKUP(F214,$F$105:$G$192,2)</f>
        <v>1553800</v>
      </c>
      <c r="H214" s="46">
        <f>MATCH(F214,F105:F192,1)</f>
        <v>64</v>
      </c>
    </row>
    <row r="215" spans="2:8">
      <c r="B215" s="23"/>
      <c r="C215" s="23"/>
      <c r="D215" s="23"/>
      <c r="E215" s="23"/>
      <c r="F215" s="49">
        <f>C122</f>
        <v>200</v>
      </c>
      <c r="G215" s="24">
        <f>G214+((F215-F214)/(F216-F214))*(G216-G214)</f>
        <v>1553800</v>
      </c>
      <c r="H215" s="46"/>
    </row>
    <row r="216" spans="2:8">
      <c r="B216" s="23"/>
      <c r="C216" s="23"/>
      <c r="D216" s="23"/>
      <c r="E216" s="23"/>
      <c r="F216" s="61">
        <f>INDEX(F105:F192,H216)</f>
        <v>205</v>
      </c>
      <c r="G216" s="69">
        <f>VLOOKUP(F216,$F$105:$G$192,2)</f>
        <v>1723000</v>
      </c>
      <c r="H216" s="58">
        <f>H214+1</f>
        <v>65</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scenarios current="0">
    <scenario name="Tfumée_micro2" count="1" user="Céline Hertz" comment="Créé par Céline Hertz le 2023-05-16_x000a_Modifié par: Céline Hertz le 2023-05-16">
      <inputCells r="U7" val="126,582227015757" numFmtId="1"/>
    </scenario>
  </scenarios>
  <mergeCells count="26">
    <mergeCell ref="AA1:AC3"/>
    <mergeCell ref="M72:N72"/>
    <mergeCell ref="F194:H194"/>
    <mergeCell ref="F200:H200"/>
    <mergeCell ref="F206:H206"/>
    <mergeCell ref="J5:M5"/>
    <mergeCell ref="N5:V5"/>
    <mergeCell ref="J6:M6"/>
    <mergeCell ref="N6:P6"/>
    <mergeCell ref="Q6:S6"/>
    <mergeCell ref="T6:V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035BF-96C3-4156-9116-0AE93A88A29C}">
  <sheetPr codeName="Feuil15">
    <tabColor theme="4"/>
  </sheetPr>
  <dimension ref="A1:AE355"/>
  <sheetViews>
    <sheetView workbookViewId="0">
      <selection activeCell="C116" sqref="C116:D116"/>
    </sheetView>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25" width="11.44140625" style="19"/>
    <col min="26" max="26" width="11.44140625" style="564"/>
    <col min="27" max="27" width="13.77734375" style="23" customWidth="1"/>
    <col min="28" max="29" width="13.77734375" style="19" customWidth="1"/>
    <col min="30" max="16384" width="11.44140625" style="19"/>
  </cols>
  <sheetData>
    <row r="1" spans="1:31">
      <c r="G1" s="374"/>
      <c r="AA1" s="1964" t="s">
        <v>421</v>
      </c>
      <c r="AB1" s="1964"/>
      <c r="AC1" s="1964"/>
    </row>
    <row r="2" spans="1:31" ht="14.4">
      <c r="B2" s="6"/>
      <c r="C2" s="564"/>
      <c r="E2" s="20" t="s">
        <v>64</v>
      </c>
      <c r="F2" s="21" t="s">
        <v>16</v>
      </c>
      <c r="G2" s="22" t="e">
        <f>1-(G4/(G5+ABS(L27)))</f>
        <v>#DIV/0!</v>
      </c>
      <c r="AA2" s="1964"/>
      <c r="AB2" s="1964"/>
      <c r="AC2" s="1964"/>
    </row>
    <row r="3" spans="1:31" ht="13.8" thickBot="1">
      <c r="U3" s="375"/>
      <c r="AA3" s="1964"/>
      <c r="AB3" s="1964"/>
      <c r="AC3" s="1964"/>
    </row>
    <row r="4" spans="1:31" ht="13.8" thickBot="1">
      <c r="E4" s="23" t="s">
        <v>65</v>
      </c>
      <c r="F4" s="23" t="s">
        <v>66</v>
      </c>
      <c r="G4" s="255" t="e">
        <f>V27</f>
        <v>#DIV/0!</v>
      </c>
      <c r="H4" s="25"/>
      <c r="AA4" s="65" t="s">
        <v>419</v>
      </c>
      <c r="AB4" s="378">
        <f>'Micromodulation et sonde O2'!F93</f>
        <v>0.84</v>
      </c>
      <c r="AD4" s="376"/>
    </row>
    <row r="5" spans="1:31">
      <c r="A5" s="26" t="s">
        <v>67</v>
      </c>
      <c r="E5" s="23" t="s">
        <v>68</v>
      </c>
      <c r="F5" s="23" t="s">
        <v>66</v>
      </c>
      <c r="G5" s="255" t="e">
        <f>P27+S27</f>
        <v>#DIV/0!</v>
      </c>
      <c r="J5" s="1941" t="s">
        <v>339</v>
      </c>
      <c r="K5" s="1942"/>
      <c r="L5" s="1942"/>
      <c r="M5" s="1943"/>
      <c r="N5" s="1965" t="s">
        <v>69</v>
      </c>
      <c r="O5" s="1966"/>
      <c r="P5" s="1966"/>
      <c r="Q5" s="1966"/>
      <c r="R5" s="1966"/>
      <c r="S5" s="1966"/>
      <c r="T5" s="1966"/>
      <c r="U5" s="1966"/>
      <c r="V5" s="1967"/>
      <c r="AA5" s="65" t="s">
        <v>418</v>
      </c>
      <c r="AB5" s="565" t="e">
        <f>(AB4-AE11)/AE10</f>
        <v>#DIV/0!</v>
      </c>
      <c r="AC5" s="377" t="s">
        <v>13</v>
      </c>
    </row>
    <row r="6" spans="1:31">
      <c r="A6" s="300" t="s">
        <v>338</v>
      </c>
      <c r="J6" s="1944" t="s">
        <v>337</v>
      </c>
      <c r="K6" s="1945"/>
      <c r="L6" s="1945"/>
      <c r="M6" s="1946"/>
      <c r="N6" s="1926" t="s">
        <v>336</v>
      </c>
      <c r="O6" s="1927"/>
      <c r="P6" s="1928"/>
      <c r="Q6" s="1926" t="s">
        <v>70</v>
      </c>
      <c r="R6" s="1927"/>
      <c r="S6" s="1928"/>
      <c r="T6" s="1926" t="s">
        <v>123</v>
      </c>
      <c r="U6" s="1927"/>
      <c r="V6" s="1928"/>
      <c r="AA6" s="65"/>
      <c r="AB6" s="373"/>
    </row>
    <row r="7" spans="1:31" ht="14.25" customHeight="1">
      <c r="C7" s="1935" t="s">
        <v>335</v>
      </c>
      <c r="D7" s="1920" t="s">
        <v>334</v>
      </c>
      <c r="E7" s="1937"/>
      <c r="F7" s="1920" t="s">
        <v>333</v>
      </c>
      <c r="G7" s="1921"/>
      <c r="H7" s="1921"/>
      <c r="I7" s="1921"/>
      <c r="J7" s="28" t="s">
        <v>71</v>
      </c>
      <c r="K7" s="29" t="s">
        <v>72</v>
      </c>
      <c r="L7" s="29" t="s">
        <v>332</v>
      </c>
      <c r="M7" s="1947" t="s">
        <v>331</v>
      </c>
      <c r="N7" s="30" t="s">
        <v>73</v>
      </c>
      <c r="O7" s="31">
        <f>'3c. Calculator EEM 2-3'!K34</f>
        <v>20</v>
      </c>
      <c r="P7" s="32"/>
      <c r="Q7" s="33" t="s">
        <v>73</v>
      </c>
      <c r="R7" s="34">
        <f>'3c. Calculator EEM 2-3'!K33</f>
        <v>20</v>
      </c>
      <c r="S7" s="32"/>
      <c r="T7" s="33" t="s">
        <v>73</v>
      </c>
      <c r="U7" s="387">
        <v>200</v>
      </c>
      <c r="V7" s="32"/>
      <c r="AA7" s="383" t="s">
        <v>423</v>
      </c>
      <c r="AB7" s="379" t="s">
        <v>422</v>
      </c>
    </row>
    <row r="8" spans="1:31" ht="42">
      <c r="C8" s="1936"/>
      <c r="D8" s="299" t="s">
        <v>330</v>
      </c>
      <c r="E8" s="298" t="s">
        <v>329</v>
      </c>
      <c r="F8" s="1923" t="s">
        <v>74</v>
      </c>
      <c r="G8" s="1924"/>
      <c r="H8" s="1924"/>
      <c r="I8" s="1924"/>
      <c r="J8" s="35" t="s">
        <v>75</v>
      </c>
      <c r="K8" s="37" t="s">
        <v>75</v>
      </c>
      <c r="L8" s="37"/>
      <c r="M8" s="1948"/>
      <c r="N8" s="37" t="s">
        <v>76</v>
      </c>
      <c r="O8" s="37" t="s">
        <v>77</v>
      </c>
      <c r="P8" s="36" t="s">
        <v>78</v>
      </c>
      <c r="Q8" s="35" t="s">
        <v>76</v>
      </c>
      <c r="R8" s="37" t="s">
        <v>77</v>
      </c>
      <c r="S8" s="36" t="s">
        <v>78</v>
      </c>
      <c r="T8" s="35" t="s">
        <v>76</v>
      </c>
      <c r="U8" s="37" t="s">
        <v>77</v>
      </c>
      <c r="V8" s="36" t="s">
        <v>78</v>
      </c>
      <c r="AA8" s="384"/>
      <c r="AB8" s="386"/>
      <c r="AD8" s="19" t="s">
        <v>765</v>
      </c>
    </row>
    <row r="9" spans="1:31" ht="20.399999999999999">
      <c r="B9" s="19" t="s">
        <v>35</v>
      </c>
      <c r="C9" s="247" t="s">
        <v>328</v>
      </c>
      <c r="D9" s="1954" t="s">
        <v>328</v>
      </c>
      <c r="E9" s="1955"/>
      <c r="F9" s="1932" t="s">
        <v>111</v>
      </c>
      <c r="G9" s="1933"/>
      <c r="H9" s="1933"/>
      <c r="I9" s="1934"/>
      <c r="J9" s="35"/>
      <c r="K9" s="37"/>
      <c r="L9" s="37"/>
      <c r="M9" s="297" t="s">
        <v>327</v>
      </c>
      <c r="N9" s="37"/>
      <c r="O9" s="37"/>
      <c r="P9" s="36"/>
      <c r="Q9" s="37"/>
      <c r="R9" s="37"/>
      <c r="S9" s="36"/>
      <c r="T9" s="37"/>
      <c r="U9" s="37"/>
      <c r="V9" s="36"/>
      <c r="AA9" s="385"/>
      <c r="AB9" s="380" t="e">
        <f>1-(G4/(G5+ABS(L27)))</f>
        <v>#DIV/0!</v>
      </c>
      <c r="AD9" s="566" t="s">
        <v>766</v>
      </c>
      <c r="AE9" s="566"/>
    </row>
    <row r="10" spans="1:31" ht="23.25" customHeight="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c r="AA10" s="54">
        <v>200</v>
      </c>
      <c r="AB10" s="381" t="e">
        <f t="dataTable" ref="AB10:AB11" dt2D="0" dtr="0" r1="U7"/>
        <v>#DIV/0!</v>
      </c>
      <c r="AD10" s="19" t="s">
        <v>763</v>
      </c>
      <c r="AE10" s="19" t="e">
        <f>SLOPE(AB10:AB11,AA10:AA11)</f>
        <v>#DIV/0!</v>
      </c>
    </row>
    <row r="11" spans="1:31" ht="15.6">
      <c r="A11" s="44" t="s">
        <v>88</v>
      </c>
      <c r="B11" s="45" t="s">
        <v>89</v>
      </c>
      <c r="C11" s="290">
        <v>31.998799999999999</v>
      </c>
      <c r="D11" s="283">
        <v>0</v>
      </c>
      <c r="E11" s="282">
        <v>0</v>
      </c>
      <c r="F11" s="47">
        <v>29.1</v>
      </c>
      <c r="G11" s="48">
        <v>1.1579999999999999</v>
      </c>
      <c r="H11" s="48">
        <v>-0.60760000000000003</v>
      </c>
      <c r="I11" s="48">
        <v>1.3109999999999999</v>
      </c>
      <c r="J11" s="49">
        <f>N11*C11</f>
        <v>0</v>
      </c>
      <c r="K11" s="48">
        <f t="shared" ref="K11:K26" si="0">($E$29*(C11/1000))/($B$32*$B$29)*N11</f>
        <v>0</v>
      </c>
      <c r="L11" s="255">
        <f t="shared" ref="L11:L26" si="1">N11*E11</f>
        <v>0</v>
      </c>
      <c r="M11" s="279">
        <f t="shared" ref="M11:M26" si="2">N11*D11/2*$W$15</f>
        <v>0</v>
      </c>
      <c r="N11" s="51">
        <f>'Combustion_Chaud3 (Micro)'!C53/100</f>
        <v>0</v>
      </c>
      <c r="O11" s="50">
        <f>AVERAGE($F11+$G11/100*O$7+$H11/100000*O$7^2+$I11/1000000000*O$7^3,$F11+$G11/100*$B$28+$H11/100000*$B$28^2+$I11/1000000000*$B$28^3)</f>
        <v>29.303892412703927</v>
      </c>
      <c r="P11" s="52">
        <f>N11*O11*(O$7-$B$28)</f>
        <v>0</v>
      </c>
      <c r="Q11" s="51" t="e">
        <f>'Combustion_Chaud3 (Micro)'!G88</f>
        <v>#DIV/0!</v>
      </c>
      <c r="R11" s="50">
        <f t="shared" ref="R11:R26" si="3">AVERAGE($F11+$G11/100*R$7+$H11/100000*R$7^2+$I11/1000000000*R$7^3,$F11+$G11/100*$B$28+$H11/100000*$B$28^2+$I11/1000000000*$B$28^3)</f>
        <v>29.303892412703927</v>
      </c>
      <c r="S11" s="282" t="e">
        <f>Q11*R11*(R$7-$B$28)</f>
        <v>#DIV/0!</v>
      </c>
      <c r="T11" s="51" t="e">
        <f>'Combustion_Chaud3 (Micro)'!L79</f>
        <v>#DIV/0!</v>
      </c>
      <c r="U11" s="50">
        <f t="shared" ref="U11:U26" si="4">AVERAGE($F11+$G11/100*U$7+$H11/100000*U$7^2+$I11/1000000000*U$7^3,$F11+$G11/100*$B$28+$H11/100000*$B$28^2+$I11/1000000000*$B$28^3)</f>
        <v>30.231026368703926</v>
      </c>
      <c r="V11" s="282" t="e">
        <f>T11*U11*(U$7-$B$28)</f>
        <v>#DIV/0!</v>
      </c>
      <c r="AA11" s="62">
        <v>110</v>
      </c>
      <c r="AB11" s="382" t="e">
        <v>#DIV/0!</v>
      </c>
      <c r="AD11" s="19" t="s">
        <v>764</v>
      </c>
      <c r="AE11" s="19" t="e">
        <f>INTERCEPT(AB10:AB11,AA10:AA11)</f>
        <v>#DIV/0!</v>
      </c>
    </row>
    <row r="12" spans="1:31">
      <c r="A12" s="53" t="s">
        <v>299</v>
      </c>
      <c r="B12" s="19" t="s">
        <v>90</v>
      </c>
      <c r="C12" s="284">
        <v>28.010100000000001</v>
      </c>
      <c r="D12" s="283">
        <v>0</v>
      </c>
      <c r="E12" s="282">
        <v>-282910</v>
      </c>
      <c r="F12" s="51">
        <v>28.95</v>
      </c>
      <c r="G12" s="50">
        <v>0.41099999999999998</v>
      </c>
      <c r="H12" s="50">
        <v>0.3548</v>
      </c>
      <c r="I12" s="50">
        <v>-2.2200000000000002</v>
      </c>
      <c r="J12" s="49">
        <f t="shared" ref="J12:J26" si="5">N12*C12</f>
        <v>0</v>
      </c>
      <c r="K12" s="50">
        <f t="shared" si="0"/>
        <v>0</v>
      </c>
      <c r="L12" s="255">
        <f t="shared" si="1"/>
        <v>0</v>
      </c>
      <c r="M12" s="279">
        <f t="shared" si="2"/>
        <v>0</v>
      </c>
      <c r="N12" s="51">
        <f>'Combustion_Chaud3 (Micro)'!C54/100</f>
        <v>0</v>
      </c>
      <c r="O12" s="50">
        <f t="shared" ref="O12:O26" si="6">AVERAGE($F12+$G12/100*O$7+$H12/100000*O$7^2+$I12/1000000000*O$7^3,$F12+$G12/100*$B$28+$H12/100000*$B$28^2+$I12/1000000000*$B$28^3)</f>
        <v>29.024180754002948</v>
      </c>
      <c r="P12" s="52">
        <f>N12*O12*(O$7-$B$28)</f>
        <v>0</v>
      </c>
      <c r="Q12" s="285"/>
      <c r="R12" s="50">
        <f t="shared" si="3"/>
        <v>29.024180754002948</v>
      </c>
      <c r="S12" s="282">
        <f>Q12*R12*(R$7-$B$28)</f>
        <v>0</v>
      </c>
      <c r="T12" s="285"/>
      <c r="U12" s="50">
        <f t="shared" si="4"/>
        <v>29.455460034002947</v>
      </c>
      <c r="V12" s="282">
        <f>T12*U12*(U$7-$B$28)</f>
        <v>0</v>
      </c>
      <c r="AA12" s="317"/>
      <c r="AB12" s="568"/>
    </row>
    <row r="13" spans="1:31" ht="15.6">
      <c r="A13" s="53" t="s">
        <v>284</v>
      </c>
      <c r="B13" s="19" t="s">
        <v>91</v>
      </c>
      <c r="C13" s="284">
        <v>44.009500000000003</v>
      </c>
      <c r="D13" s="283">
        <v>0</v>
      </c>
      <c r="E13" s="282">
        <v>0</v>
      </c>
      <c r="F13" s="51">
        <v>36.11</v>
      </c>
      <c r="G13" s="50">
        <v>4.2329999999999997</v>
      </c>
      <c r="H13" s="50">
        <v>-2.887</v>
      </c>
      <c r="I13" s="50">
        <v>7.4640000000000004</v>
      </c>
      <c r="J13" s="49">
        <f t="shared" si="5"/>
        <v>0.28166080000000004</v>
      </c>
      <c r="K13" s="50">
        <f t="shared" si="0"/>
        <v>1.1916985502539782E-2</v>
      </c>
      <c r="L13" s="255">
        <f t="shared" si="1"/>
        <v>0</v>
      </c>
      <c r="M13" s="279">
        <f t="shared" si="2"/>
        <v>0</v>
      </c>
      <c r="N13" s="51">
        <f>'Combustion_Chaud3 (Micro)'!C55/100</f>
        <v>6.4000000000000003E-3</v>
      </c>
      <c r="O13" s="50">
        <f t="shared" si="6"/>
        <v>36.853195219340265</v>
      </c>
      <c r="P13" s="52">
        <f>N13*O13*(O$7-$B$28)</f>
        <v>1.0495789998468106</v>
      </c>
      <c r="Q13" s="285"/>
      <c r="R13" s="50">
        <f t="shared" si="3"/>
        <v>36.853195219340265</v>
      </c>
      <c r="S13" s="282">
        <f>Q13*R13*(R$7-$B$28)</f>
        <v>0</v>
      </c>
      <c r="T13" s="51">
        <f>'Combustion_Chaud3 (Micro)'!L78</f>
        <v>1.0020999999999998</v>
      </c>
      <c r="U13" s="50">
        <f t="shared" si="4"/>
        <v>40.12109536334026</v>
      </c>
      <c r="V13" s="282">
        <f>T13*U13*(U$7-$B$28)</f>
        <v>7415.8767454516219</v>
      </c>
      <c r="AA13" s="317"/>
      <c r="AB13" s="568"/>
    </row>
    <row r="14" spans="1:31" ht="15.6">
      <c r="A14" s="53" t="s">
        <v>92</v>
      </c>
      <c r="B14" s="19" t="s">
        <v>93</v>
      </c>
      <c r="C14" s="284">
        <v>2.0158800000000001</v>
      </c>
      <c r="D14" s="283">
        <v>2</v>
      </c>
      <c r="E14" s="282">
        <v>-286130</v>
      </c>
      <c r="F14" s="51">
        <v>28.84</v>
      </c>
      <c r="G14" s="50">
        <v>7.6499999999999997E-3</v>
      </c>
      <c r="H14" s="50">
        <v>0.32879999999999998</v>
      </c>
      <c r="I14" s="50">
        <v>-0.86980000000000002</v>
      </c>
      <c r="J14" s="49">
        <f t="shared" si="5"/>
        <v>0</v>
      </c>
      <c r="K14" s="50">
        <f t="shared" si="0"/>
        <v>0</v>
      </c>
      <c r="L14" s="255">
        <f t="shared" si="1"/>
        <v>0</v>
      </c>
      <c r="M14" s="279">
        <f t="shared" si="2"/>
        <v>0</v>
      </c>
      <c r="N14" s="51">
        <f>'Combustion_Chaud3 (Micro)'!C56/100</f>
        <v>0</v>
      </c>
      <c r="O14" s="50">
        <f t="shared" si="6"/>
        <v>28.842409796373442</v>
      </c>
      <c r="P14" s="52">
        <f>N14*O14*(O$7-$B$28)</f>
        <v>0</v>
      </c>
      <c r="Q14" s="285"/>
      <c r="R14" s="50">
        <f t="shared" si="3"/>
        <v>28.842409796373442</v>
      </c>
      <c r="S14" s="282">
        <f>Q14*R14*(R$7-$B$28)</f>
        <v>0</v>
      </c>
      <c r="T14" s="285"/>
      <c r="U14" s="50">
        <f t="shared" si="4"/>
        <v>28.910921475573442</v>
      </c>
      <c r="V14" s="282">
        <f>T14*U14*(U$7-$B$28)</f>
        <v>0</v>
      </c>
      <c r="AA14" s="317"/>
      <c r="AB14" s="568"/>
    </row>
    <row r="15" spans="1:31" ht="15.6">
      <c r="A15" s="53" t="s">
        <v>94</v>
      </c>
      <c r="B15" s="19" t="s">
        <v>298</v>
      </c>
      <c r="C15" s="284">
        <v>18.015280000000001</v>
      </c>
      <c r="D15" s="283">
        <v>2</v>
      </c>
      <c r="E15" s="282">
        <v>0</v>
      </c>
      <c r="F15" s="51">
        <v>33.46</v>
      </c>
      <c r="G15" s="50">
        <v>0.68799999999999994</v>
      </c>
      <c r="H15" s="50">
        <v>0.76039999999999996</v>
      </c>
      <c r="I15" s="50">
        <v>-3.593</v>
      </c>
      <c r="J15" s="49">
        <f t="shared" si="5"/>
        <v>0</v>
      </c>
      <c r="K15" s="50">
        <f t="shared" si="0"/>
        <v>0</v>
      </c>
      <c r="L15" s="255">
        <f t="shared" si="1"/>
        <v>0</v>
      </c>
      <c r="M15" s="279">
        <f t="shared" si="2"/>
        <v>0</v>
      </c>
      <c r="N15" s="51">
        <f>'Combustion_Chaud3 (Micro)'!C57/100</f>
        <v>0</v>
      </c>
      <c r="O15" s="50">
        <f t="shared" si="6"/>
        <v>33.584711006213126</v>
      </c>
      <c r="P15" s="52">
        <f>N15*(W15+O15*(O$7-$B$28))</f>
        <v>0</v>
      </c>
      <c r="Q15" s="51" t="e">
        <f>'Combustion_Chaud3 (Micro)'!G89</f>
        <v>#DIV/0!</v>
      </c>
      <c r="R15" s="50">
        <f t="shared" si="3"/>
        <v>33.584711006213126</v>
      </c>
      <c r="S15" s="282" t="e">
        <f>Q15*(W15+R15*(R$7-$B$28))</f>
        <v>#DIV/0!</v>
      </c>
      <c r="T15" s="51" t="e">
        <f>'Combustion_Chaud3 (Micro)'!L81-T16</f>
        <v>#DIV/0!</v>
      </c>
      <c r="U15" s="50">
        <f t="shared" si="4"/>
        <v>34.340112578213123</v>
      </c>
      <c r="V15" s="286" t="e">
        <f>((T15-G89)*$W$15)+(T15*U15*(U$7-$B$28))</f>
        <v>#DIV/0!</v>
      </c>
      <c r="W15" s="257">
        <v>44408</v>
      </c>
      <c r="X15" s="19" t="s">
        <v>95</v>
      </c>
      <c r="AA15" s="317"/>
      <c r="AB15" s="568"/>
    </row>
    <row r="16" spans="1:31" ht="15.6">
      <c r="A16" s="53" t="s">
        <v>96</v>
      </c>
      <c r="B16" s="19" t="s">
        <v>324</v>
      </c>
      <c r="C16" s="284">
        <f>C15</f>
        <v>18.015280000000001</v>
      </c>
      <c r="D16" s="283">
        <v>2</v>
      </c>
      <c r="E16" s="282">
        <v>0</v>
      </c>
      <c r="F16" s="51">
        <v>75.400000000000006</v>
      </c>
      <c r="G16" s="50">
        <v>0</v>
      </c>
      <c r="H16" s="50">
        <v>0</v>
      </c>
      <c r="I16" s="50">
        <v>0</v>
      </c>
      <c r="J16" s="49">
        <f t="shared" si="5"/>
        <v>0</v>
      </c>
      <c r="K16" s="50">
        <f t="shared" si="0"/>
        <v>0</v>
      </c>
      <c r="L16" s="255">
        <f t="shared" si="1"/>
        <v>0</v>
      </c>
      <c r="M16" s="279">
        <f t="shared" si="2"/>
        <v>0</v>
      </c>
      <c r="N16" s="51">
        <v>0</v>
      </c>
      <c r="O16" s="50">
        <f t="shared" si="6"/>
        <v>75.400000000000006</v>
      </c>
      <c r="P16" s="52">
        <f t="shared" ref="P16:P26" si="7">N16*O16*(O$7-$B$28)</f>
        <v>0</v>
      </c>
      <c r="Q16" s="285"/>
      <c r="R16" s="50">
        <f t="shared" si="3"/>
        <v>75.400000000000006</v>
      </c>
      <c r="S16" s="282">
        <f t="shared" ref="S16:S26" si="8">Q16*R16*(R$7-$B$28)</f>
        <v>0</v>
      </c>
      <c r="T16" s="51" t="e">
        <f>'Combustion_Chaud3 (Micro)'!L92</f>
        <v>#DIV/0!</v>
      </c>
      <c r="U16" s="50">
        <f t="shared" si="4"/>
        <v>75.400000000000006</v>
      </c>
      <c r="V16" s="286" t="e">
        <f t="shared" ref="V16:V26" si="9">T16*U16*(U$7-$B$28)</f>
        <v>#DIV/0!</v>
      </c>
      <c r="AA16" s="317"/>
      <c r="AB16" s="568"/>
    </row>
    <row r="17" spans="1:28" ht="15.6">
      <c r="A17" s="53" t="s">
        <v>97</v>
      </c>
      <c r="B17" s="19" t="s">
        <v>98</v>
      </c>
      <c r="C17" s="284">
        <v>16.042459999999998</v>
      </c>
      <c r="D17" s="283">
        <v>4</v>
      </c>
      <c r="E17" s="282">
        <v>-891460</v>
      </c>
      <c r="F17" s="51">
        <v>34.31</v>
      </c>
      <c r="G17" s="50">
        <v>5.4690000000000003</v>
      </c>
      <c r="H17" s="50">
        <v>0.36609999999999998</v>
      </c>
      <c r="I17" s="50">
        <v>-11</v>
      </c>
      <c r="J17" s="49">
        <f t="shared" si="5"/>
        <v>15.347821481999999</v>
      </c>
      <c r="K17" s="50">
        <f t="shared" si="0"/>
        <v>0.6493618071686319</v>
      </c>
      <c r="L17" s="255">
        <f t="shared" si="1"/>
        <v>-852859.78200000001</v>
      </c>
      <c r="M17" s="279">
        <f t="shared" si="2"/>
        <v>84970.267200000002</v>
      </c>
      <c r="N17" s="51">
        <f>'Combustion_Chaud3 (Micro)'!C58/100</f>
        <v>0.95669999999999999</v>
      </c>
      <c r="O17" s="50">
        <f t="shared" si="6"/>
        <v>35.283224889317438</v>
      </c>
      <c r="P17" s="52">
        <f t="shared" si="7"/>
        <v>150.21180256966446</v>
      </c>
      <c r="Q17" s="285"/>
      <c r="R17" s="50">
        <f t="shared" si="3"/>
        <v>35.283224889317438</v>
      </c>
      <c r="S17" s="282">
        <f t="shared" si="8"/>
        <v>0</v>
      </c>
      <c r="T17" s="285"/>
      <c r="U17" s="50">
        <f t="shared" si="4"/>
        <v>40.233856689317435</v>
      </c>
      <c r="V17" s="282">
        <f t="shared" si="9"/>
        <v>0</v>
      </c>
      <c r="AA17" s="317"/>
      <c r="AB17" s="568"/>
    </row>
    <row r="18" spans="1:28" ht="15.6">
      <c r="A18" s="53" t="s">
        <v>99</v>
      </c>
      <c r="B18" s="19" t="s">
        <v>297</v>
      </c>
      <c r="C18" s="284">
        <v>30.09562</v>
      </c>
      <c r="D18" s="283">
        <v>6</v>
      </c>
      <c r="E18" s="282">
        <v>-1562060</v>
      </c>
      <c r="F18" s="51">
        <v>49.37</v>
      </c>
      <c r="G18" s="50">
        <v>13.92</v>
      </c>
      <c r="H18" s="50">
        <v>-5.8159999999999998</v>
      </c>
      <c r="I18" s="50">
        <v>7.28</v>
      </c>
      <c r="J18" s="49">
        <f t="shared" si="5"/>
        <v>0.4875490440000001</v>
      </c>
      <c r="K18" s="50">
        <f t="shared" si="0"/>
        <v>2.0628056474756629E-2</v>
      </c>
      <c r="L18" s="255">
        <f t="shared" si="1"/>
        <v>-25305.372000000003</v>
      </c>
      <c r="M18" s="279">
        <f t="shared" si="2"/>
        <v>2158.2288000000003</v>
      </c>
      <c r="N18" s="51">
        <f>'Combustion_Chaud3 (Micro)'!C59/100</f>
        <v>1.6200000000000003E-2</v>
      </c>
      <c r="O18" s="50">
        <f t="shared" si="6"/>
        <v>51.825659189805108</v>
      </c>
      <c r="P18" s="52">
        <f t="shared" si="7"/>
        <v>3.73611177099305</v>
      </c>
      <c r="Q18" s="285"/>
      <c r="R18" s="50">
        <f t="shared" si="3"/>
        <v>51.825659189805108</v>
      </c>
      <c r="S18" s="282">
        <f t="shared" si="8"/>
        <v>0</v>
      </c>
      <c r="T18" s="285"/>
      <c r="U18" s="50">
        <f t="shared" si="4"/>
        <v>63.231182069805101</v>
      </c>
      <c r="V18" s="282">
        <f t="shared" si="9"/>
        <v>0</v>
      </c>
      <c r="AA18" s="317"/>
      <c r="AB18" s="568"/>
    </row>
    <row r="19" spans="1:28" ht="15.6">
      <c r="A19" s="53" t="s">
        <v>100</v>
      </c>
      <c r="B19" s="19" t="s">
        <v>296</v>
      </c>
      <c r="C19" s="284">
        <v>44.095619999999997</v>
      </c>
      <c r="D19" s="283">
        <v>8</v>
      </c>
      <c r="E19" s="282">
        <v>-2220990</v>
      </c>
      <c r="F19" s="51">
        <v>68.031999999999996</v>
      </c>
      <c r="G19" s="50">
        <v>22.59</v>
      </c>
      <c r="H19" s="50">
        <v>-13.11</v>
      </c>
      <c r="I19" s="50">
        <v>31.71</v>
      </c>
      <c r="J19" s="49">
        <f t="shared" si="5"/>
        <v>6.1733868000000004E-2</v>
      </c>
      <c r="K19" s="50">
        <f t="shared" si="0"/>
        <v>2.611941775254862E-3</v>
      </c>
      <c r="L19" s="255">
        <f t="shared" si="1"/>
        <v>-3109.3860000000004</v>
      </c>
      <c r="M19" s="279">
        <f t="shared" si="2"/>
        <v>248.68480000000002</v>
      </c>
      <c r="N19" s="51">
        <f>'Combustion_Chaud3 (Micro)'!C60/100</f>
        <v>1.4000000000000002E-3</v>
      </c>
      <c r="O19" s="50">
        <f t="shared" si="6"/>
        <v>72.005488801382796</v>
      </c>
      <c r="P19" s="52">
        <f t="shared" si="7"/>
        <v>0.44859419523261485</v>
      </c>
      <c r="Q19" s="285"/>
      <c r="R19" s="50">
        <f t="shared" si="3"/>
        <v>72.005488801382796</v>
      </c>
      <c r="S19" s="282">
        <f t="shared" si="8"/>
        <v>0</v>
      </c>
      <c r="T19" s="285"/>
      <c r="U19" s="50">
        <f t="shared" si="4"/>
        <v>89.867421961382803</v>
      </c>
      <c r="V19" s="282">
        <f t="shared" si="9"/>
        <v>0</v>
      </c>
      <c r="AA19" s="317"/>
      <c r="AB19" s="568"/>
    </row>
    <row r="20" spans="1:28" ht="15.6">
      <c r="A20" s="53" t="s">
        <v>323</v>
      </c>
      <c r="B20" s="19" t="s">
        <v>322</v>
      </c>
      <c r="C20" s="284">
        <v>58.122199999999999</v>
      </c>
      <c r="D20" s="283">
        <v>10</v>
      </c>
      <c r="E20" s="286">
        <v>-2870450</v>
      </c>
      <c r="F20" s="51">
        <v>89.46</v>
      </c>
      <c r="G20" s="50">
        <v>30.13</v>
      </c>
      <c r="H20" s="50">
        <v>-18.91</v>
      </c>
      <c r="I20" s="50">
        <v>49.87</v>
      </c>
      <c r="J20" s="49">
        <f t="shared" si="5"/>
        <v>2.324888E-2</v>
      </c>
      <c r="K20" s="50">
        <f t="shared" si="0"/>
        <v>9.8365326630573758E-4</v>
      </c>
      <c r="L20" s="255">
        <f t="shared" si="1"/>
        <v>-1148.18</v>
      </c>
      <c r="M20" s="279">
        <f t="shared" si="2"/>
        <v>88.816000000000003</v>
      </c>
      <c r="N20" s="51">
        <f>'Combustion_Chaud3 (Micro)'!C61/100</f>
        <v>4.0000000000000002E-4</v>
      </c>
      <c r="O20" s="50">
        <f t="shared" si="6"/>
        <v>94.755218309944979</v>
      </c>
      <c r="P20" s="52">
        <f t="shared" si="7"/>
        <v>0.16866428859170204</v>
      </c>
      <c r="Q20" s="285"/>
      <c r="R20" s="50">
        <f t="shared" si="3"/>
        <v>94.755218309944979</v>
      </c>
      <c r="S20" s="282">
        <f t="shared" si="8"/>
        <v>0</v>
      </c>
      <c r="T20" s="285"/>
      <c r="U20" s="50">
        <f t="shared" si="4"/>
        <v>118.327318829945</v>
      </c>
      <c r="V20" s="282">
        <f t="shared" si="9"/>
        <v>0</v>
      </c>
      <c r="AA20" s="317"/>
      <c r="AB20" s="568"/>
    </row>
    <row r="21" spans="1:28" ht="15.6">
      <c r="A21" s="53" t="s">
        <v>101</v>
      </c>
      <c r="B21" s="19" t="s">
        <v>321</v>
      </c>
      <c r="C21" s="284">
        <f>C20</f>
        <v>58.122199999999999</v>
      </c>
      <c r="D21" s="283">
        <v>10</v>
      </c>
      <c r="E21" s="289">
        <v>-2879630</v>
      </c>
      <c r="F21" s="51">
        <v>92.3</v>
      </c>
      <c r="G21" s="50">
        <v>27.88</v>
      </c>
      <c r="H21" s="50">
        <v>-15.47</v>
      </c>
      <c r="I21" s="50">
        <v>34.979999999999997</v>
      </c>
      <c r="J21" s="49">
        <f t="shared" si="5"/>
        <v>1.162444E-2</v>
      </c>
      <c r="K21" s="50">
        <f t="shared" si="0"/>
        <v>4.9182663315286879E-4</v>
      </c>
      <c r="L21" s="255">
        <f t="shared" si="1"/>
        <v>-575.92600000000004</v>
      </c>
      <c r="M21" s="279">
        <f t="shared" si="2"/>
        <v>44.408000000000001</v>
      </c>
      <c r="N21" s="51">
        <f>'Combustion_Chaud3 (Micro)'!C62/100</f>
        <v>2.0000000000000001E-4</v>
      </c>
      <c r="O21" s="50">
        <f t="shared" si="6"/>
        <v>97.206232259530026</v>
      </c>
      <c r="P21" s="52">
        <f t="shared" si="7"/>
        <v>8.6513546710981701E-2</v>
      </c>
      <c r="Q21" s="285"/>
      <c r="R21" s="50">
        <f t="shared" si="3"/>
        <v>97.206232259530026</v>
      </c>
      <c r="S21" s="282">
        <f t="shared" si="8"/>
        <v>0</v>
      </c>
      <c r="T21" s="285"/>
      <c r="U21" s="50">
        <f t="shared" si="4"/>
        <v>119.37495233953004</v>
      </c>
      <c r="V21" s="282">
        <f t="shared" si="9"/>
        <v>0</v>
      </c>
      <c r="AA21" s="317"/>
      <c r="AB21" s="568"/>
    </row>
    <row r="22" spans="1:28" ht="15.6">
      <c r="A22" s="53" t="s">
        <v>320</v>
      </c>
      <c r="B22" s="19" t="s">
        <v>292</v>
      </c>
      <c r="C22" s="284">
        <v>72.148780000000002</v>
      </c>
      <c r="D22" s="283">
        <v>12</v>
      </c>
      <c r="E22" s="286">
        <v>-3531520</v>
      </c>
      <c r="F22" s="288">
        <f>F23</f>
        <v>114.8</v>
      </c>
      <c r="G22" s="287">
        <f>G23</f>
        <v>34.090000000000003</v>
      </c>
      <c r="H22" s="287">
        <f>H23</f>
        <v>-18.989999999999998</v>
      </c>
      <c r="I22" s="287">
        <f>I23</f>
        <v>42.26</v>
      </c>
      <c r="J22" s="49">
        <f t="shared" si="5"/>
        <v>0</v>
      </c>
      <c r="K22" s="50">
        <f t="shared" si="0"/>
        <v>0</v>
      </c>
      <c r="L22" s="255">
        <f t="shared" si="1"/>
        <v>0</v>
      </c>
      <c r="M22" s="279">
        <f t="shared" si="2"/>
        <v>0</v>
      </c>
      <c r="N22" s="51">
        <f>'Combustion_Chaud3 (Micro)'!C63/100</f>
        <v>0</v>
      </c>
      <c r="O22" s="50">
        <f t="shared" si="6"/>
        <v>120.79880684203513</v>
      </c>
      <c r="P22" s="52">
        <f t="shared" si="7"/>
        <v>0</v>
      </c>
      <c r="Q22" s="285"/>
      <c r="R22" s="50">
        <f t="shared" si="3"/>
        <v>120.79880684203513</v>
      </c>
      <c r="S22" s="282">
        <f t="shared" si="8"/>
        <v>0</v>
      </c>
      <c r="T22" s="285"/>
      <c r="U22" s="50">
        <f t="shared" si="4"/>
        <v>147.88865780203514</v>
      </c>
      <c r="V22" s="282">
        <f t="shared" si="9"/>
        <v>0</v>
      </c>
      <c r="AA22" s="317"/>
      <c r="AB22" s="568"/>
    </row>
    <row r="23" spans="1:28" ht="15.6">
      <c r="A23" s="53" t="s">
        <v>291</v>
      </c>
      <c r="B23" s="19" t="s">
        <v>290</v>
      </c>
      <c r="C23" s="284">
        <f>C22</f>
        <v>72.148780000000002</v>
      </c>
      <c r="D23" s="283">
        <v>12</v>
      </c>
      <c r="E23" s="286">
        <v>-3538450</v>
      </c>
      <c r="F23" s="51">
        <v>114.8</v>
      </c>
      <c r="G23" s="50">
        <v>34.090000000000003</v>
      </c>
      <c r="H23" s="50">
        <v>-18.989999999999998</v>
      </c>
      <c r="I23" s="50">
        <v>42.26</v>
      </c>
      <c r="J23" s="49">
        <f t="shared" si="5"/>
        <v>0</v>
      </c>
      <c r="K23" s="50">
        <f t="shared" si="0"/>
        <v>0</v>
      </c>
      <c r="L23" s="255">
        <f t="shared" si="1"/>
        <v>0</v>
      </c>
      <c r="M23" s="279">
        <f t="shared" si="2"/>
        <v>0</v>
      </c>
      <c r="N23" s="51">
        <f>'Combustion_Chaud3 (Micro)'!C64/100</f>
        <v>0</v>
      </c>
      <c r="O23" s="50">
        <f t="shared" si="6"/>
        <v>120.79880684203513</v>
      </c>
      <c r="P23" s="52">
        <f t="shared" si="7"/>
        <v>0</v>
      </c>
      <c r="Q23" s="285"/>
      <c r="R23" s="50">
        <f t="shared" si="3"/>
        <v>120.79880684203513</v>
      </c>
      <c r="S23" s="282">
        <f t="shared" si="8"/>
        <v>0</v>
      </c>
      <c r="T23" s="285"/>
      <c r="U23" s="50">
        <f t="shared" si="4"/>
        <v>147.88865780203514</v>
      </c>
      <c r="V23" s="282">
        <f t="shared" si="9"/>
        <v>0</v>
      </c>
      <c r="AA23" s="317"/>
      <c r="AB23" s="568"/>
    </row>
    <row r="24" spans="1:28" ht="15.6">
      <c r="A24" s="53" t="s">
        <v>289</v>
      </c>
      <c r="B24" s="19" t="s">
        <v>288</v>
      </c>
      <c r="C24" s="284">
        <v>86.175359999999998</v>
      </c>
      <c r="D24" s="283">
        <v>14</v>
      </c>
      <c r="E24" s="282">
        <v>-4198060</v>
      </c>
      <c r="F24" s="51">
        <v>137.44</v>
      </c>
      <c r="G24" s="50">
        <v>40.85</v>
      </c>
      <c r="H24" s="50">
        <v>-23.92</v>
      </c>
      <c r="I24" s="50">
        <v>57.66</v>
      </c>
      <c r="J24" s="49">
        <f t="shared" si="5"/>
        <v>0</v>
      </c>
      <c r="K24" s="50">
        <f t="shared" si="0"/>
        <v>0</v>
      </c>
      <c r="L24" s="255">
        <f t="shared" si="1"/>
        <v>0</v>
      </c>
      <c r="M24" s="279">
        <f t="shared" si="2"/>
        <v>0</v>
      </c>
      <c r="N24" s="51">
        <f>'Combustion_Chaud3 (Micro)'!C65/100</f>
        <v>0</v>
      </c>
      <c r="O24" s="50">
        <f t="shared" si="6"/>
        <v>144.62466696263243</v>
      </c>
      <c r="P24" s="52">
        <f t="shared" si="7"/>
        <v>0</v>
      </c>
      <c r="Q24" s="285"/>
      <c r="R24" s="50">
        <f t="shared" si="3"/>
        <v>144.62466696263243</v>
      </c>
      <c r="S24" s="282">
        <f t="shared" si="8"/>
        <v>0</v>
      </c>
      <c r="T24" s="285"/>
      <c r="U24" s="50">
        <f t="shared" si="4"/>
        <v>176.88391632263244</v>
      </c>
      <c r="V24" s="282">
        <f t="shared" si="9"/>
        <v>0</v>
      </c>
      <c r="AA24" s="317"/>
      <c r="AB24" s="568"/>
    </row>
    <row r="25" spans="1:28" ht="15.6">
      <c r="A25" s="53" t="s">
        <v>102</v>
      </c>
      <c r="B25" s="19" t="s">
        <v>103</v>
      </c>
      <c r="C25" s="284">
        <v>28.013400000000001</v>
      </c>
      <c r="D25" s="283">
        <v>0</v>
      </c>
      <c r="E25" s="282">
        <v>0</v>
      </c>
      <c r="F25" s="51">
        <v>29</v>
      </c>
      <c r="G25" s="50">
        <v>0.21990000000000001</v>
      </c>
      <c r="H25" s="50">
        <v>0.57230000000000003</v>
      </c>
      <c r="I25" s="50">
        <v>-2.871</v>
      </c>
      <c r="J25" s="49">
        <f t="shared" si="5"/>
        <v>0.51544656</v>
      </c>
      <c r="K25" s="50">
        <f t="shared" si="0"/>
        <v>2.1808392161259224E-2</v>
      </c>
      <c r="L25" s="255">
        <f t="shared" si="1"/>
        <v>0</v>
      </c>
      <c r="M25" s="279">
        <f t="shared" si="2"/>
        <v>0</v>
      </c>
      <c r="N25" s="51">
        <f>'Combustion_Chaud3 (Micro)'!C66/100</f>
        <v>1.84E-2</v>
      </c>
      <c r="O25" s="50">
        <f t="shared" si="6"/>
        <v>29.040906861332303</v>
      </c>
      <c r="P25" s="52">
        <f t="shared" si="7"/>
        <v>2.3778694538058889</v>
      </c>
      <c r="Q25" s="51" t="e">
        <f>'Combustion_Chaud3 (Micro)'!G87</f>
        <v>#DIV/0!</v>
      </c>
      <c r="R25" s="50">
        <f t="shared" si="3"/>
        <v>29.040906861332303</v>
      </c>
      <c r="S25" s="282" t="e">
        <f t="shared" si="8"/>
        <v>#DIV/0!</v>
      </c>
      <c r="T25" s="51" t="e">
        <f>'Combustion_Chaud3 (Micro)'!L77</f>
        <v>#DIV/0!</v>
      </c>
      <c r="U25" s="50">
        <f t="shared" si="4"/>
        <v>29.340659745332303</v>
      </c>
      <c r="V25" s="282" t="e">
        <f>T25*U25*(U$7-$B$28)</f>
        <v>#DIV/0!</v>
      </c>
      <c r="AA25" s="317"/>
      <c r="AB25" s="568"/>
    </row>
    <row r="26" spans="1:28">
      <c r="A26" s="55" t="s">
        <v>104</v>
      </c>
      <c r="B26" s="56" t="s">
        <v>105</v>
      </c>
      <c r="C26" s="281">
        <v>4.0026020000000004</v>
      </c>
      <c r="D26" s="280">
        <v>0</v>
      </c>
      <c r="E26" s="275">
        <v>0</v>
      </c>
      <c r="F26" s="59">
        <v>20.8</v>
      </c>
      <c r="G26" s="60">
        <v>0</v>
      </c>
      <c r="H26" s="60">
        <v>0</v>
      </c>
      <c r="I26" s="60">
        <v>0</v>
      </c>
      <c r="J26" s="61">
        <f t="shared" si="5"/>
        <v>1.2007806E-3</v>
      </c>
      <c r="K26" s="60">
        <f t="shared" si="0"/>
        <v>5.0804673571654341E-5</v>
      </c>
      <c r="L26" s="252">
        <f t="shared" si="1"/>
        <v>0</v>
      </c>
      <c r="M26" s="279">
        <f t="shared" si="2"/>
        <v>0</v>
      </c>
      <c r="N26" s="59">
        <f>'Combustion_Chaud3 (Micro)'!C67/100</f>
        <v>2.9999999999999997E-4</v>
      </c>
      <c r="O26" s="60">
        <f t="shared" si="6"/>
        <v>20.8</v>
      </c>
      <c r="P26" s="278">
        <f t="shared" si="7"/>
        <v>2.7767999999999994E-2</v>
      </c>
      <c r="Q26" s="277"/>
      <c r="R26" s="60">
        <f t="shared" si="3"/>
        <v>20.8</v>
      </c>
      <c r="S26" s="275">
        <f t="shared" si="8"/>
        <v>0</v>
      </c>
      <c r="T26" s="276">
        <f>L80</f>
        <v>2.9999999999999997E-4</v>
      </c>
      <c r="U26" s="60">
        <f t="shared" si="4"/>
        <v>20.8</v>
      </c>
      <c r="V26" s="275">
        <f t="shared" si="9"/>
        <v>1.150968</v>
      </c>
      <c r="AA26" s="317"/>
      <c r="AB26" s="568"/>
    </row>
    <row r="27" spans="1:28">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t="e">
        <f>SUM(Q11:Q26)</f>
        <v>#DIV/0!</v>
      </c>
      <c r="R27" s="63"/>
      <c r="S27" s="269" t="e">
        <f>SUM(S11:S26)</f>
        <v>#DIV/0!</v>
      </c>
      <c r="T27" s="64" t="e">
        <f>SUM(T11:T26)</f>
        <v>#DIV/0!</v>
      </c>
      <c r="U27" s="63"/>
      <c r="V27" s="269" t="e">
        <f>SUM(V11:V26)</f>
        <v>#DIV/0!</v>
      </c>
      <c r="AA27" s="317"/>
      <c r="AB27" s="568"/>
    </row>
    <row r="28" spans="1:28">
      <c r="A28" s="38" t="s">
        <v>319</v>
      </c>
      <c r="B28" s="268">
        <v>15.55</v>
      </c>
      <c r="C28" s="38" t="s">
        <v>318</v>
      </c>
      <c r="D28" s="38" t="s">
        <v>195</v>
      </c>
      <c r="E28" s="268">
        <v>14.73</v>
      </c>
      <c r="F28" s="19" t="s">
        <v>317</v>
      </c>
      <c r="AA28" s="317"/>
      <c r="AB28" s="568"/>
    </row>
    <row r="29" spans="1:28">
      <c r="A29" s="38"/>
      <c r="B29" s="267">
        <f>B28+273.15</f>
        <v>288.7</v>
      </c>
      <c r="C29" s="38" t="s">
        <v>316</v>
      </c>
      <c r="D29" s="38"/>
      <c r="E29" s="266">
        <f>E28/0.145038*1000</f>
        <v>101559.59127952674</v>
      </c>
      <c r="F29" s="19" t="s">
        <v>155</v>
      </c>
      <c r="J29" s="1949" t="s">
        <v>315</v>
      </c>
      <c r="K29" s="1950"/>
      <c r="L29" s="1951"/>
      <c r="AA29" s="317"/>
      <c r="AB29" s="568"/>
    </row>
    <row r="30" spans="1:28">
      <c r="A30" s="38" t="s">
        <v>314</v>
      </c>
      <c r="J30" s="265" t="s">
        <v>313</v>
      </c>
      <c r="K30" s="264" t="s">
        <v>312</v>
      </c>
      <c r="L30" s="263"/>
      <c r="N30" s="23"/>
      <c r="U30" s="24"/>
      <c r="V30" s="24"/>
      <c r="AA30" s="317"/>
      <c r="AB30" s="568"/>
    </row>
    <row r="31" spans="1:28">
      <c r="D31" s="23"/>
      <c r="J31" s="262">
        <f>K31-M27/1000</f>
        <v>795.48824120000018</v>
      </c>
      <c r="K31" s="261">
        <f>ABS(L27/1000)</f>
        <v>882.99864600000012</v>
      </c>
      <c r="L31" s="66" t="s">
        <v>107</v>
      </c>
      <c r="AA31" s="317"/>
      <c r="AB31" s="568"/>
    </row>
    <row r="32" spans="1:28">
      <c r="A32" s="38" t="s">
        <v>311</v>
      </c>
      <c r="B32" s="37">
        <v>8.3144621000000001</v>
      </c>
      <c r="C32" s="19" t="s">
        <v>310</v>
      </c>
      <c r="J32" s="256">
        <f>J31/(J27/1000)</f>
        <v>47547.797336725132</v>
      </c>
      <c r="K32" s="255">
        <f>K31/(J27/1000)</f>
        <v>52778.455411580377</v>
      </c>
      <c r="L32" s="67" t="s">
        <v>108</v>
      </c>
      <c r="AA32" s="317"/>
      <c r="AB32" s="568"/>
    </row>
    <row r="33" spans="1:28" ht="15.6">
      <c r="F33" s="24"/>
      <c r="I33" s="23"/>
      <c r="J33" s="260">
        <f>(J32/1000)*K27</f>
        <v>33.656873224180529</v>
      </c>
      <c r="K33" s="259">
        <f>(K32/1000)*K27</f>
        <v>37.359412680586914</v>
      </c>
      <c r="L33" s="67" t="s">
        <v>109</v>
      </c>
      <c r="M33" s="19" t="s">
        <v>303</v>
      </c>
      <c r="AA33" s="317"/>
      <c r="AB33" s="568"/>
    </row>
    <row r="34" spans="1:28">
      <c r="A34" s="26" t="s">
        <v>309</v>
      </c>
      <c r="F34" s="24"/>
      <c r="I34" s="23"/>
      <c r="J34" s="258"/>
      <c r="K34" s="257"/>
      <c r="L34" s="67"/>
      <c r="AA34" s="317"/>
      <c r="AB34" s="568"/>
    </row>
    <row r="35" spans="1:28" ht="15.6">
      <c r="A35" s="254" t="s">
        <v>308</v>
      </c>
      <c r="F35" s="24"/>
      <c r="I35" s="24"/>
      <c r="J35" s="256">
        <f>(J33*1000)/1.055056*0.02831685</f>
        <v>903.32326488654292</v>
      </c>
      <c r="K35" s="255">
        <f>(K33*1000)/1.055056*0.02831685</f>
        <v>1002.696430297802</v>
      </c>
      <c r="L35" s="67" t="s">
        <v>307</v>
      </c>
      <c r="M35" s="19" t="s">
        <v>303</v>
      </c>
      <c r="AA35" s="317"/>
      <c r="AB35" s="568"/>
    </row>
    <row r="36" spans="1:28" ht="15.6">
      <c r="A36" s="254" t="s">
        <v>306</v>
      </c>
      <c r="J36" s="256">
        <f>(J32/1.055056)*0.4535924</f>
        <v>20441.871814082628</v>
      </c>
      <c r="K36" s="255">
        <f>(K32/1.055056)*0.4535924</f>
        <v>22690.649840796821</v>
      </c>
      <c r="L36" s="67" t="s">
        <v>305</v>
      </c>
      <c r="AA36" s="317"/>
      <c r="AB36" s="568"/>
    </row>
    <row r="37" spans="1:28">
      <c r="A37" s="254"/>
      <c r="J37" s="253">
        <f>J35/7.480519</f>
        <v>120.75676365323621</v>
      </c>
      <c r="K37" s="252">
        <f>K35/7.480519</f>
        <v>134.04102446605668</v>
      </c>
      <c r="L37" s="70" t="s">
        <v>304</v>
      </c>
      <c r="M37" s="19" t="s">
        <v>303</v>
      </c>
      <c r="AA37" s="317"/>
      <c r="AB37" s="568"/>
    </row>
    <row r="38" spans="1:28">
      <c r="AA38" s="317"/>
      <c r="AB38" s="568"/>
    </row>
    <row r="39" spans="1:28">
      <c r="B39" s="23"/>
      <c r="F39" s="38"/>
      <c r="H39" s="71"/>
      <c r="AA39" s="317"/>
      <c r="AB39" s="568"/>
    </row>
    <row r="40" spans="1:28">
      <c r="B40" s="23"/>
      <c r="F40" s="72" t="s">
        <v>112</v>
      </c>
      <c r="H40" s="38"/>
      <c r="AA40" s="317"/>
      <c r="AB40" s="568"/>
    </row>
    <row r="41" spans="1:28">
      <c r="B41" s="23"/>
      <c r="E41" s="73" t="s">
        <v>102</v>
      </c>
      <c r="F41" s="251">
        <v>0.78995048751598307</v>
      </c>
      <c r="H41" s="38"/>
      <c r="AA41" s="317"/>
      <c r="AB41" s="568"/>
    </row>
    <row r="42" spans="1:28">
      <c r="B42" s="23"/>
      <c r="E42" s="73" t="s">
        <v>88</v>
      </c>
      <c r="F42" s="251">
        <f>1-F41</f>
        <v>0.21004951248401693</v>
      </c>
      <c r="G42" s="74"/>
      <c r="H42" s="38"/>
      <c r="AA42" s="317"/>
      <c r="AB42" s="568"/>
    </row>
    <row r="43" spans="1:28">
      <c r="A43" s="26" t="s">
        <v>113</v>
      </c>
      <c r="B43" s="23"/>
      <c r="E43" s="73" t="s">
        <v>114</v>
      </c>
      <c r="F43" s="251">
        <v>0</v>
      </c>
      <c r="G43" s="74"/>
      <c r="H43" s="38"/>
      <c r="AA43" s="317"/>
      <c r="AB43" s="568"/>
    </row>
    <row r="44" spans="1:28">
      <c r="B44" s="23"/>
      <c r="F44" s="74"/>
      <c r="G44" s="74"/>
      <c r="H44" s="75"/>
      <c r="AA44" s="317"/>
      <c r="AB44" s="568"/>
    </row>
    <row r="45" spans="1:28" ht="16.2" thickBot="1">
      <c r="B45" s="23"/>
      <c r="G45" s="68"/>
      <c r="H45" s="76"/>
      <c r="AA45" s="317"/>
      <c r="AB45" s="568"/>
    </row>
    <row r="46" spans="1:28">
      <c r="A46" s="1929" t="s">
        <v>302</v>
      </c>
      <c r="B46" s="1930"/>
      <c r="C46" s="1930"/>
      <c r="D46" s="1930"/>
      <c r="E46" s="1930"/>
      <c r="F46" s="1930"/>
      <c r="G46" s="1930"/>
      <c r="H46" s="1930"/>
      <c r="I46" s="1930"/>
      <c r="J46" s="250"/>
      <c r="AA46" s="317"/>
      <c r="AB46" s="568"/>
    </row>
    <row r="47" spans="1:28">
      <c r="A47" s="77"/>
      <c r="B47" s="37"/>
      <c r="C47" s="37"/>
      <c r="D47" s="37"/>
      <c r="E47" s="37"/>
      <c r="J47" s="248"/>
      <c r="AA47" s="317"/>
      <c r="AB47" s="568"/>
    </row>
    <row r="48" spans="1:28">
      <c r="A48" s="79"/>
      <c r="B48" s="24"/>
      <c r="C48" s="27" t="s">
        <v>115</v>
      </c>
      <c r="D48" s="1920" t="s">
        <v>301</v>
      </c>
      <c r="E48" s="1921"/>
      <c r="F48" s="1921"/>
      <c r="G48" s="1921"/>
      <c r="H48" s="1937"/>
      <c r="I48" s="249" t="s">
        <v>287</v>
      </c>
      <c r="J48" s="248"/>
      <c r="AA48" s="317"/>
      <c r="AB48" s="568"/>
    </row>
    <row r="49" spans="1:28" ht="15.6">
      <c r="A49" s="79"/>
      <c r="B49" s="24"/>
      <c r="C49" s="247" t="s">
        <v>300</v>
      </c>
      <c r="D49" s="35" t="s">
        <v>116</v>
      </c>
      <c r="E49" s="37" t="s">
        <v>117</v>
      </c>
      <c r="F49" s="37" t="s">
        <v>105</v>
      </c>
      <c r="G49" s="37" t="s">
        <v>118</v>
      </c>
      <c r="H49" s="36" t="s">
        <v>119</v>
      </c>
      <c r="I49" s="80" t="s">
        <v>120</v>
      </c>
      <c r="AA49" s="317"/>
      <c r="AB49" s="568"/>
    </row>
    <row r="50" spans="1:28">
      <c r="A50" s="81" t="s">
        <v>121</v>
      </c>
      <c r="B50" s="23"/>
      <c r="C50" s="82"/>
      <c r="D50" s="35"/>
      <c r="E50" s="37"/>
      <c r="F50" s="37"/>
      <c r="G50" s="37"/>
      <c r="H50" s="36"/>
      <c r="I50" s="83"/>
      <c r="AA50" s="317"/>
      <c r="AB50" s="568"/>
    </row>
    <row r="51" spans="1:28">
      <c r="A51" s="81"/>
      <c r="B51" s="84" t="s">
        <v>119</v>
      </c>
      <c r="C51" s="85">
        <f>SUM(C53:C67)</f>
        <v>100.00000000000001</v>
      </c>
      <c r="D51" s="86">
        <f>SUM(D53:D67)</f>
        <v>1.0020999999999998</v>
      </c>
      <c r="E51" s="87">
        <f t="shared" ref="E51:H51" si="10">SUM(E53:E67)</f>
        <v>1.9705999999999999</v>
      </c>
      <c r="F51" s="87">
        <f t="shared" si="10"/>
        <v>2.9999999999999997E-4</v>
      </c>
      <c r="G51" s="87">
        <f t="shared" si="10"/>
        <v>1.84E-2</v>
      </c>
      <c r="H51" s="88">
        <f t="shared" si="10"/>
        <v>2.9914000000000001</v>
      </c>
      <c r="I51" s="89">
        <f>SUM(I53:I67)</f>
        <v>1.9809999999999999</v>
      </c>
      <c r="AA51" s="317"/>
      <c r="AB51" s="568"/>
    </row>
    <row r="52" spans="1:28">
      <c r="A52" s="79"/>
      <c r="B52" s="23"/>
      <c r="H52" s="50"/>
      <c r="I52" s="78"/>
      <c r="AA52" s="317"/>
      <c r="AB52" s="568"/>
    </row>
    <row r="53" spans="1:28" ht="15.6">
      <c r="A53" s="79" t="s">
        <v>88</v>
      </c>
      <c r="B53" s="19" t="s">
        <v>89</v>
      </c>
      <c r="C53" s="305">
        <v>0</v>
      </c>
      <c r="D53" s="90"/>
      <c r="E53" s="90"/>
      <c r="F53" s="90"/>
      <c r="G53" s="90"/>
      <c r="H53" s="50">
        <f t="shared" ref="H53:H67" si="11">SUM(D53:G53)</f>
        <v>0</v>
      </c>
      <c r="I53" s="91">
        <f>-C53/100</f>
        <v>0</v>
      </c>
      <c r="AA53" s="317"/>
      <c r="AB53" s="568"/>
    </row>
    <row r="54" spans="1:28">
      <c r="A54" s="79" t="s">
        <v>299</v>
      </c>
      <c r="B54" s="19" t="s">
        <v>90</v>
      </c>
      <c r="C54" s="305">
        <v>0</v>
      </c>
      <c r="D54" s="90">
        <f>C54/100</f>
        <v>0</v>
      </c>
      <c r="E54" s="90"/>
      <c r="F54" s="90"/>
      <c r="G54" s="90"/>
      <c r="H54" s="50">
        <f t="shared" si="11"/>
        <v>0</v>
      </c>
      <c r="I54" s="246">
        <f>D54+E54/2</f>
        <v>0</v>
      </c>
      <c r="AA54" s="317"/>
      <c r="AB54" s="568"/>
    </row>
    <row r="55" spans="1:28" ht="15.6">
      <c r="A55" s="79" t="s">
        <v>284</v>
      </c>
      <c r="B55" s="19" t="s">
        <v>91</v>
      </c>
      <c r="C55" s="305">
        <v>0.64</v>
      </c>
      <c r="D55" s="90">
        <f>C55/100</f>
        <v>6.4000000000000003E-3</v>
      </c>
      <c r="E55" s="90"/>
      <c r="F55" s="90"/>
      <c r="G55" s="90"/>
      <c r="H55" s="50">
        <f t="shared" si="11"/>
        <v>6.4000000000000003E-3</v>
      </c>
      <c r="I55" s="91">
        <v>0</v>
      </c>
      <c r="AA55" s="317"/>
      <c r="AB55" s="568"/>
    </row>
    <row r="56" spans="1:28" ht="15.6">
      <c r="A56" s="79" t="s">
        <v>92</v>
      </c>
      <c r="B56" s="19" t="s">
        <v>93</v>
      </c>
      <c r="C56" s="305">
        <v>0</v>
      </c>
      <c r="D56" s="90"/>
      <c r="E56" s="90">
        <f>C56/100</f>
        <v>0</v>
      </c>
      <c r="F56" s="90"/>
      <c r="G56" s="90"/>
      <c r="H56" s="50">
        <f t="shared" si="11"/>
        <v>0</v>
      </c>
      <c r="I56" s="91">
        <f>D56+E56/2</f>
        <v>0</v>
      </c>
      <c r="AA56" s="317"/>
      <c r="AB56" s="568"/>
    </row>
    <row r="57" spans="1:28" ht="15.6">
      <c r="A57" s="79" t="s">
        <v>94</v>
      </c>
      <c r="B57" s="19" t="s">
        <v>298</v>
      </c>
      <c r="C57" s="305">
        <v>0</v>
      </c>
      <c r="D57" s="90"/>
      <c r="E57" s="90">
        <f>C57/100</f>
        <v>0</v>
      </c>
      <c r="F57" s="90"/>
      <c r="G57" s="90"/>
      <c r="H57" s="50">
        <f t="shared" si="11"/>
        <v>0</v>
      </c>
      <c r="I57" s="246">
        <v>0</v>
      </c>
      <c r="AA57" s="317"/>
      <c r="AB57" s="568"/>
    </row>
    <row r="58" spans="1:28" ht="15.6">
      <c r="A58" s="79" t="s">
        <v>97</v>
      </c>
      <c r="B58" s="19" t="s">
        <v>98</v>
      </c>
      <c r="C58" s="305">
        <v>95.67</v>
      </c>
      <c r="D58" s="90">
        <f>C58/100</f>
        <v>0.95669999999999999</v>
      </c>
      <c r="E58" s="90">
        <f>C58/100*2</f>
        <v>1.9134</v>
      </c>
      <c r="F58" s="90"/>
      <c r="G58" s="90"/>
      <c r="H58" s="50">
        <f t="shared" si="11"/>
        <v>2.8700999999999999</v>
      </c>
      <c r="I58" s="91">
        <f t="shared" ref="I58:I64" si="12">D58+E58/2</f>
        <v>1.9134</v>
      </c>
      <c r="AA58" s="317"/>
      <c r="AB58" s="568"/>
    </row>
    <row r="59" spans="1:28" ht="15.6">
      <c r="A59" s="79" t="s">
        <v>99</v>
      </c>
      <c r="B59" s="19" t="s">
        <v>297</v>
      </c>
      <c r="C59" s="305">
        <v>1.62</v>
      </c>
      <c r="D59" s="90">
        <f>C59*2/100</f>
        <v>3.2400000000000005E-2</v>
      </c>
      <c r="E59" s="90">
        <f>C59/100*3</f>
        <v>4.8600000000000004E-2</v>
      </c>
      <c r="F59" s="90"/>
      <c r="G59" s="90"/>
      <c r="H59" s="50">
        <f t="shared" si="11"/>
        <v>8.1000000000000016E-2</v>
      </c>
      <c r="I59" s="91">
        <f t="shared" si="12"/>
        <v>5.6700000000000007E-2</v>
      </c>
      <c r="AA59" s="317"/>
      <c r="AB59" s="568"/>
    </row>
    <row r="60" spans="1:28" ht="15.6">
      <c r="A60" s="79" t="s">
        <v>100</v>
      </c>
      <c r="B60" s="19" t="s">
        <v>296</v>
      </c>
      <c r="C60" s="305">
        <v>0.14000000000000001</v>
      </c>
      <c r="D60" s="90">
        <f>C60*3/100</f>
        <v>4.2000000000000006E-3</v>
      </c>
      <c r="E60" s="90">
        <f>C60/100*4</f>
        <v>5.6000000000000008E-3</v>
      </c>
      <c r="F60" s="90"/>
      <c r="G60" s="90"/>
      <c r="H60" s="50">
        <f t="shared" si="11"/>
        <v>9.8000000000000014E-3</v>
      </c>
      <c r="I60" s="91">
        <f t="shared" si="12"/>
        <v>7.000000000000001E-3</v>
      </c>
      <c r="AA60" s="317"/>
      <c r="AB60" s="568"/>
    </row>
    <row r="61" spans="1:28" ht="15.6">
      <c r="A61" s="79" t="s">
        <v>295</v>
      </c>
      <c r="B61" s="19" t="s">
        <v>294</v>
      </c>
      <c r="C61" s="305">
        <v>0.04</v>
      </c>
      <c r="D61" s="90">
        <f>C61*4/100</f>
        <v>1.6000000000000001E-3</v>
      </c>
      <c r="E61" s="90">
        <f>C61/100*5</f>
        <v>2E-3</v>
      </c>
      <c r="F61" s="90"/>
      <c r="G61" s="90"/>
      <c r="H61" s="50">
        <f t="shared" si="11"/>
        <v>3.5999999999999999E-3</v>
      </c>
      <c r="I61" s="91">
        <f t="shared" si="12"/>
        <v>2.5999999999999999E-3</v>
      </c>
      <c r="AA61" s="317"/>
      <c r="AB61" s="568"/>
    </row>
    <row r="62" spans="1:28" ht="15.6">
      <c r="A62" s="79" t="s">
        <v>101</v>
      </c>
      <c r="B62" s="19" t="s">
        <v>294</v>
      </c>
      <c r="C62" s="305">
        <v>0.02</v>
      </c>
      <c r="D62" s="90">
        <f>C62*4/100</f>
        <v>8.0000000000000004E-4</v>
      </c>
      <c r="E62" s="90">
        <f>C62/100*5</f>
        <v>1E-3</v>
      </c>
      <c r="F62" s="90"/>
      <c r="G62" s="90"/>
      <c r="H62" s="50">
        <f t="shared" si="11"/>
        <v>1.8E-3</v>
      </c>
      <c r="I62" s="91">
        <f t="shared" si="12"/>
        <v>1.2999999999999999E-3</v>
      </c>
      <c r="AA62" s="317"/>
      <c r="AB62" s="568"/>
    </row>
    <row r="63" spans="1:28" ht="15.6">
      <c r="A63" s="53" t="s">
        <v>293</v>
      </c>
      <c r="B63" s="19" t="s">
        <v>292</v>
      </c>
      <c r="C63" s="305">
        <v>0</v>
      </c>
      <c r="D63" s="90">
        <f>C63*5/100</f>
        <v>0</v>
      </c>
      <c r="E63" s="90">
        <f>C63/100*6</f>
        <v>0</v>
      </c>
      <c r="F63" s="90"/>
      <c r="G63" s="90"/>
      <c r="H63" s="50">
        <f t="shared" si="11"/>
        <v>0</v>
      </c>
      <c r="I63" s="91">
        <f t="shared" si="12"/>
        <v>0</v>
      </c>
      <c r="AA63" s="317"/>
      <c r="AB63" s="568"/>
    </row>
    <row r="64" spans="1:28" ht="15.6">
      <c r="A64" s="53" t="s">
        <v>291</v>
      </c>
      <c r="B64" s="19" t="s">
        <v>290</v>
      </c>
      <c r="C64" s="305">
        <v>0</v>
      </c>
      <c r="D64" s="90">
        <f>C64*5/100</f>
        <v>0</v>
      </c>
      <c r="E64" s="90">
        <f>C64/100*6</f>
        <v>0</v>
      </c>
      <c r="F64" s="90"/>
      <c r="G64" s="90"/>
      <c r="H64" s="50">
        <f t="shared" si="11"/>
        <v>0</v>
      </c>
      <c r="I64" s="91">
        <f t="shared" si="12"/>
        <v>0</v>
      </c>
      <c r="AA64" s="317"/>
      <c r="AB64" s="568"/>
    </row>
    <row r="65" spans="1:28" ht="15.6">
      <c r="A65" s="53" t="s">
        <v>289</v>
      </c>
      <c r="B65" s="19" t="s">
        <v>288</v>
      </c>
      <c r="C65" s="305">
        <v>0</v>
      </c>
      <c r="D65" s="90">
        <f>C65*6/100</f>
        <v>0</v>
      </c>
      <c r="E65" s="90">
        <f>C65/100*7</f>
        <v>0</v>
      </c>
      <c r="F65" s="90"/>
      <c r="G65" s="90"/>
      <c r="H65" s="50">
        <f t="shared" si="11"/>
        <v>0</v>
      </c>
      <c r="I65" s="91">
        <f>D65+E65/2</f>
        <v>0</v>
      </c>
      <c r="AA65" s="317"/>
      <c r="AB65" s="568"/>
    </row>
    <row r="66" spans="1:28" ht="15.6">
      <c r="A66" s="79" t="s">
        <v>102</v>
      </c>
      <c r="B66" s="19" t="s">
        <v>103</v>
      </c>
      <c r="C66" s="305">
        <v>1.84</v>
      </c>
      <c r="D66" s="90"/>
      <c r="E66" s="90"/>
      <c r="G66" s="90">
        <f>C66/100</f>
        <v>1.84E-2</v>
      </c>
      <c r="H66" s="50">
        <f t="shared" si="11"/>
        <v>1.84E-2</v>
      </c>
      <c r="I66" s="91">
        <v>0</v>
      </c>
      <c r="AA66" s="317"/>
      <c r="AB66" s="568"/>
    </row>
    <row r="67" spans="1:28" ht="13.8" thickBot="1">
      <c r="A67" s="92" t="s">
        <v>104</v>
      </c>
      <c r="B67" s="93" t="s">
        <v>105</v>
      </c>
      <c r="C67" s="306">
        <v>0.03</v>
      </c>
      <c r="D67" s="95"/>
      <c r="E67" s="95"/>
      <c r="F67" s="95">
        <f>C67/100</f>
        <v>2.9999999999999997E-4</v>
      </c>
      <c r="G67" s="93"/>
      <c r="H67" s="96">
        <f t="shared" si="11"/>
        <v>2.9999999999999997E-4</v>
      </c>
      <c r="I67" s="97">
        <v>0</v>
      </c>
      <c r="AA67" s="317"/>
      <c r="AB67" s="568"/>
    </row>
    <row r="68" spans="1:28">
      <c r="B68" s="23"/>
      <c r="AA68" s="317"/>
      <c r="AB68" s="568"/>
    </row>
    <row r="69" spans="1:28" ht="13.8" thickBot="1">
      <c r="B69" s="23"/>
      <c r="C69" s="375" t="s">
        <v>420</v>
      </c>
      <c r="D69" s="37"/>
      <c r="E69" s="98"/>
      <c r="F69" s="98"/>
      <c r="G69" s="98"/>
      <c r="H69" s="98"/>
      <c r="I69" s="98"/>
      <c r="J69" s="98"/>
      <c r="AA69" s="317"/>
      <c r="AB69" s="568"/>
    </row>
    <row r="70" spans="1:28">
      <c r="A70" s="1929" t="s">
        <v>122</v>
      </c>
      <c r="B70" s="1930"/>
      <c r="C70" s="1930"/>
      <c r="D70" s="1930"/>
      <c r="E70" s="1930"/>
      <c r="F70" s="1930"/>
      <c r="G70" s="1931"/>
      <c r="H70" s="98"/>
      <c r="I70" s="1929" t="s">
        <v>123</v>
      </c>
      <c r="J70" s="1930"/>
      <c r="K70" s="1930"/>
      <c r="L70" s="1930"/>
      <c r="M70" s="1930"/>
      <c r="N70" s="1931"/>
      <c r="AA70" s="317"/>
      <c r="AB70" s="568"/>
    </row>
    <row r="71" spans="1:28">
      <c r="A71" s="99"/>
      <c r="C71" s="37"/>
      <c r="D71" s="1920" t="s">
        <v>124</v>
      </c>
      <c r="E71" s="1921"/>
      <c r="F71" s="1921"/>
      <c r="G71" s="1922"/>
      <c r="H71" s="98"/>
      <c r="I71" s="79"/>
      <c r="K71" s="37"/>
      <c r="L71" s="1923" t="s">
        <v>124</v>
      </c>
      <c r="M71" s="1924"/>
      <c r="N71" s="1925"/>
      <c r="AA71" s="317"/>
      <c r="AB71" s="568"/>
    </row>
    <row r="72" spans="1:28" ht="15.6">
      <c r="A72" s="99"/>
      <c r="C72" s="23"/>
      <c r="D72" s="35" t="s">
        <v>125</v>
      </c>
      <c r="E72" s="37" t="s">
        <v>126</v>
      </c>
      <c r="F72" s="37" t="s">
        <v>127</v>
      </c>
      <c r="G72" s="100" t="s">
        <v>128</v>
      </c>
      <c r="H72" s="90"/>
      <c r="I72" s="79"/>
      <c r="K72" s="37"/>
      <c r="L72" s="53"/>
      <c r="M72" s="1924" t="s">
        <v>129</v>
      </c>
      <c r="N72" s="1925"/>
      <c r="AA72" s="317"/>
      <c r="AB72" s="568"/>
    </row>
    <row r="73" spans="1:28" ht="26.4">
      <c r="A73" s="79"/>
      <c r="C73" s="23"/>
      <c r="D73" s="55" t="b">
        <v>1</v>
      </c>
      <c r="E73" s="304"/>
      <c r="F73" s="56"/>
      <c r="G73" s="101"/>
      <c r="H73" s="90"/>
      <c r="I73" s="77"/>
      <c r="K73" s="37"/>
      <c r="L73" s="245" t="s">
        <v>287</v>
      </c>
      <c r="M73" s="40" t="s">
        <v>130</v>
      </c>
      <c r="N73" s="102" t="s">
        <v>131</v>
      </c>
      <c r="AA73" s="317"/>
      <c r="AB73" s="568"/>
    </row>
    <row r="74" spans="1:28">
      <c r="A74" s="79"/>
      <c r="C74" s="23"/>
      <c r="D74" s="65">
        <f>IF(D73,1,"-")</f>
        <v>1</v>
      </c>
      <c r="E74" s="65" t="str">
        <f>IF(E73,2,"-")</f>
        <v>-</v>
      </c>
      <c r="F74" s="65" t="str">
        <f>IF(F73,3,"-")</f>
        <v>-</v>
      </c>
      <c r="G74" s="103">
        <f>AVERAGE(D74:F74)</f>
        <v>1</v>
      </c>
      <c r="H74" s="90"/>
      <c r="I74" s="77"/>
      <c r="K74" s="37"/>
      <c r="L74" s="37"/>
      <c r="N74" s="78"/>
      <c r="AA74" s="317"/>
      <c r="AB74" s="568"/>
    </row>
    <row r="75" spans="1:28">
      <c r="A75" s="81" t="s">
        <v>132</v>
      </c>
      <c r="C75" s="23"/>
      <c r="D75" s="244" t="e">
        <f>D83/D80</f>
        <v>#DIV/0!</v>
      </c>
      <c r="E75" s="371"/>
      <c r="F75" s="244" t="e">
        <f>F82/F79</f>
        <v>#DIV/0!</v>
      </c>
      <c r="G75" s="238" t="e">
        <f>INDEX(D75:F75,G$74)</f>
        <v>#DIV/0!</v>
      </c>
      <c r="H75" s="244"/>
      <c r="I75" s="81" t="s">
        <v>119</v>
      </c>
      <c r="K75" s="239" t="s">
        <v>286</v>
      </c>
      <c r="L75" s="105" t="e">
        <f>SUM(L77:L81)</f>
        <v>#DIV/0!</v>
      </c>
      <c r="M75" s="243" t="e">
        <f>SUM(M77:M81)</f>
        <v>#DIV/0!</v>
      </c>
      <c r="N75" s="242" t="e">
        <f>SUM(N77:N81)</f>
        <v>#DIV/0!</v>
      </c>
      <c r="AA75" s="317"/>
      <c r="AB75" s="568"/>
    </row>
    <row r="76" spans="1:28" ht="14.4">
      <c r="A76" s="79" t="s">
        <v>133</v>
      </c>
      <c r="C76" s="23"/>
      <c r="D76" s="223" t="e">
        <f>'Micromodulation et sonde O2'!F51</f>
        <v>#DIV/0!</v>
      </c>
      <c r="E76" s="222">
        <f>E82/(E79*($F$41/$F$42)+H51-E51+E82/$F$42)</f>
        <v>0</v>
      </c>
      <c r="F76" s="241" t="e">
        <f>F82/(F79*($F$41/$F$42)+H51-E51+F82/$F$42)</f>
        <v>#DIV/0!</v>
      </c>
      <c r="G76" s="240" t="e">
        <f>INDEX(D76:F76,G$74)</f>
        <v>#DIV/0!</v>
      </c>
      <c r="H76" s="106"/>
      <c r="I76" s="77"/>
      <c r="K76" s="239"/>
      <c r="L76" s="37"/>
      <c r="N76" s="78"/>
      <c r="AA76" s="317"/>
      <c r="AB76" s="568"/>
    </row>
    <row r="77" spans="1:28" ht="14.4">
      <c r="A77" s="79" t="s">
        <v>285</v>
      </c>
      <c r="C77" s="23"/>
      <c r="D77" s="222" t="e">
        <f>$N$78</f>
        <v>#DIV/0!</v>
      </c>
      <c r="E77" s="222" t="e">
        <f>N78</f>
        <v>#DIV/0!</v>
      </c>
      <c r="F77" s="319"/>
      <c r="G77" s="238" t="e">
        <f>INDEX(D77:F77,G$74)</f>
        <v>#DIV/0!</v>
      </c>
      <c r="H77" s="222"/>
      <c r="I77" s="79" t="s">
        <v>102</v>
      </c>
      <c r="K77" s="237" t="s">
        <v>276</v>
      </c>
      <c r="L77" s="50" t="e">
        <f>G87</f>
        <v>#DIV/0!</v>
      </c>
      <c r="M77" s="222" t="e">
        <f t="shared" ref="M77:M82" si="13">L77/$L$75</f>
        <v>#DIV/0!</v>
      </c>
      <c r="N77" s="236" t="e">
        <f>L77/($L$75-$L$81)</f>
        <v>#DIV/0!</v>
      </c>
      <c r="AA77" s="317"/>
      <c r="AB77" s="568"/>
    </row>
    <row r="78" spans="1:28" ht="14.4">
      <c r="A78" s="79"/>
      <c r="C78" s="23"/>
      <c r="F78" s="37"/>
      <c r="G78" s="107"/>
      <c r="H78" s="106"/>
      <c r="I78" s="79" t="s">
        <v>284</v>
      </c>
      <c r="K78" s="237" t="s">
        <v>276</v>
      </c>
      <c r="L78" s="50">
        <f>D51</f>
        <v>1.0020999999999998</v>
      </c>
      <c r="M78" s="222" t="e">
        <f t="shared" si="13"/>
        <v>#DIV/0!</v>
      </c>
      <c r="N78" s="236" t="e">
        <f>L78/($L$75-$L$81)</f>
        <v>#DIV/0!</v>
      </c>
      <c r="AA78" s="317"/>
      <c r="AB78" s="568"/>
    </row>
    <row r="79" spans="1:28"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t="e">
        <f>G82</f>
        <v>#DIV/0!</v>
      </c>
      <c r="M79" s="222" t="e">
        <f t="shared" si="13"/>
        <v>#DIV/0!</v>
      </c>
      <c r="N79" s="236" t="e">
        <f>L79/($L$75-$L$81)</f>
        <v>#DIV/0!</v>
      </c>
      <c r="AA79" s="317"/>
      <c r="AB79" s="568"/>
    </row>
    <row r="80" spans="1:28"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t="e">
        <f t="shared" si="13"/>
        <v>#DIV/0!</v>
      </c>
      <c r="N80" s="236" t="e">
        <f>L80/($L$75-$L$81)</f>
        <v>#DIV/0!</v>
      </c>
      <c r="AA80" s="317"/>
      <c r="AB80" s="568"/>
    </row>
    <row r="81" spans="1:28" ht="14.4">
      <c r="A81" s="79"/>
      <c r="C81" s="23"/>
      <c r="D81" s="50"/>
      <c r="E81" s="108"/>
      <c r="F81" s="105"/>
      <c r="G81" s="109"/>
      <c r="H81" s="50"/>
      <c r="I81" s="79" t="s">
        <v>135</v>
      </c>
      <c r="K81" s="237" t="s">
        <v>276</v>
      </c>
      <c r="L81" s="50" t="e">
        <f>G89+E51</f>
        <v>#DIV/0!</v>
      </c>
      <c r="M81" s="222" t="e">
        <f t="shared" si="13"/>
        <v>#DIV/0!</v>
      </c>
      <c r="N81" s="236">
        <v>0</v>
      </c>
      <c r="AA81" s="317"/>
      <c r="AB81" s="568"/>
    </row>
    <row r="82" spans="1:28" ht="14.4">
      <c r="A82" s="79" t="s">
        <v>134</v>
      </c>
      <c r="C82" s="23" t="s">
        <v>276</v>
      </c>
      <c r="D82" s="50" t="e">
        <f>D76/(1-D76/$F$42)*(($H$51-$E$51)+D79*$F$41/$F$42)</f>
        <v>#DIV/0!</v>
      </c>
      <c r="E82" s="50">
        <f>E79*$E$75</f>
        <v>0</v>
      </c>
      <c r="F82" s="90" t="e">
        <f>(D51/F77-(H51-E51)-F79*(F41/F42))/(1+F41/F42)</f>
        <v>#DIV/0!</v>
      </c>
      <c r="G82" s="230" t="e">
        <f>INDEX(D82:F82,G$74)</f>
        <v>#DIV/0!</v>
      </c>
      <c r="H82" s="50"/>
      <c r="I82" s="110" t="s">
        <v>137</v>
      </c>
      <c r="J82" s="111"/>
      <c r="K82" s="235" t="s">
        <v>276</v>
      </c>
      <c r="L82" s="112" t="e">
        <f>L92</f>
        <v>#DIV/0!</v>
      </c>
      <c r="M82" s="234" t="e">
        <f t="shared" si="13"/>
        <v>#DIV/0!</v>
      </c>
      <c r="N82" s="233">
        <v>1</v>
      </c>
      <c r="AA82" s="317"/>
      <c r="AB82" s="568"/>
    </row>
    <row r="83" spans="1:28" ht="14.4">
      <c r="A83" s="79" t="s">
        <v>136</v>
      </c>
      <c r="C83" s="23" t="s">
        <v>276</v>
      </c>
      <c r="D83" s="50" t="e">
        <f>D82/F42</f>
        <v>#DIV/0!</v>
      </c>
      <c r="E83" s="50">
        <f>E80*$E$75</f>
        <v>0</v>
      </c>
      <c r="F83" s="50" t="e">
        <f>F82/F42</f>
        <v>#DIV/0!</v>
      </c>
      <c r="G83" s="230" t="e">
        <f>INDEX(D83:F83,G$74)</f>
        <v>#DIV/0!</v>
      </c>
      <c r="H83" s="50"/>
      <c r="I83" s="79" t="s">
        <v>281</v>
      </c>
      <c r="K83" s="23" t="s">
        <v>138</v>
      </c>
      <c r="L83" s="50"/>
      <c r="M83" s="50" t="e">
        <f>M77*$C$12+M78*$C$13+M79*$C$11+M80*$C$26+M81*$C$15</f>
        <v>#DIV/0!</v>
      </c>
      <c r="N83" s="78"/>
      <c r="O83" s="113"/>
      <c r="AA83" s="317"/>
      <c r="AB83" s="568"/>
    </row>
    <row r="84" spans="1:28">
      <c r="A84" s="79"/>
      <c r="C84" s="23"/>
      <c r="F84" s="37"/>
      <c r="G84" s="109"/>
      <c r="I84" s="79"/>
      <c r="N84" s="78"/>
      <c r="AA84" s="317"/>
      <c r="AB84" s="568"/>
    </row>
    <row r="85" spans="1:28">
      <c r="A85" s="81" t="s">
        <v>139</v>
      </c>
      <c r="C85" s="37" t="s">
        <v>276</v>
      </c>
      <c r="D85" s="105" t="e">
        <f>SUM(D87:D89)</f>
        <v>#DIV/0!</v>
      </c>
      <c r="E85" s="105">
        <f>SUM(E87:E89)</f>
        <v>9.4420021956276443</v>
      </c>
      <c r="F85" s="105" t="e">
        <f>SUM(F87:F89)</f>
        <v>#DIV/0!</v>
      </c>
      <c r="G85" s="230" t="e">
        <f>INDEX(D85:F85,G$74)</f>
        <v>#DIV/0!</v>
      </c>
      <c r="H85" s="105"/>
      <c r="I85" s="81" t="s">
        <v>140</v>
      </c>
      <c r="K85" s="23"/>
      <c r="L85" s="37" t="e">
        <f>IF(L87&lt;L88,"VRAI","FAUX")</f>
        <v>#DIV/0!</v>
      </c>
      <c r="N85" s="78"/>
      <c r="AA85" s="317"/>
      <c r="AB85" s="568"/>
    </row>
    <row r="86" spans="1:28">
      <c r="A86" s="79"/>
      <c r="G86" s="114"/>
      <c r="I86" s="79" t="s">
        <v>141</v>
      </c>
      <c r="K86" s="23" t="s">
        <v>142</v>
      </c>
      <c r="L86" s="50" t="e">
        <f>E51+G89</f>
        <v>#DIV/0!</v>
      </c>
      <c r="N86" s="78"/>
      <c r="AA86" s="317"/>
      <c r="AB86" s="568"/>
    </row>
    <row r="87" spans="1:28" ht="15.6">
      <c r="A87" s="225" t="s">
        <v>102</v>
      </c>
      <c r="C87" s="228" t="s">
        <v>276</v>
      </c>
      <c r="D87" s="232" t="e">
        <f>D88*($F$41/$F$42)</f>
        <v>#DIV/0!</v>
      </c>
      <c r="E87" s="232">
        <f>E88*($F$41/$F$42)</f>
        <v>7.4501097253831423</v>
      </c>
      <c r="F87" s="232" t="e">
        <f>F88*($F$41/$F$42)</f>
        <v>#DIV/0!</v>
      </c>
      <c r="G87" s="230" t="e">
        <f>INDEX(D87:F87,G$74)</f>
        <v>#DIV/0!</v>
      </c>
      <c r="H87" s="50"/>
      <c r="I87" s="79" t="s">
        <v>143</v>
      </c>
      <c r="K87" s="116" t="s">
        <v>264</v>
      </c>
      <c r="L87" s="117">
        <f>U7</f>
        <v>200</v>
      </c>
      <c r="M87" s="24"/>
      <c r="N87" s="78"/>
      <c r="AA87" s="317"/>
      <c r="AB87" s="568"/>
    </row>
    <row r="88" spans="1:28" ht="15.6">
      <c r="A88" s="225" t="s">
        <v>88</v>
      </c>
      <c r="C88" s="228" t="s">
        <v>276</v>
      </c>
      <c r="D88" s="232" t="e">
        <f>D79+D82</f>
        <v>#DIV/0!</v>
      </c>
      <c r="E88" s="232">
        <f>E79+E82</f>
        <v>1.9809999999999999</v>
      </c>
      <c r="F88" s="231" t="e">
        <f>F79+F82</f>
        <v>#DIV/0!</v>
      </c>
      <c r="G88" s="230" t="e">
        <f>INDEX(D88:F88,G$74)</f>
        <v>#DIV/0!</v>
      </c>
      <c r="H88" s="50"/>
      <c r="I88" s="79" t="s">
        <v>144</v>
      </c>
      <c r="K88" s="116" t="s">
        <v>264</v>
      </c>
      <c r="L88" s="229" t="e">
        <f>'Combustion_Chaud3 (Micro)'!C136</f>
        <v>#DIV/0!</v>
      </c>
      <c r="N88" s="78"/>
      <c r="AA88" s="317"/>
      <c r="AB88" s="568"/>
    </row>
    <row r="89" spans="1:28" ht="15.6">
      <c r="A89" s="225" t="s">
        <v>145</v>
      </c>
      <c r="C89" s="228" t="s">
        <v>276</v>
      </c>
      <c r="D89" s="227" t="e">
        <f>'Combustion_Chaud3 (Micro)'!$C$115*('Combustion_Chaud3 (Micro)'!D80+'Combustion_Chaud3 (Micro)'!D83)</f>
        <v>#DIV/0!</v>
      </c>
      <c r="E89" s="227">
        <f>'Combustion_Chaud3 (Micro)'!$C$115*'Combustion_Chaud3 (Micro)'!E80</f>
        <v>1.089247024450259E-2</v>
      </c>
      <c r="F89" s="227">
        <f>'Combustion_Chaud3 (Micro)'!$C$115*'Combustion_Chaud3 (Micro)'!F80</f>
        <v>1.089247024450259E-2</v>
      </c>
      <c r="G89" s="226" t="e">
        <f>INDEX(D89:F89,G$74)</f>
        <v>#DIV/0!</v>
      </c>
      <c r="H89" s="50"/>
      <c r="I89" s="79" t="s">
        <v>280</v>
      </c>
      <c r="K89" s="23" t="s">
        <v>279</v>
      </c>
      <c r="L89" s="50" t="e">
        <f>($E$29*(M83/1000))/($B$32*(L87+273.15))</f>
        <v>#DIV/0!</v>
      </c>
      <c r="N89" s="118"/>
      <c r="AA89" s="317"/>
      <c r="AB89" s="568"/>
    </row>
    <row r="90" spans="1:28" ht="15.6">
      <c r="A90" s="225"/>
      <c r="C90" s="23"/>
      <c r="D90" s="50"/>
      <c r="F90" s="37"/>
      <c r="G90" s="119"/>
      <c r="H90" s="50"/>
      <c r="I90" s="79" t="s">
        <v>278</v>
      </c>
      <c r="K90" s="23" t="s">
        <v>142</v>
      </c>
      <c r="L90" s="224" t="e">
        <f>'Combustion_Chaud3 (Micro)'!C129</f>
        <v>#DIV/0!</v>
      </c>
      <c r="M90" s="19" t="s">
        <v>146</v>
      </c>
      <c r="N90" s="118"/>
      <c r="AA90" s="317"/>
      <c r="AB90" s="568"/>
    </row>
    <row r="91" spans="1:28">
      <c r="A91" s="81" t="s">
        <v>147</v>
      </c>
      <c r="C91" s="23"/>
      <c r="D91" s="50"/>
      <c r="F91" s="37"/>
      <c r="G91" s="119"/>
      <c r="H91" s="50"/>
      <c r="I91" s="79" t="s">
        <v>148</v>
      </c>
      <c r="K91" s="23" t="s">
        <v>142</v>
      </c>
      <c r="L91" s="224" t="e">
        <f>'Combustion_Chaud3 (Micro)'!C140</f>
        <v>#DIV/0!</v>
      </c>
      <c r="M91" s="19" t="s">
        <v>277</v>
      </c>
      <c r="N91" s="118"/>
      <c r="AA91" s="317"/>
      <c r="AB91" s="568"/>
    </row>
    <row r="92" spans="1:28" ht="15" thickBot="1">
      <c r="A92" s="79" t="s">
        <v>149</v>
      </c>
      <c r="C92" s="23"/>
      <c r="D92" s="223">
        <f>Hypothèses!D26</f>
        <v>0.05</v>
      </c>
      <c r="E92" s="222"/>
      <c r="F92" s="222"/>
      <c r="G92" s="119"/>
      <c r="H92" s="222"/>
      <c r="I92" s="92"/>
      <c r="J92" s="93"/>
      <c r="K92" s="221" t="s">
        <v>276</v>
      </c>
      <c r="L92" s="220" t="e">
        <f>'Combustion_Chaud3 (Micro)'!C141</f>
        <v>#DIV/0!</v>
      </c>
      <c r="M92" s="93"/>
      <c r="N92" s="94"/>
      <c r="AA92" s="317"/>
      <c r="AB92" s="568"/>
    </row>
    <row r="93" spans="1:28" ht="16.8" thickBot="1">
      <c r="A93" s="92" t="s">
        <v>144</v>
      </c>
      <c r="B93" s="93"/>
      <c r="C93" s="120" t="s">
        <v>264</v>
      </c>
      <c r="D93" s="219" t="e">
        <f>IF(D92&lt;&gt;0,'Combustion_Chaud3 (Micro)'!$C$119,"-")</f>
        <v>#N/A</v>
      </c>
      <c r="E93" s="218"/>
      <c r="F93" s="218"/>
      <c r="G93" s="121"/>
      <c r="H93" s="90"/>
      <c r="AA93" s="317"/>
      <c r="AB93" s="568"/>
    </row>
    <row r="94" spans="1:28" ht="16.2">
      <c r="A94" s="19" t="s">
        <v>275</v>
      </c>
      <c r="B94" s="116"/>
      <c r="C94" s="217">
        <v>28.96546</v>
      </c>
      <c r="D94" s="215" t="s">
        <v>138</v>
      </c>
      <c r="E94" s="216"/>
      <c r="F94" s="122"/>
      <c r="G94" s="98"/>
      <c r="H94" s="98"/>
      <c r="AA94" s="317"/>
      <c r="AB94" s="568"/>
    </row>
    <row r="95" spans="1:28">
      <c r="G95" s="98"/>
      <c r="AA95" s="317"/>
      <c r="AB95" s="568"/>
    </row>
    <row r="96" spans="1:28">
      <c r="G96" s="98"/>
      <c r="AA96" s="317"/>
      <c r="AB96" s="568"/>
    </row>
    <row r="97" spans="1:28">
      <c r="G97" s="98"/>
      <c r="AA97" s="317"/>
      <c r="AB97" s="568"/>
    </row>
    <row r="98" spans="1:28">
      <c r="G98" s="98"/>
      <c r="AA98" s="317"/>
      <c r="AB98" s="568"/>
    </row>
    <row r="99" spans="1:28">
      <c r="G99" s="98"/>
      <c r="AA99" s="317"/>
      <c r="AB99" s="568"/>
    </row>
    <row r="100" spans="1:28">
      <c r="G100" s="98"/>
      <c r="AA100" s="317"/>
      <c r="AB100" s="568"/>
    </row>
    <row r="101" spans="1:28">
      <c r="A101" s="26" t="s">
        <v>274</v>
      </c>
      <c r="G101" s="98"/>
    </row>
    <row r="102" spans="1:28">
      <c r="G102" s="98"/>
    </row>
    <row r="103" spans="1:28">
      <c r="A103" s="123" t="s">
        <v>150</v>
      </c>
      <c r="B103" s="57"/>
      <c r="C103" s="57"/>
      <c r="D103" s="57"/>
      <c r="E103" s="23"/>
      <c r="F103" s="26" t="s">
        <v>151</v>
      </c>
      <c r="G103" s="26"/>
    </row>
    <row r="104" spans="1:28" ht="15.6">
      <c r="A104" s="19" t="s">
        <v>152</v>
      </c>
      <c r="B104" s="23" t="s">
        <v>273</v>
      </c>
      <c r="C104" s="320">
        <v>0</v>
      </c>
      <c r="D104" s="214" t="s">
        <v>272</v>
      </c>
      <c r="E104" s="23"/>
      <c r="F104" s="37" t="s">
        <v>153</v>
      </c>
      <c r="G104" s="37" t="s">
        <v>154</v>
      </c>
      <c r="H104" s="37" t="s">
        <v>153</v>
      </c>
    </row>
    <row r="105" spans="1:28">
      <c r="A105" s="19" t="s">
        <v>271</v>
      </c>
      <c r="B105" s="23" t="s">
        <v>155</v>
      </c>
      <c r="C105" s="321">
        <v>101325</v>
      </c>
      <c r="D105" s="23"/>
      <c r="E105" s="23"/>
      <c r="F105" s="23">
        <v>0</v>
      </c>
      <c r="G105" s="24">
        <v>610.48326959999986</v>
      </c>
      <c r="H105" s="23">
        <f t="shared" ref="H105:H168" si="14">F105</f>
        <v>0</v>
      </c>
    </row>
    <row r="106" spans="1:28">
      <c r="A106" s="19" t="s">
        <v>270</v>
      </c>
      <c r="B106" s="23" t="s">
        <v>155</v>
      </c>
      <c r="C106" s="213">
        <f>C105*EXP(-'Combustion_Chaud3 (Micro)'!C94/1000*9.80665/'Combustion_Chaud3 (Micro)'!B32/'Combustion_Chaud3 (Micro)'!B29*C104)</f>
        <v>101325</v>
      </c>
      <c r="D106" s="213"/>
      <c r="E106" s="213"/>
      <c r="F106" s="23">
        <v>2</v>
      </c>
      <c r="G106" s="24">
        <v>705.80878559999985</v>
      </c>
      <c r="H106" s="23">
        <f t="shared" si="14"/>
        <v>2</v>
      </c>
    </row>
    <row r="107" spans="1:28">
      <c r="B107" s="23"/>
      <c r="C107" s="23"/>
      <c r="D107" s="213"/>
      <c r="E107" s="23"/>
      <c r="F107" s="23">
        <v>4</v>
      </c>
      <c r="G107" s="24">
        <v>813.39996239999994</v>
      </c>
      <c r="H107" s="23">
        <f t="shared" si="14"/>
        <v>4</v>
      </c>
    </row>
    <row r="108" spans="1:28">
      <c r="A108" s="123" t="s">
        <v>122</v>
      </c>
      <c r="B108" s="57"/>
      <c r="C108" s="57"/>
      <c r="D108" s="57"/>
      <c r="E108" s="23"/>
      <c r="F108" s="23">
        <v>6</v>
      </c>
      <c r="G108" s="24">
        <v>934.98999119999985</v>
      </c>
      <c r="H108" s="23">
        <f t="shared" si="14"/>
        <v>6</v>
      </c>
    </row>
    <row r="109" spans="1:28" ht="15.6">
      <c r="A109" s="19" t="s">
        <v>156</v>
      </c>
      <c r="B109" s="116" t="s">
        <v>264</v>
      </c>
      <c r="C109" s="212">
        <f>R7</f>
        <v>20</v>
      </c>
      <c r="D109" s="23"/>
      <c r="E109" s="23"/>
      <c r="F109" s="23">
        <v>8</v>
      </c>
      <c r="G109" s="24">
        <v>1072.5787079999998</v>
      </c>
      <c r="H109" s="23">
        <f t="shared" si="14"/>
        <v>8</v>
      </c>
    </row>
    <row r="110" spans="1:28">
      <c r="A110" s="19" t="s">
        <v>149</v>
      </c>
      <c r="B110" s="23"/>
      <c r="C110" s="211">
        <f>D92</f>
        <v>0.05</v>
      </c>
      <c r="D110" s="23"/>
      <c r="E110" s="23"/>
      <c r="F110" s="23">
        <v>10</v>
      </c>
      <c r="G110" s="24">
        <v>1227.7659815999998</v>
      </c>
      <c r="H110" s="23">
        <f t="shared" si="14"/>
        <v>10</v>
      </c>
    </row>
    <row r="111" spans="1:28">
      <c r="B111" s="23"/>
      <c r="C111" s="23"/>
      <c r="D111" s="23"/>
      <c r="E111" s="23"/>
      <c r="F111" s="23">
        <v>12</v>
      </c>
      <c r="G111" s="24">
        <v>1402.2850031999999</v>
      </c>
      <c r="H111" s="23">
        <f t="shared" si="14"/>
        <v>12</v>
      </c>
    </row>
    <row r="112" spans="1:28">
      <c r="A112" s="19" t="s">
        <v>157</v>
      </c>
      <c r="B112" s="23" t="s">
        <v>155</v>
      </c>
      <c r="C112" s="24">
        <f>IF(C109&lt;0,0.09*6895,G197)</f>
        <v>2337.8082839999997</v>
      </c>
      <c r="D112" s="23"/>
      <c r="E112" s="23"/>
      <c r="F112" s="23">
        <v>14</v>
      </c>
      <c r="G112" s="24">
        <v>1598.1356087999998</v>
      </c>
      <c r="H112" s="23">
        <f t="shared" si="14"/>
        <v>14</v>
      </c>
    </row>
    <row r="113" spans="1:8">
      <c r="A113" s="19" t="s">
        <v>158</v>
      </c>
      <c r="B113" s="23" t="s">
        <v>155</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159</v>
      </c>
      <c r="B115" s="23" t="s">
        <v>160</v>
      </c>
      <c r="C115" s="50">
        <f>C113/(C106-C113)</f>
        <v>1.1549510674429225E-3</v>
      </c>
      <c r="D115" s="23"/>
      <c r="E115" s="23"/>
      <c r="F115" s="23">
        <v>20</v>
      </c>
      <c r="G115" s="24">
        <v>2337.8082839999997</v>
      </c>
      <c r="H115" s="23">
        <f t="shared" si="14"/>
        <v>20</v>
      </c>
    </row>
    <row r="116" spans="1:8">
      <c r="A116" s="19" t="s">
        <v>159</v>
      </c>
      <c r="B116" s="23" t="s">
        <v>161</v>
      </c>
      <c r="C116" s="50">
        <f>C115*'Combustion_Chaud3 (Micro)'!$C$15/'Combustion_Chaud3 (Micro)'!$C$94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162</v>
      </c>
      <c r="B118" s="23" t="s">
        <v>160</v>
      </c>
      <c r="C118" s="50">
        <f>C113/C106</f>
        <v>1.153618694300518E-3</v>
      </c>
      <c r="D118" s="23"/>
      <c r="E118" s="23"/>
      <c r="F118" s="23">
        <v>26</v>
      </c>
      <c r="G118" s="24">
        <v>3360.9243815999998</v>
      </c>
      <c r="H118" s="23">
        <f t="shared" si="14"/>
        <v>26</v>
      </c>
    </row>
    <row r="119" spans="1:8" ht="15.6">
      <c r="A119" s="19" t="s">
        <v>163</v>
      </c>
      <c r="B119" s="116" t="s">
        <v>264</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123</v>
      </c>
      <c r="B121" s="57"/>
      <c r="C121" s="57"/>
      <c r="D121" s="57"/>
      <c r="E121" s="23"/>
      <c r="F121" s="23">
        <v>32</v>
      </c>
      <c r="G121" s="24">
        <v>4754.6767511999988</v>
      </c>
      <c r="H121" s="23">
        <f t="shared" si="14"/>
        <v>32</v>
      </c>
    </row>
    <row r="122" spans="1:8" ht="15.6">
      <c r="A122" s="19" t="s">
        <v>156</v>
      </c>
      <c r="B122" s="116" t="s">
        <v>264</v>
      </c>
      <c r="C122" s="117">
        <f>U7</f>
        <v>200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164</v>
      </c>
      <c r="B124" s="23" t="s">
        <v>86</v>
      </c>
      <c r="C124" s="301" t="e">
        <f>'Combustion_Chaud3 (Micro)'!L75</f>
        <v>#DIV/0!</v>
      </c>
      <c r="D124" s="23"/>
      <c r="E124" s="23"/>
      <c r="F124" s="23">
        <v>38</v>
      </c>
      <c r="G124" s="24">
        <v>6625.0567007999998</v>
      </c>
      <c r="H124" s="23">
        <f t="shared" si="14"/>
        <v>38</v>
      </c>
    </row>
    <row r="125" spans="1:8" ht="15.6">
      <c r="A125" s="19" t="s">
        <v>269</v>
      </c>
      <c r="B125" s="23" t="s">
        <v>86</v>
      </c>
      <c r="C125" s="302" t="e">
        <f>'Combustion_Chaud3 (Micro)'!L86</f>
        <v>#DIV/0!</v>
      </c>
      <c r="D125" s="124" t="s">
        <v>165</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166</v>
      </c>
      <c r="B127" s="23" t="s">
        <v>155</v>
      </c>
      <c r="C127" s="24" t="e">
        <f>C132*C106</f>
        <v>#DIV/0!</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267</v>
      </c>
      <c r="B129" s="23" t="s">
        <v>160</v>
      </c>
      <c r="C129" s="50" t="e">
        <f>C125/(C124-C125)</f>
        <v>#DIV/0!</v>
      </c>
      <c r="D129" s="37" t="s">
        <v>268</v>
      </c>
      <c r="E129" s="23"/>
      <c r="F129" s="23">
        <v>48</v>
      </c>
      <c r="G129" s="24">
        <v>11160.418103999998</v>
      </c>
      <c r="H129" s="23">
        <f t="shared" si="14"/>
        <v>48</v>
      </c>
    </row>
    <row r="130" spans="1:8">
      <c r="A130" s="19" t="s">
        <v>267</v>
      </c>
      <c r="B130" s="23" t="s">
        <v>161</v>
      </c>
      <c r="C130" s="50" t="e">
        <f>C129*'Combustion_Chaud3 (Micro)'!$C$15/D130</f>
        <v>#DIV/0!</v>
      </c>
      <c r="D130" s="125" t="e">
        <f>('Combustion_Chaud3 (Micro)'!M77*'Combustion_Chaud3 (Micro)'!$C$25+'Combustion_Chaud3 (Micro)'!M78*'Combustion_Chaud3 (Micro)'!$C$13+'Combustion_Chaud3 (Micro)'!M79*'Combustion_Chaud3 (Micro)'!$C$11+'Combustion_Chaud3 (Micro)'!M80*'Combustion_Chaud3 (Micro)'!$C$26)</f>
        <v>#DIV/0!</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266</v>
      </c>
      <c r="B132" s="23" t="s">
        <v>160</v>
      </c>
      <c r="C132" s="50" t="e">
        <f>C125/C124</f>
        <v>#DIV/0!</v>
      </c>
      <c r="D132" s="23"/>
      <c r="E132" s="23"/>
      <c r="F132" s="23">
        <v>60</v>
      </c>
      <c r="G132" s="24">
        <v>19915.700111999999</v>
      </c>
      <c r="H132" s="23">
        <f t="shared" si="14"/>
        <v>60</v>
      </c>
    </row>
    <row r="133" spans="1:8">
      <c r="A133" s="19" t="s">
        <v>265</v>
      </c>
      <c r="B133" s="23" t="s">
        <v>160</v>
      </c>
      <c r="C133" s="115" t="e">
        <f>C132*C124</f>
        <v>#DIV/0!</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148</v>
      </c>
      <c r="B135" s="23"/>
      <c r="C135" s="37" t="e">
        <f>IF(C136&gt;C122,"VRAI","FAUX")</f>
        <v>#DIV/0!</v>
      </c>
      <c r="D135" s="23"/>
      <c r="E135" s="23"/>
      <c r="F135" s="23">
        <v>75</v>
      </c>
      <c r="G135" s="24">
        <v>38543.505839999998</v>
      </c>
      <c r="H135" s="23">
        <f t="shared" si="14"/>
        <v>75</v>
      </c>
    </row>
    <row r="136" spans="1:8" ht="15.6">
      <c r="A136" s="19" t="s">
        <v>144</v>
      </c>
      <c r="B136" s="116" t="s">
        <v>264</v>
      </c>
      <c r="C136" s="115" t="e">
        <f>F209</f>
        <v>#DIV/0!</v>
      </c>
      <c r="D136" s="23"/>
      <c r="E136" s="23"/>
      <c r="F136" s="23">
        <v>80</v>
      </c>
      <c r="G136" s="24">
        <v>47342.784240000001</v>
      </c>
      <c r="H136" s="23">
        <f t="shared" si="14"/>
        <v>80</v>
      </c>
    </row>
    <row r="137" spans="1:8">
      <c r="B137" s="23"/>
      <c r="C137" s="23"/>
      <c r="D137" s="23"/>
      <c r="E137" s="23"/>
      <c r="F137" s="23">
        <v>85</v>
      </c>
      <c r="G137" s="24">
        <v>57808.592639999995</v>
      </c>
      <c r="H137" s="23">
        <f t="shared" si="14"/>
        <v>85</v>
      </c>
    </row>
    <row r="138" spans="1:8">
      <c r="A138" s="124" t="s">
        <v>157</v>
      </c>
      <c r="B138" s="23" t="s">
        <v>155</v>
      </c>
      <c r="C138" s="24">
        <f>G215</f>
        <v>1553800</v>
      </c>
      <c r="D138" s="23"/>
      <c r="E138" s="23"/>
      <c r="F138" s="23">
        <v>90</v>
      </c>
      <c r="G138" s="24">
        <v>70095.585023999985</v>
      </c>
      <c r="H138" s="23">
        <f t="shared" si="14"/>
        <v>90</v>
      </c>
    </row>
    <row r="139" spans="1:8">
      <c r="A139" s="23" t="s">
        <v>167</v>
      </c>
      <c r="B139" s="23" t="s">
        <v>263</v>
      </c>
      <c r="C139" s="50" t="e">
        <f>IF(C135,C138/C106,"-")</f>
        <v>#DIV/0!</v>
      </c>
      <c r="D139" s="23"/>
      <c r="E139" s="23"/>
      <c r="F139" s="23">
        <v>91</v>
      </c>
      <c r="G139" s="24">
        <v>72800.696519999983</v>
      </c>
      <c r="H139" s="23">
        <f t="shared" si="14"/>
        <v>91</v>
      </c>
    </row>
    <row r="140" spans="1:8">
      <c r="A140" s="23" t="s">
        <v>148</v>
      </c>
      <c r="B140" s="23" t="s">
        <v>263</v>
      </c>
      <c r="C140" s="50" t="e">
        <f>IF(C135,C132-C139,0)</f>
        <v>#DIV/0!</v>
      </c>
      <c r="D140" s="23"/>
      <c r="E140" s="23"/>
      <c r="F140" s="23">
        <v>92</v>
      </c>
      <c r="G140" s="24">
        <v>75592.467575999995</v>
      </c>
      <c r="H140" s="23">
        <f t="shared" si="14"/>
        <v>92</v>
      </c>
    </row>
    <row r="141" spans="1:8">
      <c r="A141" s="23" t="s">
        <v>148</v>
      </c>
      <c r="B141" s="23" t="s">
        <v>86</v>
      </c>
      <c r="C141" s="50" t="e">
        <f>IF(C135,C140*C124,0)</f>
        <v>#DIV/0!</v>
      </c>
      <c r="D141" s="23"/>
      <c r="E141" s="23"/>
      <c r="F141" s="23">
        <v>93</v>
      </c>
      <c r="G141" s="24">
        <v>78473.564639999997</v>
      </c>
      <c r="H141" s="23">
        <f t="shared" si="14"/>
        <v>93</v>
      </c>
    </row>
    <row r="142" spans="1:8">
      <c r="A142" s="23" t="s">
        <v>148</v>
      </c>
      <c r="B142" s="23" t="s">
        <v>168</v>
      </c>
      <c r="C142" s="68" t="e">
        <f>IF(C135,C141*'Combustion_Chaud3 (Micro)'!$C$15,0)</f>
        <v>#DIV/0!</v>
      </c>
      <c r="D142" s="23"/>
      <c r="E142" s="23"/>
      <c r="F142" s="23">
        <v>94</v>
      </c>
      <c r="G142" s="24">
        <v>81446.654159999991</v>
      </c>
      <c r="H142" s="23">
        <f t="shared" si="14"/>
        <v>94</v>
      </c>
    </row>
    <row r="143" spans="1:8">
      <c r="B143" s="23"/>
      <c r="C143" s="23"/>
      <c r="D143" s="23"/>
      <c r="E143" s="23"/>
      <c r="F143" s="23">
        <v>95</v>
      </c>
      <c r="G143" s="24">
        <v>84513.069359999994</v>
      </c>
      <c r="H143" s="23">
        <f t="shared" si="14"/>
        <v>95</v>
      </c>
    </row>
    <row r="144" spans="1:8" ht="14.4">
      <c r="A144" s="19" t="s">
        <v>262</v>
      </c>
      <c r="B144" s="23"/>
      <c r="C144" s="126" t="e">
        <f>IF(C135,1,IF(C122&lt;100,C127/C138,"N / A"))</f>
        <v>#DIV/0!</v>
      </c>
      <c r="D144" s="23"/>
      <c r="E144" s="23"/>
      <c r="F144" s="23">
        <v>96</v>
      </c>
      <c r="G144" s="24">
        <v>87675.476687999995</v>
      </c>
      <c r="H144" s="23">
        <f t="shared" si="14"/>
        <v>96</v>
      </c>
    </row>
    <row r="145" spans="2:8">
      <c r="B145" s="23"/>
      <c r="C145" s="23"/>
      <c r="D145" s="23"/>
      <c r="E145" s="23"/>
      <c r="F145" s="23">
        <v>97</v>
      </c>
      <c r="G145" s="24">
        <v>90935.209367999996</v>
      </c>
      <c r="H145" s="23">
        <f t="shared" si="14"/>
        <v>97</v>
      </c>
    </row>
    <row r="146" spans="2:8">
      <c r="B146" s="23"/>
      <c r="C146" s="23"/>
      <c r="D146" s="23"/>
      <c r="E146" s="23"/>
      <c r="F146" s="23">
        <v>98</v>
      </c>
      <c r="G146" s="24">
        <v>94294.933847999986</v>
      </c>
      <c r="H146" s="23">
        <f t="shared" si="14"/>
        <v>98</v>
      </c>
    </row>
    <row r="147" spans="2:8">
      <c r="B147" s="23"/>
      <c r="C147" s="23"/>
      <c r="D147" s="23"/>
      <c r="E147" s="23"/>
      <c r="F147" s="23">
        <v>99</v>
      </c>
      <c r="G147" s="24">
        <v>97757.316575999997</v>
      </c>
      <c r="H147" s="23">
        <f t="shared" si="14"/>
        <v>99</v>
      </c>
    </row>
    <row r="148" spans="2:8">
      <c r="B148" s="23"/>
      <c r="C148" s="23"/>
      <c r="D148" s="23"/>
      <c r="E148" s="23"/>
      <c r="F148" s="23">
        <v>100</v>
      </c>
      <c r="G148" s="24">
        <v>101325.02399999999</v>
      </c>
      <c r="H148" s="23">
        <f t="shared" si="14"/>
        <v>100</v>
      </c>
    </row>
    <row r="149" spans="2:8">
      <c r="B149" s="23"/>
      <c r="C149" s="23"/>
      <c r="D149" s="23"/>
      <c r="E149" s="23"/>
      <c r="F149" s="23">
        <v>105</v>
      </c>
      <c r="G149" s="24">
        <v>120820</v>
      </c>
      <c r="H149" s="23">
        <f t="shared" si="14"/>
        <v>105</v>
      </c>
    </row>
    <row r="150" spans="2:8">
      <c r="B150" s="23"/>
      <c r="C150" s="23"/>
      <c r="D150" s="23"/>
      <c r="E150" s="23"/>
      <c r="F150" s="23">
        <v>110</v>
      </c>
      <c r="G150" s="24">
        <v>143270</v>
      </c>
      <c r="H150" s="23">
        <f t="shared" si="14"/>
        <v>110</v>
      </c>
    </row>
    <row r="151" spans="2:8">
      <c r="B151" s="23"/>
      <c r="C151" s="23"/>
      <c r="D151" s="23"/>
      <c r="E151" s="23"/>
      <c r="F151" s="23">
        <v>115</v>
      </c>
      <c r="G151" s="24">
        <v>169060</v>
      </c>
      <c r="H151" s="23">
        <f t="shared" si="14"/>
        <v>115</v>
      </c>
    </row>
    <row r="152" spans="2:8">
      <c r="B152" s="23"/>
      <c r="C152" s="23"/>
      <c r="D152" s="23"/>
      <c r="E152" s="23"/>
      <c r="F152" s="23">
        <v>120</v>
      </c>
      <c r="G152" s="24">
        <v>198530</v>
      </c>
      <c r="H152" s="23">
        <f t="shared" si="14"/>
        <v>120</v>
      </c>
    </row>
    <row r="153" spans="2:8">
      <c r="B153" s="23"/>
      <c r="C153" s="23"/>
      <c r="D153" s="23"/>
      <c r="E153" s="23"/>
      <c r="F153" s="23">
        <v>125</v>
      </c>
      <c r="G153" s="24">
        <v>232100</v>
      </c>
      <c r="H153" s="23">
        <f t="shared" si="14"/>
        <v>125</v>
      </c>
    </row>
    <row r="154" spans="2:8">
      <c r="B154" s="23"/>
      <c r="C154" s="23"/>
      <c r="D154" s="23"/>
      <c r="E154" s="23"/>
      <c r="F154" s="23">
        <v>130</v>
      </c>
      <c r="G154" s="24">
        <v>270100</v>
      </c>
      <c r="H154" s="23">
        <f t="shared" si="14"/>
        <v>130</v>
      </c>
    </row>
    <row r="155" spans="2:8">
      <c r="B155" s="23"/>
      <c r="C155" s="23"/>
      <c r="D155" s="23"/>
      <c r="E155" s="23"/>
      <c r="F155" s="23">
        <v>135</v>
      </c>
      <c r="G155" s="24">
        <v>313000</v>
      </c>
      <c r="H155" s="23">
        <f t="shared" si="14"/>
        <v>135</v>
      </c>
    </row>
    <row r="156" spans="2:8">
      <c r="B156" s="23"/>
      <c r="C156" s="23"/>
      <c r="D156" s="23"/>
      <c r="E156" s="23"/>
      <c r="F156" s="23">
        <v>140</v>
      </c>
      <c r="G156" s="24">
        <v>361300</v>
      </c>
      <c r="H156" s="23">
        <f t="shared" si="14"/>
        <v>140</v>
      </c>
    </row>
    <row r="157" spans="2:8">
      <c r="B157" s="23"/>
      <c r="C157" s="23"/>
      <c r="D157" s="23"/>
      <c r="E157" s="23"/>
      <c r="F157" s="23">
        <v>145</v>
      </c>
      <c r="G157" s="24">
        <v>415400</v>
      </c>
      <c r="H157" s="23">
        <f t="shared" si="14"/>
        <v>145</v>
      </c>
    </row>
    <row r="158" spans="2:8">
      <c r="B158" s="23"/>
      <c r="C158" s="23"/>
      <c r="D158" s="23"/>
      <c r="E158" s="23"/>
      <c r="F158" s="23">
        <v>150</v>
      </c>
      <c r="G158" s="24">
        <v>475800</v>
      </c>
      <c r="H158" s="23">
        <f t="shared" si="14"/>
        <v>150</v>
      </c>
    </row>
    <row r="159" spans="2:8">
      <c r="B159" s="23"/>
      <c r="C159" s="23"/>
      <c r="D159" s="23"/>
      <c r="E159" s="23"/>
      <c r="F159" s="23">
        <v>155</v>
      </c>
      <c r="G159" s="24">
        <v>543100</v>
      </c>
      <c r="H159" s="23">
        <f t="shared" si="14"/>
        <v>155</v>
      </c>
    </row>
    <row r="160" spans="2:8">
      <c r="B160" s="23"/>
      <c r="C160" s="23"/>
      <c r="D160" s="23"/>
      <c r="E160" s="23"/>
      <c r="F160" s="23">
        <v>160</v>
      </c>
      <c r="G160" s="24">
        <v>617800</v>
      </c>
      <c r="H160" s="23">
        <f t="shared" si="14"/>
        <v>160</v>
      </c>
    </row>
    <row r="161" spans="2:8">
      <c r="B161" s="23"/>
      <c r="C161" s="23"/>
      <c r="D161" s="23"/>
      <c r="E161" s="23"/>
      <c r="F161" s="23">
        <v>165</v>
      </c>
      <c r="G161" s="24">
        <v>700500</v>
      </c>
      <c r="H161" s="23">
        <f t="shared" si="14"/>
        <v>165</v>
      </c>
    </row>
    <row r="162" spans="2:8">
      <c r="B162" s="23"/>
      <c r="C162" s="23"/>
      <c r="D162" s="23"/>
      <c r="E162" s="23"/>
      <c r="F162" s="23">
        <v>170</v>
      </c>
      <c r="G162" s="24">
        <v>791700</v>
      </c>
      <c r="H162" s="23">
        <f t="shared" si="14"/>
        <v>170</v>
      </c>
    </row>
    <row r="163" spans="2:8">
      <c r="B163" s="23"/>
      <c r="C163" s="23"/>
      <c r="D163" s="23"/>
      <c r="E163" s="23"/>
      <c r="F163" s="23">
        <v>175</v>
      </c>
      <c r="G163" s="24">
        <v>892000</v>
      </c>
      <c r="H163" s="23">
        <f t="shared" si="14"/>
        <v>175</v>
      </c>
    </row>
    <row r="164" spans="2:8">
      <c r="B164" s="23"/>
      <c r="C164" s="23"/>
      <c r="D164" s="23"/>
      <c r="E164" s="23"/>
      <c r="F164" s="23">
        <v>180</v>
      </c>
      <c r="G164" s="24">
        <v>1002100</v>
      </c>
      <c r="H164" s="23">
        <f t="shared" si="14"/>
        <v>180</v>
      </c>
    </row>
    <row r="165" spans="2:8">
      <c r="B165" s="23"/>
      <c r="C165" s="23"/>
      <c r="D165" s="23"/>
      <c r="E165" s="23"/>
      <c r="F165" s="23">
        <v>185</v>
      </c>
      <c r="G165" s="24">
        <v>1122700</v>
      </c>
      <c r="H165" s="23">
        <f t="shared" si="14"/>
        <v>185</v>
      </c>
    </row>
    <row r="166" spans="2:8">
      <c r="B166" s="23"/>
      <c r="C166" s="23"/>
      <c r="D166" s="23"/>
      <c r="E166" s="23"/>
      <c r="F166" s="23">
        <v>190</v>
      </c>
      <c r="G166" s="24">
        <v>1254400</v>
      </c>
      <c r="H166" s="23">
        <f t="shared" si="14"/>
        <v>190</v>
      </c>
    </row>
    <row r="167" spans="2:8">
      <c r="B167" s="23"/>
      <c r="C167" s="23"/>
      <c r="D167" s="23"/>
      <c r="E167" s="23"/>
      <c r="F167" s="23">
        <v>195</v>
      </c>
      <c r="G167" s="24">
        <v>1397800</v>
      </c>
      <c r="H167" s="23">
        <f t="shared" si="14"/>
        <v>195</v>
      </c>
    </row>
    <row r="168" spans="2:8">
      <c r="B168" s="23"/>
      <c r="C168" s="23"/>
      <c r="D168" s="23"/>
      <c r="E168" s="23"/>
      <c r="F168" s="23">
        <v>200</v>
      </c>
      <c r="G168" s="24">
        <v>1553800</v>
      </c>
      <c r="H168" s="23">
        <f t="shared" si="14"/>
        <v>200</v>
      </c>
    </row>
    <row r="169" spans="2:8">
      <c r="B169" s="23"/>
      <c r="C169" s="23"/>
      <c r="D169" s="23"/>
      <c r="E169" s="23"/>
      <c r="F169" s="23">
        <v>205</v>
      </c>
      <c r="G169" s="24">
        <v>1723000</v>
      </c>
      <c r="H169" s="23">
        <f t="shared" ref="H169:H192" si="15">F169</f>
        <v>205</v>
      </c>
    </row>
    <row r="170" spans="2:8">
      <c r="B170" s="23"/>
      <c r="C170" s="23"/>
      <c r="D170" s="23"/>
      <c r="E170" s="23"/>
      <c r="F170" s="23">
        <v>210</v>
      </c>
      <c r="G170" s="24">
        <v>1906200</v>
      </c>
      <c r="H170" s="23">
        <f t="shared" si="15"/>
        <v>210</v>
      </c>
    </row>
    <row r="171" spans="2:8">
      <c r="B171" s="23"/>
      <c r="C171" s="23"/>
      <c r="D171" s="23"/>
      <c r="E171" s="23"/>
      <c r="F171" s="23">
        <v>215</v>
      </c>
      <c r="G171" s="24">
        <v>2104000</v>
      </c>
      <c r="H171" s="23">
        <f t="shared" si="15"/>
        <v>215</v>
      </c>
    </row>
    <row r="172" spans="2:8">
      <c r="B172" s="23"/>
      <c r="C172" s="23"/>
      <c r="D172" s="23"/>
      <c r="E172" s="23"/>
      <c r="F172" s="23">
        <v>220</v>
      </c>
      <c r="G172" s="24">
        <v>2318000</v>
      </c>
      <c r="H172" s="23">
        <f t="shared" si="15"/>
        <v>220</v>
      </c>
    </row>
    <row r="173" spans="2:8">
      <c r="B173" s="23"/>
      <c r="C173" s="23"/>
      <c r="D173" s="23"/>
      <c r="E173" s="23"/>
      <c r="F173" s="23">
        <v>225</v>
      </c>
      <c r="G173" s="24">
        <v>2548000</v>
      </c>
      <c r="H173" s="23">
        <f t="shared" si="15"/>
        <v>225</v>
      </c>
    </row>
    <row r="174" spans="2:8">
      <c r="B174" s="23"/>
      <c r="C174" s="23"/>
      <c r="D174" s="23"/>
      <c r="E174" s="23"/>
      <c r="F174" s="23">
        <v>230</v>
      </c>
      <c r="G174" s="24">
        <v>2795000</v>
      </c>
      <c r="H174" s="23">
        <f t="shared" si="15"/>
        <v>230</v>
      </c>
    </row>
    <row r="175" spans="2:8">
      <c r="B175" s="23"/>
      <c r="C175" s="23"/>
      <c r="D175" s="23"/>
      <c r="E175" s="23"/>
      <c r="F175" s="23">
        <v>235</v>
      </c>
      <c r="G175" s="24">
        <v>3060000</v>
      </c>
      <c r="H175" s="23">
        <f t="shared" si="15"/>
        <v>235</v>
      </c>
    </row>
    <row r="176" spans="2:8">
      <c r="B176" s="23"/>
      <c r="C176" s="23"/>
      <c r="D176" s="23"/>
      <c r="E176" s="23"/>
      <c r="F176" s="23">
        <v>240</v>
      </c>
      <c r="G176" s="24">
        <v>3344000</v>
      </c>
      <c r="H176" s="23">
        <f t="shared" si="15"/>
        <v>240</v>
      </c>
    </row>
    <row r="177" spans="2:8">
      <c r="B177" s="23"/>
      <c r="C177" s="23"/>
      <c r="D177" s="23"/>
      <c r="E177" s="23"/>
      <c r="F177" s="23">
        <v>245</v>
      </c>
      <c r="G177" s="24">
        <v>3648000</v>
      </c>
      <c r="H177" s="23">
        <f t="shared" si="15"/>
        <v>245</v>
      </c>
    </row>
    <row r="178" spans="2:8">
      <c r="B178" s="23"/>
      <c r="C178" s="23"/>
      <c r="D178" s="23"/>
      <c r="E178" s="23"/>
      <c r="F178" s="23">
        <v>250</v>
      </c>
      <c r="G178" s="24">
        <v>3973000</v>
      </c>
      <c r="H178" s="23">
        <f t="shared" si="15"/>
        <v>250</v>
      </c>
    </row>
    <row r="179" spans="2:8">
      <c r="B179" s="23"/>
      <c r="C179" s="23"/>
      <c r="D179" s="23"/>
      <c r="E179" s="23"/>
      <c r="F179" s="23">
        <v>255</v>
      </c>
      <c r="G179" s="24">
        <v>4319000</v>
      </c>
      <c r="H179" s="23">
        <f t="shared" si="15"/>
        <v>255</v>
      </c>
    </row>
    <row r="180" spans="2:8">
      <c r="B180" s="23"/>
      <c r="C180" s="23"/>
      <c r="D180" s="23"/>
      <c r="E180" s="23"/>
      <c r="F180" s="23">
        <v>260</v>
      </c>
      <c r="G180" s="24">
        <v>4688000</v>
      </c>
      <c r="H180" s="23">
        <f t="shared" si="15"/>
        <v>260</v>
      </c>
    </row>
    <row r="181" spans="2:8">
      <c r="B181" s="23"/>
      <c r="C181" s="23"/>
      <c r="D181" s="23"/>
      <c r="E181" s="23"/>
      <c r="F181" s="23">
        <v>265</v>
      </c>
      <c r="G181" s="24">
        <v>5081000</v>
      </c>
      <c r="H181" s="23">
        <f t="shared" si="15"/>
        <v>265</v>
      </c>
    </row>
    <row r="182" spans="2:8">
      <c r="B182" s="23"/>
      <c r="C182" s="23"/>
      <c r="D182" s="23"/>
      <c r="E182" s="23"/>
      <c r="F182" s="23">
        <v>270</v>
      </c>
      <c r="G182" s="24">
        <v>5499000</v>
      </c>
      <c r="H182" s="23">
        <f t="shared" si="15"/>
        <v>270</v>
      </c>
    </row>
    <row r="183" spans="2:8">
      <c r="B183" s="23"/>
      <c r="C183" s="23"/>
      <c r="D183" s="23"/>
      <c r="E183" s="23"/>
      <c r="F183" s="23">
        <v>275</v>
      </c>
      <c r="G183" s="24">
        <v>5942000</v>
      </c>
      <c r="H183" s="23">
        <f t="shared" si="15"/>
        <v>275</v>
      </c>
    </row>
    <row r="184" spans="2:8">
      <c r="B184" s="23"/>
      <c r="C184" s="23"/>
      <c r="D184" s="23"/>
      <c r="E184" s="23"/>
      <c r="F184" s="23">
        <v>280</v>
      </c>
      <c r="G184" s="24">
        <v>6412000</v>
      </c>
      <c r="H184" s="23">
        <f t="shared" si="15"/>
        <v>280</v>
      </c>
    </row>
    <row r="185" spans="2:8">
      <c r="B185" s="23"/>
      <c r="C185" s="23"/>
      <c r="D185" s="23"/>
      <c r="E185" s="23"/>
      <c r="F185" s="23">
        <v>285</v>
      </c>
      <c r="G185" s="24">
        <v>6909000</v>
      </c>
      <c r="H185" s="23">
        <f t="shared" si="15"/>
        <v>285</v>
      </c>
    </row>
    <row r="186" spans="2:8">
      <c r="B186" s="23"/>
      <c r="C186" s="23"/>
      <c r="D186" s="23"/>
      <c r="E186" s="23"/>
      <c r="F186" s="23">
        <v>290</v>
      </c>
      <c r="G186" s="24">
        <v>7436000</v>
      </c>
      <c r="H186" s="23">
        <f t="shared" si="15"/>
        <v>290</v>
      </c>
    </row>
    <row r="187" spans="2:8">
      <c r="B187" s="23"/>
      <c r="C187" s="23"/>
      <c r="D187" s="23"/>
      <c r="E187" s="23"/>
      <c r="F187" s="23">
        <v>295</v>
      </c>
      <c r="G187" s="24">
        <v>7993000</v>
      </c>
      <c r="H187" s="23">
        <f t="shared" si="15"/>
        <v>295</v>
      </c>
    </row>
    <row r="188" spans="2:8">
      <c r="B188" s="23"/>
      <c r="C188" s="23"/>
      <c r="D188" s="23"/>
      <c r="E188" s="23"/>
      <c r="F188" s="23">
        <v>300</v>
      </c>
      <c r="G188" s="24">
        <v>8581000</v>
      </c>
      <c r="H188" s="23">
        <f t="shared" si="15"/>
        <v>300</v>
      </c>
    </row>
    <row r="189" spans="2:8">
      <c r="B189" s="23"/>
      <c r="C189" s="23"/>
      <c r="D189" s="23"/>
      <c r="E189" s="23"/>
      <c r="F189" s="23">
        <v>320</v>
      </c>
      <c r="G189" s="23">
        <v>11274000</v>
      </c>
      <c r="H189" s="23">
        <f t="shared" si="15"/>
        <v>320</v>
      </c>
    </row>
    <row r="190" spans="2:8">
      <c r="B190" s="23"/>
      <c r="C190" s="23"/>
      <c r="D190" s="23"/>
      <c r="E190" s="23"/>
      <c r="F190" s="23">
        <v>340</v>
      </c>
      <c r="G190" s="23">
        <v>14586000</v>
      </c>
      <c r="H190" s="23">
        <f t="shared" si="15"/>
        <v>340</v>
      </c>
    </row>
    <row r="191" spans="2:8">
      <c r="B191" s="23"/>
      <c r="C191" s="23"/>
      <c r="D191" s="23"/>
      <c r="E191" s="23"/>
      <c r="F191" s="23">
        <v>360</v>
      </c>
      <c r="G191" s="23">
        <v>18651000</v>
      </c>
      <c r="H191" s="23">
        <f t="shared" si="15"/>
        <v>360</v>
      </c>
    </row>
    <row r="192" spans="2:8">
      <c r="B192" s="23"/>
      <c r="C192" s="23"/>
      <c r="D192" s="23"/>
      <c r="E192" s="23"/>
      <c r="F192" s="24">
        <v>374.14</v>
      </c>
      <c r="G192" s="24">
        <v>22090000</v>
      </c>
      <c r="H192" s="24">
        <f t="shared" si="15"/>
        <v>374.14</v>
      </c>
    </row>
    <row r="193" spans="2:8">
      <c r="B193" s="23"/>
      <c r="C193" s="23"/>
      <c r="D193" s="23"/>
      <c r="E193" s="23"/>
      <c r="F193" s="23"/>
      <c r="G193" s="23"/>
      <c r="H193" s="23"/>
    </row>
    <row r="194" spans="2:8">
      <c r="B194" s="23"/>
      <c r="C194" s="23"/>
      <c r="D194" s="23"/>
      <c r="E194" s="23"/>
      <c r="F194" s="1920" t="s">
        <v>169</v>
      </c>
      <c r="G194" s="1921"/>
      <c r="H194" s="1937"/>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20" t="s">
        <v>172</v>
      </c>
      <c r="G200" s="1921"/>
      <c r="H200" s="1937"/>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20" t="s">
        <v>261</v>
      </c>
      <c r="G206" s="1921"/>
      <c r="H206" s="1937"/>
    </row>
    <row r="207" spans="2:8">
      <c r="B207" s="23"/>
      <c r="C207" s="23"/>
      <c r="D207" s="23"/>
      <c r="E207" s="23"/>
      <c r="F207" s="35" t="s">
        <v>170</v>
      </c>
      <c r="G207" s="37" t="s">
        <v>171</v>
      </c>
      <c r="H207" s="67"/>
    </row>
    <row r="208" spans="2:8">
      <c r="B208" s="23"/>
      <c r="C208" s="23"/>
      <c r="D208" s="23"/>
      <c r="E208" s="23"/>
      <c r="F208" s="49" t="e">
        <f>VLOOKUP(G208,$G$105:$H$192,2)</f>
        <v>#DIV/0!</v>
      </c>
      <c r="G208" s="24" t="e">
        <f>VLOOKUP(C127,G105:H192,1)</f>
        <v>#DIV/0!</v>
      </c>
      <c r="H208" s="46" t="e">
        <f>MATCH(F208,F105:F192,1)</f>
        <v>#DIV/0!</v>
      </c>
    </row>
    <row r="209" spans="2:8">
      <c r="B209" s="23"/>
      <c r="C209" s="23"/>
      <c r="D209" s="23"/>
      <c r="E209" s="23"/>
      <c r="F209" s="49" t="e">
        <f>F208+(G209-G208)/(G210-G208)*(F210-F208)</f>
        <v>#DIV/0!</v>
      </c>
      <c r="G209" s="24" t="e">
        <f>C127</f>
        <v>#DIV/0!</v>
      </c>
      <c r="H209" s="46"/>
    </row>
    <row r="210" spans="2:8">
      <c r="B210" s="23"/>
      <c r="C210" s="23"/>
      <c r="D210" s="23"/>
      <c r="E210" s="23"/>
      <c r="F210" s="61" t="e">
        <f>INDEX(F105:F192,H210)</f>
        <v>#DIV/0!</v>
      </c>
      <c r="G210" s="69" t="e">
        <f>VLOOKUP(F210,F105:G192,2)</f>
        <v>#DIV/0!</v>
      </c>
      <c r="H210" s="58" t="e">
        <f>H208+1</f>
        <v>#DIV/0!</v>
      </c>
    </row>
    <row r="211" spans="2:8">
      <c r="B211" s="23"/>
      <c r="C211" s="23"/>
      <c r="D211" s="23"/>
      <c r="E211" s="23"/>
    </row>
    <row r="212" spans="2:8">
      <c r="B212" s="23"/>
      <c r="C212" s="23"/>
      <c r="D212" s="23"/>
      <c r="E212" s="23"/>
      <c r="F212" s="1920" t="s">
        <v>173</v>
      </c>
      <c r="G212" s="1921"/>
      <c r="H212" s="1937"/>
    </row>
    <row r="213" spans="2:8">
      <c r="B213" s="23"/>
      <c r="C213" s="23"/>
      <c r="D213" s="23"/>
      <c r="E213" s="23"/>
      <c r="F213" s="35" t="s">
        <v>170</v>
      </c>
      <c r="G213" s="37" t="s">
        <v>171</v>
      </c>
      <c r="H213" s="67"/>
    </row>
    <row r="214" spans="2:8">
      <c r="B214" s="23"/>
      <c r="C214" s="23"/>
      <c r="D214" s="23"/>
      <c r="E214" s="23"/>
      <c r="F214" s="49">
        <f>VLOOKUP(F215,F105:G192,1)</f>
        <v>200</v>
      </c>
      <c r="G214" s="24">
        <f>VLOOKUP(F214,$F$105:$G$192,2)</f>
        <v>1553800</v>
      </c>
      <c r="H214" s="46">
        <f>MATCH(F214,F105:F192,1)</f>
        <v>64</v>
      </c>
    </row>
    <row r="215" spans="2:8">
      <c r="B215" s="23"/>
      <c r="C215" s="23"/>
      <c r="D215" s="23"/>
      <c r="E215" s="23"/>
      <c r="F215" s="49">
        <f>C122</f>
        <v>200</v>
      </c>
      <c r="G215" s="24">
        <f>G214+((F215-F214)/(F216-F214))*(G216-G214)</f>
        <v>1553800</v>
      </c>
      <c r="H215" s="46"/>
    </row>
    <row r="216" spans="2:8">
      <c r="B216" s="23"/>
      <c r="C216" s="23"/>
      <c r="D216" s="23"/>
      <c r="E216" s="23"/>
      <c r="F216" s="61">
        <f>INDEX(F105:F192,H216)</f>
        <v>205</v>
      </c>
      <c r="G216" s="69">
        <f>VLOOKUP(F216,$F$105:$G$192,2)</f>
        <v>1723000</v>
      </c>
      <c r="H216" s="58">
        <f>H214+1</f>
        <v>65</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scenarios current="0">
    <scenario name="Tfumée_micro2" count="1" user="Céline Hertz" comment="Créé par Céline Hertz le 2023-05-16_x000a_Modifié par: Céline Hertz le 2023-05-16">
      <inputCells r="U7" val="126,582227015757" numFmtId="1"/>
    </scenario>
  </scenarios>
  <mergeCells count="26">
    <mergeCell ref="M72:N72"/>
    <mergeCell ref="F194:H194"/>
    <mergeCell ref="F200:H200"/>
    <mergeCell ref="F206:H20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AA1:AC3"/>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69B0-09BB-4E2F-9164-5AFB6B349346}">
  <sheetPr codeName="Feuil16">
    <tabColor theme="4"/>
  </sheetPr>
  <dimension ref="A1:AE355"/>
  <sheetViews>
    <sheetView workbookViewId="0">
      <selection activeCell="C116" sqref="C116:D116"/>
    </sheetView>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25" width="11.44140625" style="19"/>
    <col min="26" max="26" width="11.44140625" style="564"/>
    <col min="27" max="27" width="13.77734375" style="23" customWidth="1"/>
    <col min="28" max="29" width="13.77734375" style="19" customWidth="1"/>
    <col min="30" max="16384" width="11.44140625" style="19"/>
  </cols>
  <sheetData>
    <row r="1" spans="1:31">
      <c r="G1" s="374"/>
      <c r="AA1" s="1964" t="s">
        <v>421</v>
      </c>
      <c r="AB1" s="1964"/>
      <c r="AC1" s="1964"/>
    </row>
    <row r="2" spans="1:31">
      <c r="E2" s="20" t="s">
        <v>64</v>
      </c>
      <c r="F2" s="21" t="s">
        <v>16</v>
      </c>
      <c r="G2" s="22" t="e">
        <f>1-(G4/(G5+ABS(L27)))</f>
        <v>#DIV/0!</v>
      </c>
      <c r="AA2" s="1964"/>
      <c r="AB2" s="1964"/>
      <c r="AC2" s="1964"/>
    </row>
    <row r="3" spans="1:31" ht="15" thickBot="1">
      <c r="B3" s="6"/>
      <c r="C3" s="564"/>
      <c r="U3" s="375"/>
      <c r="AA3" s="1964"/>
      <c r="AB3" s="1964"/>
      <c r="AC3" s="1964"/>
    </row>
    <row r="4" spans="1:31" ht="13.8" thickBot="1">
      <c r="E4" s="23" t="s">
        <v>65</v>
      </c>
      <c r="F4" s="23" t="s">
        <v>66</v>
      </c>
      <c r="G4" s="255" t="e">
        <f>V27</f>
        <v>#DIV/0!</v>
      </c>
      <c r="H4" s="25"/>
      <c r="AA4" s="65" t="s">
        <v>419</v>
      </c>
      <c r="AB4" s="378">
        <f>'Micromodulation et sonde O2'!G93</f>
        <v>0.84</v>
      </c>
      <c r="AD4" s="376"/>
    </row>
    <row r="5" spans="1:31">
      <c r="A5" s="26" t="s">
        <v>67</v>
      </c>
      <c r="E5" s="23" t="s">
        <v>68</v>
      </c>
      <c r="F5" s="23" t="s">
        <v>66</v>
      </c>
      <c r="G5" s="255" t="e">
        <f>P27+S27</f>
        <v>#DIV/0!</v>
      </c>
      <c r="J5" s="1941" t="s">
        <v>339</v>
      </c>
      <c r="K5" s="1942"/>
      <c r="L5" s="1942"/>
      <c r="M5" s="1943"/>
      <c r="N5" s="1965" t="s">
        <v>69</v>
      </c>
      <c r="O5" s="1966"/>
      <c r="P5" s="1966"/>
      <c r="Q5" s="1966"/>
      <c r="R5" s="1966"/>
      <c r="S5" s="1966"/>
      <c r="T5" s="1966"/>
      <c r="U5" s="1966"/>
      <c r="V5" s="1967"/>
      <c r="AA5" s="65" t="s">
        <v>418</v>
      </c>
      <c r="AB5" s="565" t="e">
        <f>(AB4-AE11)/AE10</f>
        <v>#DIV/0!</v>
      </c>
      <c r="AC5" s="377" t="s">
        <v>13</v>
      </c>
    </row>
    <row r="6" spans="1:31">
      <c r="A6" s="300" t="s">
        <v>338</v>
      </c>
      <c r="J6" s="1944" t="s">
        <v>337</v>
      </c>
      <c r="K6" s="1945"/>
      <c r="L6" s="1945"/>
      <c r="M6" s="1946"/>
      <c r="N6" s="1926" t="s">
        <v>336</v>
      </c>
      <c r="O6" s="1927"/>
      <c r="P6" s="1928"/>
      <c r="Q6" s="1926" t="s">
        <v>70</v>
      </c>
      <c r="R6" s="1927"/>
      <c r="S6" s="1928"/>
      <c r="T6" s="1926" t="s">
        <v>123</v>
      </c>
      <c r="U6" s="1927"/>
      <c r="V6" s="1928"/>
      <c r="AA6" s="65"/>
      <c r="AB6" s="373"/>
    </row>
    <row r="7" spans="1:31" ht="14.25" customHeight="1">
      <c r="C7" s="1935" t="s">
        <v>335</v>
      </c>
      <c r="D7" s="1920" t="s">
        <v>334</v>
      </c>
      <c r="E7" s="1937"/>
      <c r="F7" s="1920" t="s">
        <v>333</v>
      </c>
      <c r="G7" s="1921"/>
      <c r="H7" s="1921"/>
      <c r="I7" s="1921"/>
      <c r="J7" s="28" t="s">
        <v>71</v>
      </c>
      <c r="K7" s="29" t="s">
        <v>72</v>
      </c>
      <c r="L7" s="29" t="s">
        <v>332</v>
      </c>
      <c r="M7" s="1947" t="s">
        <v>331</v>
      </c>
      <c r="N7" s="30" t="s">
        <v>73</v>
      </c>
      <c r="O7" s="31">
        <f>'3c. Calculator EEM 2-3'!M34</f>
        <v>20</v>
      </c>
      <c r="P7" s="32"/>
      <c r="Q7" s="33" t="s">
        <v>73</v>
      </c>
      <c r="R7" s="34">
        <f>'3c. Calculator EEM 2-3'!M33</f>
        <v>20</v>
      </c>
      <c r="S7" s="32"/>
      <c r="T7" s="33" t="s">
        <v>73</v>
      </c>
      <c r="U7" s="387">
        <v>200</v>
      </c>
      <c r="V7" s="32"/>
      <c r="AA7" s="383" t="s">
        <v>423</v>
      </c>
      <c r="AB7" s="379" t="s">
        <v>422</v>
      </c>
    </row>
    <row r="8" spans="1:31" ht="42">
      <c r="C8" s="1936"/>
      <c r="D8" s="299" t="s">
        <v>330</v>
      </c>
      <c r="E8" s="298" t="s">
        <v>329</v>
      </c>
      <c r="F8" s="1923" t="s">
        <v>74</v>
      </c>
      <c r="G8" s="1924"/>
      <c r="H8" s="1924"/>
      <c r="I8" s="1924"/>
      <c r="J8" s="35" t="s">
        <v>75</v>
      </c>
      <c r="K8" s="37" t="s">
        <v>75</v>
      </c>
      <c r="L8" s="37"/>
      <c r="M8" s="1948"/>
      <c r="N8" s="37" t="s">
        <v>76</v>
      </c>
      <c r="O8" s="37" t="s">
        <v>77</v>
      </c>
      <c r="P8" s="36" t="s">
        <v>78</v>
      </c>
      <c r="Q8" s="35" t="s">
        <v>76</v>
      </c>
      <c r="R8" s="37" t="s">
        <v>77</v>
      </c>
      <c r="S8" s="36" t="s">
        <v>78</v>
      </c>
      <c r="T8" s="35" t="s">
        <v>76</v>
      </c>
      <c r="U8" s="37" t="s">
        <v>77</v>
      </c>
      <c r="V8" s="36" t="s">
        <v>78</v>
      </c>
      <c r="AA8" s="384"/>
      <c r="AB8" s="386"/>
      <c r="AD8" s="19" t="s">
        <v>765</v>
      </c>
    </row>
    <row r="9" spans="1:31" ht="20.399999999999999">
      <c r="B9" s="19" t="s">
        <v>35</v>
      </c>
      <c r="C9" s="247" t="s">
        <v>328</v>
      </c>
      <c r="D9" s="1954" t="s">
        <v>328</v>
      </c>
      <c r="E9" s="1955"/>
      <c r="F9" s="1932" t="s">
        <v>111</v>
      </c>
      <c r="G9" s="1933"/>
      <c r="H9" s="1933"/>
      <c r="I9" s="1934"/>
      <c r="J9" s="35"/>
      <c r="K9" s="37"/>
      <c r="L9" s="37"/>
      <c r="M9" s="297" t="s">
        <v>327</v>
      </c>
      <c r="N9" s="37"/>
      <c r="O9" s="37"/>
      <c r="P9" s="36"/>
      <c r="Q9" s="37"/>
      <c r="R9" s="37"/>
      <c r="S9" s="36"/>
      <c r="T9" s="37"/>
      <c r="U9" s="37"/>
      <c r="V9" s="36"/>
      <c r="AA9" s="385"/>
      <c r="AB9" s="380" t="e">
        <f>1-(G4/(G5+ABS(L27)))</f>
        <v>#DIV/0!</v>
      </c>
      <c r="AD9" s="566" t="s">
        <v>766</v>
      </c>
      <c r="AE9" s="566"/>
    </row>
    <row r="10" spans="1:31" ht="23.25" customHeight="1">
      <c r="A10" s="296" t="s">
        <v>79</v>
      </c>
      <c r="C10" s="295" t="s">
        <v>80</v>
      </c>
      <c r="D10" s="294" t="s">
        <v>326</v>
      </c>
      <c r="E10" s="293" t="s">
        <v>325</v>
      </c>
      <c r="F10" s="39" t="s">
        <v>81</v>
      </c>
      <c r="G10" s="40" t="s">
        <v>82</v>
      </c>
      <c r="H10" s="40" t="s">
        <v>83</v>
      </c>
      <c r="I10" s="40" t="s">
        <v>84</v>
      </c>
      <c r="J10" s="41" t="s">
        <v>80</v>
      </c>
      <c r="K10" s="40" t="s">
        <v>85</v>
      </c>
      <c r="L10" s="43" t="s">
        <v>66</v>
      </c>
      <c r="M10" s="292" t="s">
        <v>66</v>
      </c>
      <c r="N10" s="291" t="s">
        <v>286</v>
      </c>
      <c r="O10" s="43" t="s">
        <v>87</v>
      </c>
      <c r="P10" s="42" t="s">
        <v>66</v>
      </c>
      <c r="Q10" s="291" t="s">
        <v>286</v>
      </c>
      <c r="R10" s="43" t="s">
        <v>87</v>
      </c>
      <c r="S10" s="42" t="s">
        <v>66</v>
      </c>
      <c r="T10" s="291" t="s">
        <v>286</v>
      </c>
      <c r="U10" s="43" t="s">
        <v>87</v>
      </c>
      <c r="V10" s="42" t="s">
        <v>66</v>
      </c>
      <c r="AA10" s="54">
        <v>200</v>
      </c>
      <c r="AB10" s="381" t="e">
        <f t="dataTable" ref="AB10:AB11" dt2D="0" dtr="0" r1="U7"/>
        <v>#DIV/0!</v>
      </c>
      <c r="AD10" s="19" t="s">
        <v>763</v>
      </c>
      <c r="AE10" s="19" t="e">
        <f>SLOPE(AB10:AB11,AA10:AA11)</f>
        <v>#DIV/0!</v>
      </c>
    </row>
    <row r="11" spans="1:31" ht="15.6">
      <c r="A11" s="44" t="s">
        <v>88</v>
      </c>
      <c r="B11" s="45" t="s">
        <v>89</v>
      </c>
      <c r="C11" s="290">
        <v>31.998799999999999</v>
      </c>
      <c r="D11" s="283">
        <v>0</v>
      </c>
      <c r="E11" s="282">
        <v>0</v>
      </c>
      <c r="F11" s="47">
        <v>29.1</v>
      </c>
      <c r="G11" s="48">
        <v>1.1579999999999999</v>
      </c>
      <c r="H11" s="48">
        <v>-0.60760000000000003</v>
      </c>
      <c r="I11" s="48">
        <v>1.3109999999999999</v>
      </c>
      <c r="J11" s="49">
        <f>N11*C11</f>
        <v>0</v>
      </c>
      <c r="K11" s="48">
        <f t="shared" ref="K11:K26" si="0">($E$29*(C11/1000))/($B$32*$B$29)*N11</f>
        <v>0</v>
      </c>
      <c r="L11" s="255">
        <f t="shared" ref="L11:L26" si="1">N11*E11</f>
        <v>0</v>
      </c>
      <c r="M11" s="279">
        <f t="shared" ref="M11:M26" si="2">N11*D11/2*$W$15</f>
        <v>0</v>
      </c>
      <c r="N11" s="51">
        <f>'Combustion_Chaud4 (Micro)'!C53/100</f>
        <v>0</v>
      </c>
      <c r="O11" s="50">
        <f>AVERAGE($F11+$G11/100*O$7+$H11/100000*O$7^2+$I11/1000000000*O$7^3,$F11+$G11/100*$B$28+$H11/100000*$B$28^2+$I11/1000000000*$B$28^3)</f>
        <v>29.303892412703927</v>
      </c>
      <c r="P11" s="52">
        <f>N11*O11*(O$7-$B$28)</f>
        <v>0</v>
      </c>
      <c r="Q11" s="51" t="e">
        <f>'Combustion_Chaud4 (Micro)'!G88</f>
        <v>#DIV/0!</v>
      </c>
      <c r="R11" s="50">
        <f t="shared" ref="R11:R26" si="3">AVERAGE($F11+$G11/100*R$7+$H11/100000*R$7^2+$I11/1000000000*R$7^3,$F11+$G11/100*$B$28+$H11/100000*$B$28^2+$I11/1000000000*$B$28^3)</f>
        <v>29.303892412703927</v>
      </c>
      <c r="S11" s="282" t="e">
        <f>Q11*R11*(R$7-$B$28)</f>
        <v>#DIV/0!</v>
      </c>
      <c r="T11" s="51" t="e">
        <f>'Combustion_Chaud4 (Micro)'!L79</f>
        <v>#DIV/0!</v>
      </c>
      <c r="U11" s="50">
        <f t="shared" ref="U11:U26" si="4">AVERAGE($F11+$G11/100*U$7+$H11/100000*U$7^2+$I11/1000000000*U$7^3,$F11+$G11/100*$B$28+$H11/100000*$B$28^2+$I11/1000000000*$B$28^3)</f>
        <v>30.231026368703926</v>
      </c>
      <c r="V11" s="282" t="e">
        <f>T11*U11*(U$7-$B$28)</f>
        <v>#DIV/0!</v>
      </c>
      <c r="AA11" s="62">
        <v>110</v>
      </c>
      <c r="AB11" s="382" t="e">
        <v>#DIV/0!</v>
      </c>
      <c r="AD11" s="19" t="s">
        <v>764</v>
      </c>
      <c r="AE11" s="19" t="e">
        <f>INTERCEPT(AB10:AB11,AA10:AA11)</f>
        <v>#DIV/0!</v>
      </c>
    </row>
    <row r="12" spans="1:31" ht="14.4">
      <c r="A12" s="53" t="s">
        <v>299</v>
      </c>
      <c r="B12" s="19" t="s">
        <v>90</v>
      </c>
      <c r="C12" s="284">
        <v>28.010100000000001</v>
      </c>
      <c r="D12" s="283">
        <v>0</v>
      </c>
      <c r="E12" s="282">
        <v>-282910</v>
      </c>
      <c r="F12" s="51">
        <v>28.95</v>
      </c>
      <c r="G12" s="50">
        <v>0.41099999999999998</v>
      </c>
      <c r="H12" s="50">
        <v>0.3548</v>
      </c>
      <c r="I12" s="50">
        <v>-2.2200000000000002</v>
      </c>
      <c r="J12" s="49">
        <f t="shared" ref="J12:J26" si="5">N12*C12</f>
        <v>0</v>
      </c>
      <c r="K12" s="50">
        <f t="shared" si="0"/>
        <v>0</v>
      </c>
      <c r="L12" s="255">
        <f t="shared" si="1"/>
        <v>0</v>
      </c>
      <c r="M12" s="279">
        <f t="shared" si="2"/>
        <v>0</v>
      </c>
      <c r="N12" s="51">
        <f>'Combustion_Chaud4 (Micro)'!C54/100</f>
        <v>0</v>
      </c>
      <c r="O12" s="50">
        <f t="shared" ref="O12:O26" si="6">AVERAGE($F12+$G12/100*O$7+$H12/100000*O$7^2+$I12/1000000000*O$7^3,$F12+$G12/100*$B$28+$H12/100000*$B$28^2+$I12/1000000000*$B$28^3)</f>
        <v>29.024180754002948</v>
      </c>
      <c r="P12" s="52">
        <f>N12*O12*(O$7-$B$28)</f>
        <v>0</v>
      </c>
      <c r="Q12" s="285"/>
      <c r="R12" s="50">
        <f t="shared" si="3"/>
        <v>29.024180754002948</v>
      </c>
      <c r="S12" s="282">
        <f>Q12*R12*(R$7-$B$28)</f>
        <v>0</v>
      </c>
      <c r="T12" s="285"/>
      <c r="U12" s="50">
        <f t="shared" si="4"/>
        <v>29.455460034002947</v>
      </c>
      <c r="V12" s="282">
        <f>T12*U12*(U$7-$B$28)</f>
        <v>0</v>
      </c>
      <c r="AA12" s="6"/>
      <c r="AB12" s="6"/>
    </row>
    <row r="13" spans="1:31" ht="15.6">
      <c r="A13" s="53" t="s">
        <v>284</v>
      </c>
      <c r="B13" s="19" t="s">
        <v>91</v>
      </c>
      <c r="C13" s="284">
        <v>44.009500000000003</v>
      </c>
      <c r="D13" s="283">
        <v>0</v>
      </c>
      <c r="E13" s="282">
        <v>0</v>
      </c>
      <c r="F13" s="51">
        <v>36.11</v>
      </c>
      <c r="G13" s="50">
        <v>4.2329999999999997</v>
      </c>
      <c r="H13" s="50">
        <v>-2.887</v>
      </c>
      <c r="I13" s="50">
        <v>7.4640000000000004</v>
      </c>
      <c r="J13" s="49">
        <f t="shared" si="5"/>
        <v>0.28166080000000004</v>
      </c>
      <c r="K13" s="50">
        <f t="shared" si="0"/>
        <v>1.1916985502539782E-2</v>
      </c>
      <c r="L13" s="255">
        <f t="shared" si="1"/>
        <v>0</v>
      </c>
      <c r="M13" s="279">
        <f t="shared" si="2"/>
        <v>0</v>
      </c>
      <c r="N13" s="51">
        <f>'Combustion_Chaud4 (Micro)'!C55/100</f>
        <v>6.4000000000000003E-3</v>
      </c>
      <c r="O13" s="50">
        <f t="shared" si="6"/>
        <v>36.853195219340265</v>
      </c>
      <c r="P13" s="52">
        <f>N13*O13*(O$7-$B$28)</f>
        <v>1.0495789998468106</v>
      </c>
      <c r="Q13" s="285"/>
      <c r="R13" s="50">
        <f t="shared" si="3"/>
        <v>36.853195219340265</v>
      </c>
      <c r="S13" s="282">
        <f>Q13*R13*(R$7-$B$28)</f>
        <v>0</v>
      </c>
      <c r="T13" s="51">
        <f>'Combustion_Chaud4 (Micro)'!L78</f>
        <v>1.0020999999999998</v>
      </c>
      <c r="U13" s="50">
        <f t="shared" si="4"/>
        <v>40.12109536334026</v>
      </c>
      <c r="V13" s="282">
        <f>T13*U13*(U$7-$B$28)</f>
        <v>7415.8767454516219</v>
      </c>
      <c r="AA13" s="6"/>
      <c r="AB13" s="6"/>
    </row>
    <row r="14" spans="1:31" ht="15.6">
      <c r="A14" s="53" t="s">
        <v>92</v>
      </c>
      <c r="B14" s="19" t="s">
        <v>93</v>
      </c>
      <c r="C14" s="284">
        <v>2.0158800000000001</v>
      </c>
      <c r="D14" s="283">
        <v>2</v>
      </c>
      <c r="E14" s="282">
        <v>-286130</v>
      </c>
      <c r="F14" s="51">
        <v>28.84</v>
      </c>
      <c r="G14" s="50">
        <v>7.6499999999999997E-3</v>
      </c>
      <c r="H14" s="50">
        <v>0.32879999999999998</v>
      </c>
      <c r="I14" s="50">
        <v>-0.86980000000000002</v>
      </c>
      <c r="J14" s="49">
        <f t="shared" si="5"/>
        <v>0</v>
      </c>
      <c r="K14" s="50">
        <f t="shared" si="0"/>
        <v>0</v>
      </c>
      <c r="L14" s="255">
        <f t="shared" si="1"/>
        <v>0</v>
      </c>
      <c r="M14" s="279">
        <f t="shared" si="2"/>
        <v>0</v>
      </c>
      <c r="N14" s="51">
        <f>'Combustion_Chaud4 (Micro)'!C56/100</f>
        <v>0</v>
      </c>
      <c r="O14" s="50">
        <f t="shared" si="6"/>
        <v>28.842409796373442</v>
      </c>
      <c r="P14" s="52">
        <f>N14*O14*(O$7-$B$28)</f>
        <v>0</v>
      </c>
      <c r="Q14" s="285"/>
      <c r="R14" s="50">
        <f t="shared" si="3"/>
        <v>28.842409796373442</v>
      </c>
      <c r="S14" s="282">
        <f>Q14*R14*(R$7-$B$28)</f>
        <v>0</v>
      </c>
      <c r="T14" s="285"/>
      <c r="U14" s="50">
        <f t="shared" si="4"/>
        <v>28.910921475573442</v>
      </c>
      <c r="V14" s="282">
        <f>T14*U14*(U$7-$B$28)</f>
        <v>0</v>
      </c>
      <c r="AA14" s="6"/>
      <c r="AB14" s="6"/>
    </row>
    <row r="15" spans="1:31" ht="15.6">
      <c r="A15" s="53" t="s">
        <v>94</v>
      </c>
      <c r="B15" s="19" t="s">
        <v>298</v>
      </c>
      <c r="C15" s="284">
        <v>18.015280000000001</v>
      </c>
      <c r="D15" s="283">
        <v>2</v>
      </c>
      <c r="E15" s="282">
        <v>0</v>
      </c>
      <c r="F15" s="51">
        <v>33.46</v>
      </c>
      <c r="G15" s="50">
        <v>0.68799999999999994</v>
      </c>
      <c r="H15" s="50">
        <v>0.76039999999999996</v>
      </c>
      <c r="I15" s="50">
        <v>-3.593</v>
      </c>
      <c r="J15" s="49">
        <f t="shared" si="5"/>
        <v>0</v>
      </c>
      <c r="K15" s="50">
        <f t="shared" si="0"/>
        <v>0</v>
      </c>
      <c r="L15" s="255">
        <f t="shared" si="1"/>
        <v>0</v>
      </c>
      <c r="M15" s="279">
        <f t="shared" si="2"/>
        <v>0</v>
      </c>
      <c r="N15" s="51">
        <f>'Combustion_Chaud4 (Micro)'!C57/100</f>
        <v>0</v>
      </c>
      <c r="O15" s="50">
        <f t="shared" si="6"/>
        <v>33.584711006213126</v>
      </c>
      <c r="P15" s="52">
        <f>N15*(W15+O15*(O$7-$B$28))</f>
        <v>0</v>
      </c>
      <c r="Q15" s="51" t="e">
        <f>'Combustion_Chaud4 (Micro)'!G89</f>
        <v>#DIV/0!</v>
      </c>
      <c r="R15" s="50">
        <f t="shared" si="3"/>
        <v>33.584711006213126</v>
      </c>
      <c r="S15" s="282" t="e">
        <f>Q15*(W15+R15*(R$7-$B$28))</f>
        <v>#DIV/0!</v>
      </c>
      <c r="T15" s="51" t="e">
        <f>'Combustion_Chaud4 (Micro)'!L81-T16</f>
        <v>#DIV/0!</v>
      </c>
      <c r="U15" s="50">
        <f t="shared" si="4"/>
        <v>34.340112578213123</v>
      </c>
      <c r="V15" s="286" t="e">
        <f>((T15-G89)*$W$15)+(T15*U15*(U$7-$B$28))</f>
        <v>#DIV/0!</v>
      </c>
      <c r="W15" s="257">
        <v>44408</v>
      </c>
      <c r="X15" s="19" t="s">
        <v>95</v>
      </c>
      <c r="AA15" s="6"/>
      <c r="AB15" s="6"/>
    </row>
    <row r="16" spans="1:31" ht="15.6">
      <c r="A16" s="53" t="s">
        <v>96</v>
      </c>
      <c r="B16" s="19" t="s">
        <v>324</v>
      </c>
      <c r="C16" s="284">
        <f>C15</f>
        <v>18.015280000000001</v>
      </c>
      <c r="D16" s="283">
        <v>2</v>
      </c>
      <c r="E16" s="282">
        <v>0</v>
      </c>
      <c r="F16" s="51">
        <v>75.400000000000006</v>
      </c>
      <c r="G16" s="50">
        <v>0</v>
      </c>
      <c r="H16" s="50">
        <v>0</v>
      </c>
      <c r="I16" s="50">
        <v>0</v>
      </c>
      <c r="J16" s="49">
        <f t="shared" si="5"/>
        <v>0</v>
      </c>
      <c r="K16" s="50">
        <f t="shared" si="0"/>
        <v>0</v>
      </c>
      <c r="L16" s="255">
        <f t="shared" si="1"/>
        <v>0</v>
      </c>
      <c r="M16" s="279">
        <f t="shared" si="2"/>
        <v>0</v>
      </c>
      <c r="N16" s="51">
        <v>0</v>
      </c>
      <c r="O16" s="50">
        <f t="shared" si="6"/>
        <v>75.400000000000006</v>
      </c>
      <c r="P16" s="52">
        <f t="shared" ref="P16:P26" si="7">N16*O16*(O$7-$B$28)</f>
        <v>0</v>
      </c>
      <c r="Q16" s="285"/>
      <c r="R16" s="50">
        <f t="shared" si="3"/>
        <v>75.400000000000006</v>
      </c>
      <c r="S16" s="282">
        <f t="shared" ref="S16:S26" si="8">Q16*R16*(R$7-$B$28)</f>
        <v>0</v>
      </c>
      <c r="T16" s="51" t="e">
        <f>'Combustion_Chaud4 (Micro)'!L92</f>
        <v>#DIV/0!</v>
      </c>
      <c r="U16" s="50">
        <f t="shared" si="4"/>
        <v>75.400000000000006</v>
      </c>
      <c r="V16" s="286" t="e">
        <f t="shared" ref="V16:V26" si="9">T16*U16*(U$7-$B$28)</f>
        <v>#DIV/0!</v>
      </c>
      <c r="AA16" s="6"/>
      <c r="AB16" s="6"/>
    </row>
    <row r="17" spans="1:28" ht="15.6">
      <c r="A17" s="53" t="s">
        <v>97</v>
      </c>
      <c r="B17" s="19" t="s">
        <v>98</v>
      </c>
      <c r="C17" s="284">
        <v>16.042459999999998</v>
      </c>
      <c r="D17" s="283">
        <v>4</v>
      </c>
      <c r="E17" s="282">
        <v>-891460</v>
      </c>
      <c r="F17" s="51">
        <v>34.31</v>
      </c>
      <c r="G17" s="50">
        <v>5.4690000000000003</v>
      </c>
      <c r="H17" s="50">
        <v>0.36609999999999998</v>
      </c>
      <c r="I17" s="50">
        <v>-11</v>
      </c>
      <c r="J17" s="49">
        <f t="shared" si="5"/>
        <v>15.347821481999999</v>
      </c>
      <c r="K17" s="50">
        <f t="shared" si="0"/>
        <v>0.6493618071686319</v>
      </c>
      <c r="L17" s="255">
        <f t="shared" si="1"/>
        <v>-852859.78200000001</v>
      </c>
      <c r="M17" s="279">
        <f t="shared" si="2"/>
        <v>84970.267200000002</v>
      </c>
      <c r="N17" s="51">
        <f>'Combustion_Chaud4 (Micro)'!C58/100</f>
        <v>0.95669999999999999</v>
      </c>
      <c r="O17" s="50">
        <f t="shared" si="6"/>
        <v>35.283224889317438</v>
      </c>
      <c r="P17" s="52">
        <f t="shared" si="7"/>
        <v>150.21180256966446</v>
      </c>
      <c r="Q17" s="285"/>
      <c r="R17" s="50">
        <f t="shared" si="3"/>
        <v>35.283224889317438</v>
      </c>
      <c r="S17" s="282">
        <f t="shared" si="8"/>
        <v>0</v>
      </c>
      <c r="T17" s="285"/>
      <c r="U17" s="50">
        <f t="shared" si="4"/>
        <v>40.233856689317435</v>
      </c>
      <c r="V17" s="282">
        <f t="shared" si="9"/>
        <v>0</v>
      </c>
      <c r="AA17" s="6"/>
      <c r="AB17" s="6"/>
    </row>
    <row r="18" spans="1:28" ht="15.6">
      <c r="A18" s="53" t="s">
        <v>99</v>
      </c>
      <c r="B18" s="19" t="s">
        <v>297</v>
      </c>
      <c r="C18" s="284">
        <v>30.09562</v>
      </c>
      <c r="D18" s="283">
        <v>6</v>
      </c>
      <c r="E18" s="282">
        <v>-1562060</v>
      </c>
      <c r="F18" s="51">
        <v>49.37</v>
      </c>
      <c r="G18" s="50">
        <v>13.92</v>
      </c>
      <c r="H18" s="50">
        <v>-5.8159999999999998</v>
      </c>
      <c r="I18" s="50">
        <v>7.28</v>
      </c>
      <c r="J18" s="49">
        <f t="shared" si="5"/>
        <v>0.4875490440000001</v>
      </c>
      <c r="K18" s="50">
        <f t="shared" si="0"/>
        <v>2.0628056474756629E-2</v>
      </c>
      <c r="L18" s="255">
        <f t="shared" si="1"/>
        <v>-25305.372000000003</v>
      </c>
      <c r="M18" s="279">
        <f t="shared" si="2"/>
        <v>2158.2288000000003</v>
      </c>
      <c r="N18" s="51">
        <f>'Combustion_Chaud4 (Micro)'!C59/100</f>
        <v>1.6200000000000003E-2</v>
      </c>
      <c r="O18" s="50">
        <f t="shared" si="6"/>
        <v>51.825659189805108</v>
      </c>
      <c r="P18" s="52">
        <f t="shared" si="7"/>
        <v>3.73611177099305</v>
      </c>
      <c r="Q18" s="285"/>
      <c r="R18" s="50">
        <f t="shared" si="3"/>
        <v>51.825659189805108</v>
      </c>
      <c r="S18" s="282">
        <f t="shared" si="8"/>
        <v>0</v>
      </c>
      <c r="T18" s="285"/>
      <c r="U18" s="50">
        <f t="shared" si="4"/>
        <v>63.231182069805101</v>
      </c>
      <c r="V18" s="282">
        <f t="shared" si="9"/>
        <v>0</v>
      </c>
      <c r="AA18" s="6"/>
      <c r="AB18" s="6"/>
    </row>
    <row r="19" spans="1:28" ht="15.6">
      <c r="A19" s="53" t="s">
        <v>100</v>
      </c>
      <c r="B19" s="19" t="s">
        <v>296</v>
      </c>
      <c r="C19" s="284">
        <v>44.095619999999997</v>
      </c>
      <c r="D19" s="283">
        <v>8</v>
      </c>
      <c r="E19" s="282">
        <v>-2220990</v>
      </c>
      <c r="F19" s="51">
        <v>68.031999999999996</v>
      </c>
      <c r="G19" s="50">
        <v>22.59</v>
      </c>
      <c r="H19" s="50">
        <v>-13.11</v>
      </c>
      <c r="I19" s="50">
        <v>31.71</v>
      </c>
      <c r="J19" s="49">
        <f t="shared" si="5"/>
        <v>6.1733868000000004E-2</v>
      </c>
      <c r="K19" s="50">
        <f t="shared" si="0"/>
        <v>2.611941775254862E-3</v>
      </c>
      <c r="L19" s="255">
        <f t="shared" si="1"/>
        <v>-3109.3860000000004</v>
      </c>
      <c r="M19" s="279">
        <f t="shared" si="2"/>
        <v>248.68480000000002</v>
      </c>
      <c r="N19" s="51">
        <f>'Combustion_Chaud4 (Micro)'!C60/100</f>
        <v>1.4000000000000002E-3</v>
      </c>
      <c r="O19" s="50">
        <f t="shared" si="6"/>
        <v>72.005488801382796</v>
      </c>
      <c r="P19" s="52">
        <f t="shared" si="7"/>
        <v>0.44859419523261485</v>
      </c>
      <c r="Q19" s="285"/>
      <c r="R19" s="50">
        <f t="shared" si="3"/>
        <v>72.005488801382796</v>
      </c>
      <c r="S19" s="282">
        <f t="shared" si="8"/>
        <v>0</v>
      </c>
      <c r="T19" s="285"/>
      <c r="U19" s="50">
        <f t="shared" si="4"/>
        <v>89.867421961382803</v>
      </c>
      <c r="V19" s="282">
        <f t="shared" si="9"/>
        <v>0</v>
      </c>
      <c r="AA19" s="6"/>
      <c r="AB19" s="6"/>
    </row>
    <row r="20" spans="1:28" ht="15.6">
      <c r="A20" s="53" t="s">
        <v>323</v>
      </c>
      <c r="B20" s="19" t="s">
        <v>322</v>
      </c>
      <c r="C20" s="284">
        <v>58.122199999999999</v>
      </c>
      <c r="D20" s="283">
        <v>10</v>
      </c>
      <c r="E20" s="286">
        <v>-2870450</v>
      </c>
      <c r="F20" s="51">
        <v>89.46</v>
      </c>
      <c r="G20" s="50">
        <v>30.13</v>
      </c>
      <c r="H20" s="50">
        <v>-18.91</v>
      </c>
      <c r="I20" s="50">
        <v>49.87</v>
      </c>
      <c r="J20" s="49">
        <f t="shared" si="5"/>
        <v>2.324888E-2</v>
      </c>
      <c r="K20" s="50">
        <f t="shared" si="0"/>
        <v>9.8365326630573758E-4</v>
      </c>
      <c r="L20" s="255">
        <f t="shared" si="1"/>
        <v>-1148.18</v>
      </c>
      <c r="M20" s="279">
        <f t="shared" si="2"/>
        <v>88.816000000000003</v>
      </c>
      <c r="N20" s="51">
        <f>'Combustion_Chaud4 (Micro)'!C61/100</f>
        <v>4.0000000000000002E-4</v>
      </c>
      <c r="O20" s="50">
        <f t="shared" si="6"/>
        <v>94.755218309944979</v>
      </c>
      <c r="P20" s="52">
        <f t="shared" si="7"/>
        <v>0.16866428859170204</v>
      </c>
      <c r="Q20" s="285"/>
      <c r="R20" s="50">
        <f t="shared" si="3"/>
        <v>94.755218309944979</v>
      </c>
      <c r="S20" s="282">
        <f t="shared" si="8"/>
        <v>0</v>
      </c>
      <c r="T20" s="285"/>
      <c r="U20" s="50">
        <f t="shared" si="4"/>
        <v>118.327318829945</v>
      </c>
      <c r="V20" s="282">
        <f t="shared" si="9"/>
        <v>0</v>
      </c>
      <c r="AA20" s="6"/>
      <c r="AB20" s="6"/>
    </row>
    <row r="21" spans="1:28" ht="15.6">
      <c r="A21" s="53" t="s">
        <v>101</v>
      </c>
      <c r="B21" s="19" t="s">
        <v>321</v>
      </c>
      <c r="C21" s="284">
        <f>C20</f>
        <v>58.122199999999999</v>
      </c>
      <c r="D21" s="283">
        <v>10</v>
      </c>
      <c r="E21" s="289">
        <v>-2879630</v>
      </c>
      <c r="F21" s="51">
        <v>92.3</v>
      </c>
      <c r="G21" s="50">
        <v>27.88</v>
      </c>
      <c r="H21" s="50">
        <v>-15.47</v>
      </c>
      <c r="I21" s="50">
        <v>34.979999999999997</v>
      </c>
      <c r="J21" s="49">
        <f t="shared" si="5"/>
        <v>1.162444E-2</v>
      </c>
      <c r="K21" s="50">
        <f t="shared" si="0"/>
        <v>4.9182663315286879E-4</v>
      </c>
      <c r="L21" s="255">
        <f t="shared" si="1"/>
        <v>-575.92600000000004</v>
      </c>
      <c r="M21" s="279">
        <f t="shared" si="2"/>
        <v>44.408000000000001</v>
      </c>
      <c r="N21" s="51">
        <f>'Combustion_Chaud4 (Micro)'!C62/100</f>
        <v>2.0000000000000001E-4</v>
      </c>
      <c r="O21" s="50">
        <f t="shared" si="6"/>
        <v>97.206232259530026</v>
      </c>
      <c r="P21" s="52">
        <f t="shared" si="7"/>
        <v>8.6513546710981701E-2</v>
      </c>
      <c r="Q21" s="285"/>
      <c r="R21" s="50">
        <f t="shared" si="3"/>
        <v>97.206232259530026</v>
      </c>
      <c r="S21" s="282">
        <f t="shared" si="8"/>
        <v>0</v>
      </c>
      <c r="T21" s="285"/>
      <c r="U21" s="50">
        <f t="shared" si="4"/>
        <v>119.37495233953004</v>
      </c>
      <c r="V21" s="282">
        <f t="shared" si="9"/>
        <v>0</v>
      </c>
      <c r="AA21" s="6"/>
      <c r="AB21" s="6"/>
    </row>
    <row r="22" spans="1:28" ht="15.6">
      <c r="A22" s="53" t="s">
        <v>320</v>
      </c>
      <c r="B22" s="19" t="s">
        <v>292</v>
      </c>
      <c r="C22" s="284">
        <v>72.148780000000002</v>
      </c>
      <c r="D22" s="283">
        <v>12</v>
      </c>
      <c r="E22" s="286">
        <v>-3531520</v>
      </c>
      <c r="F22" s="288">
        <f>F23</f>
        <v>114.8</v>
      </c>
      <c r="G22" s="287">
        <f>G23</f>
        <v>34.090000000000003</v>
      </c>
      <c r="H22" s="287">
        <f>H23</f>
        <v>-18.989999999999998</v>
      </c>
      <c r="I22" s="287">
        <f>I23</f>
        <v>42.26</v>
      </c>
      <c r="J22" s="49">
        <f t="shared" si="5"/>
        <v>0</v>
      </c>
      <c r="K22" s="50">
        <f t="shared" si="0"/>
        <v>0</v>
      </c>
      <c r="L22" s="255">
        <f t="shared" si="1"/>
        <v>0</v>
      </c>
      <c r="M22" s="279">
        <f t="shared" si="2"/>
        <v>0</v>
      </c>
      <c r="N22" s="51">
        <f>'Combustion_Chaud4 (Micro)'!C63/100</f>
        <v>0</v>
      </c>
      <c r="O22" s="50">
        <f t="shared" si="6"/>
        <v>120.79880684203513</v>
      </c>
      <c r="P22" s="52">
        <f t="shared" si="7"/>
        <v>0</v>
      </c>
      <c r="Q22" s="285"/>
      <c r="R22" s="50">
        <f t="shared" si="3"/>
        <v>120.79880684203513</v>
      </c>
      <c r="S22" s="282">
        <f t="shared" si="8"/>
        <v>0</v>
      </c>
      <c r="T22" s="285"/>
      <c r="U22" s="50">
        <f t="shared" si="4"/>
        <v>147.88865780203514</v>
      </c>
      <c r="V22" s="282">
        <f t="shared" si="9"/>
        <v>0</v>
      </c>
      <c r="AA22" s="6"/>
      <c r="AB22" s="6"/>
    </row>
    <row r="23" spans="1:28" ht="15.6">
      <c r="A23" s="53" t="s">
        <v>291</v>
      </c>
      <c r="B23" s="19" t="s">
        <v>290</v>
      </c>
      <c r="C23" s="284">
        <f>C22</f>
        <v>72.148780000000002</v>
      </c>
      <c r="D23" s="283">
        <v>12</v>
      </c>
      <c r="E23" s="286">
        <v>-3538450</v>
      </c>
      <c r="F23" s="51">
        <v>114.8</v>
      </c>
      <c r="G23" s="50">
        <v>34.090000000000003</v>
      </c>
      <c r="H23" s="50">
        <v>-18.989999999999998</v>
      </c>
      <c r="I23" s="50">
        <v>42.26</v>
      </c>
      <c r="J23" s="49">
        <f t="shared" si="5"/>
        <v>0</v>
      </c>
      <c r="K23" s="50">
        <f t="shared" si="0"/>
        <v>0</v>
      </c>
      <c r="L23" s="255">
        <f t="shared" si="1"/>
        <v>0</v>
      </c>
      <c r="M23" s="279">
        <f t="shared" si="2"/>
        <v>0</v>
      </c>
      <c r="N23" s="51">
        <f>'Combustion_Chaud4 (Micro)'!C64/100</f>
        <v>0</v>
      </c>
      <c r="O23" s="50">
        <f t="shared" si="6"/>
        <v>120.79880684203513</v>
      </c>
      <c r="P23" s="52">
        <f t="shared" si="7"/>
        <v>0</v>
      </c>
      <c r="Q23" s="285"/>
      <c r="R23" s="50">
        <f t="shared" si="3"/>
        <v>120.79880684203513</v>
      </c>
      <c r="S23" s="282">
        <f t="shared" si="8"/>
        <v>0</v>
      </c>
      <c r="T23" s="285"/>
      <c r="U23" s="50">
        <f t="shared" si="4"/>
        <v>147.88865780203514</v>
      </c>
      <c r="V23" s="282">
        <f t="shared" si="9"/>
        <v>0</v>
      </c>
      <c r="AA23" s="6"/>
      <c r="AB23" s="6"/>
    </row>
    <row r="24" spans="1:28" ht="15.6">
      <c r="A24" s="53" t="s">
        <v>289</v>
      </c>
      <c r="B24" s="19" t="s">
        <v>288</v>
      </c>
      <c r="C24" s="284">
        <v>86.175359999999998</v>
      </c>
      <c r="D24" s="283">
        <v>14</v>
      </c>
      <c r="E24" s="282">
        <v>-4198060</v>
      </c>
      <c r="F24" s="51">
        <v>137.44</v>
      </c>
      <c r="G24" s="50">
        <v>40.85</v>
      </c>
      <c r="H24" s="50">
        <v>-23.92</v>
      </c>
      <c r="I24" s="50">
        <v>57.66</v>
      </c>
      <c r="J24" s="49">
        <f t="shared" si="5"/>
        <v>0</v>
      </c>
      <c r="K24" s="50">
        <f t="shared" si="0"/>
        <v>0</v>
      </c>
      <c r="L24" s="255">
        <f t="shared" si="1"/>
        <v>0</v>
      </c>
      <c r="M24" s="279">
        <f t="shared" si="2"/>
        <v>0</v>
      </c>
      <c r="N24" s="51">
        <f>'Combustion_Chaud4 (Micro)'!C65/100</f>
        <v>0</v>
      </c>
      <c r="O24" s="50">
        <f t="shared" si="6"/>
        <v>144.62466696263243</v>
      </c>
      <c r="P24" s="52">
        <f t="shared" si="7"/>
        <v>0</v>
      </c>
      <c r="Q24" s="285"/>
      <c r="R24" s="50">
        <f t="shared" si="3"/>
        <v>144.62466696263243</v>
      </c>
      <c r="S24" s="282">
        <f t="shared" si="8"/>
        <v>0</v>
      </c>
      <c r="T24" s="285"/>
      <c r="U24" s="50">
        <f t="shared" si="4"/>
        <v>176.88391632263244</v>
      </c>
      <c r="V24" s="282">
        <f t="shared" si="9"/>
        <v>0</v>
      </c>
      <c r="AA24" s="6"/>
      <c r="AB24" s="6"/>
    </row>
    <row r="25" spans="1:28" ht="15.6">
      <c r="A25" s="53" t="s">
        <v>102</v>
      </c>
      <c r="B25" s="19" t="s">
        <v>103</v>
      </c>
      <c r="C25" s="284">
        <v>28.013400000000001</v>
      </c>
      <c r="D25" s="283">
        <v>0</v>
      </c>
      <c r="E25" s="282">
        <v>0</v>
      </c>
      <c r="F25" s="51">
        <v>29</v>
      </c>
      <c r="G25" s="50">
        <v>0.21990000000000001</v>
      </c>
      <c r="H25" s="50">
        <v>0.57230000000000003</v>
      </c>
      <c r="I25" s="50">
        <v>-2.871</v>
      </c>
      <c r="J25" s="49">
        <f t="shared" si="5"/>
        <v>0.51544656</v>
      </c>
      <c r="K25" s="50">
        <f t="shared" si="0"/>
        <v>2.1808392161259224E-2</v>
      </c>
      <c r="L25" s="255">
        <f t="shared" si="1"/>
        <v>0</v>
      </c>
      <c r="M25" s="279">
        <f t="shared" si="2"/>
        <v>0</v>
      </c>
      <c r="N25" s="51">
        <f>'Combustion_Chaud4 (Micro)'!C66/100</f>
        <v>1.84E-2</v>
      </c>
      <c r="O25" s="50">
        <f t="shared" si="6"/>
        <v>29.040906861332303</v>
      </c>
      <c r="P25" s="52">
        <f t="shared" si="7"/>
        <v>2.3778694538058889</v>
      </c>
      <c r="Q25" s="51" t="e">
        <f>'Combustion_Chaud4 (Micro)'!G87</f>
        <v>#DIV/0!</v>
      </c>
      <c r="R25" s="50">
        <f t="shared" si="3"/>
        <v>29.040906861332303</v>
      </c>
      <c r="S25" s="282" t="e">
        <f t="shared" si="8"/>
        <v>#DIV/0!</v>
      </c>
      <c r="T25" s="51" t="e">
        <f>'Combustion_Chaud4 (Micro)'!L77</f>
        <v>#DIV/0!</v>
      </c>
      <c r="U25" s="50">
        <f t="shared" si="4"/>
        <v>29.340659745332303</v>
      </c>
      <c r="V25" s="282" t="e">
        <f>T25*U25*(U$7-$B$28)</f>
        <v>#DIV/0!</v>
      </c>
      <c r="AA25" s="6"/>
      <c r="AB25" s="6"/>
    </row>
    <row r="26" spans="1:28" ht="14.4">
      <c r="A26" s="55" t="s">
        <v>104</v>
      </c>
      <c r="B26" s="56" t="s">
        <v>105</v>
      </c>
      <c r="C26" s="281">
        <v>4.0026020000000004</v>
      </c>
      <c r="D26" s="280">
        <v>0</v>
      </c>
      <c r="E26" s="275">
        <v>0</v>
      </c>
      <c r="F26" s="59">
        <v>20.8</v>
      </c>
      <c r="G26" s="60">
        <v>0</v>
      </c>
      <c r="H26" s="60">
        <v>0</v>
      </c>
      <c r="I26" s="60">
        <v>0</v>
      </c>
      <c r="J26" s="61">
        <f t="shared" si="5"/>
        <v>1.2007806E-3</v>
      </c>
      <c r="K26" s="60">
        <f t="shared" si="0"/>
        <v>5.0804673571654341E-5</v>
      </c>
      <c r="L26" s="252">
        <f t="shared" si="1"/>
        <v>0</v>
      </c>
      <c r="M26" s="279">
        <f t="shared" si="2"/>
        <v>0</v>
      </c>
      <c r="N26" s="59">
        <f>'Combustion_Chaud4 (Micro)'!C67/100</f>
        <v>2.9999999999999997E-4</v>
      </c>
      <c r="O26" s="60">
        <f t="shared" si="6"/>
        <v>20.8</v>
      </c>
      <c r="P26" s="278">
        <f t="shared" si="7"/>
        <v>2.7767999999999994E-2</v>
      </c>
      <c r="Q26" s="277"/>
      <c r="R26" s="60">
        <f t="shared" si="3"/>
        <v>20.8</v>
      </c>
      <c r="S26" s="275">
        <f t="shared" si="8"/>
        <v>0</v>
      </c>
      <c r="T26" s="276">
        <f>L80</f>
        <v>2.9999999999999997E-4</v>
      </c>
      <c r="U26" s="60">
        <f t="shared" si="4"/>
        <v>20.8</v>
      </c>
      <c r="V26" s="275">
        <f t="shared" si="9"/>
        <v>1.150968</v>
      </c>
      <c r="AA26" s="6"/>
      <c r="AB26" s="6"/>
    </row>
    <row r="27" spans="1:28" ht="14.4">
      <c r="I27" s="274" t="s">
        <v>106</v>
      </c>
      <c r="J27" s="273">
        <f>SUM(J11:J26)</f>
        <v>16.730285854600002</v>
      </c>
      <c r="K27" s="272">
        <f>SUM(K11:K26)</f>
        <v>0.70785346765547263</v>
      </c>
      <c r="L27" s="271">
        <f>SUM(L11:L26)</f>
        <v>-882998.64600000007</v>
      </c>
      <c r="M27" s="270">
        <f>SUM(M11:M26)</f>
        <v>87510.404800000004</v>
      </c>
      <c r="N27" s="63">
        <f>SUM(N11:N26)</f>
        <v>0.99999999999999978</v>
      </c>
      <c r="O27" s="63"/>
      <c r="P27" s="269">
        <f>SUM(P11:P26)</f>
        <v>158.10690282484552</v>
      </c>
      <c r="Q27" s="64" t="e">
        <f>SUM(Q11:Q26)</f>
        <v>#DIV/0!</v>
      </c>
      <c r="R27" s="63"/>
      <c r="S27" s="269" t="e">
        <f>SUM(S11:S26)</f>
        <v>#DIV/0!</v>
      </c>
      <c r="T27" s="64" t="e">
        <f>SUM(T11:T26)</f>
        <v>#DIV/0!</v>
      </c>
      <c r="U27" s="63"/>
      <c r="V27" s="269" t="e">
        <f>SUM(V11:V26)</f>
        <v>#DIV/0!</v>
      </c>
      <c r="AA27" s="6"/>
      <c r="AB27" s="6"/>
    </row>
    <row r="28" spans="1:28" ht="14.4">
      <c r="A28" s="38" t="s">
        <v>319</v>
      </c>
      <c r="B28" s="268">
        <v>15.55</v>
      </c>
      <c r="C28" s="38" t="s">
        <v>318</v>
      </c>
      <c r="D28" s="38" t="s">
        <v>195</v>
      </c>
      <c r="E28" s="268">
        <v>14.73</v>
      </c>
      <c r="F28" s="19" t="s">
        <v>317</v>
      </c>
      <c r="AA28" s="6"/>
      <c r="AB28" s="6"/>
    </row>
    <row r="29" spans="1:28" ht="14.4">
      <c r="A29" s="38"/>
      <c r="B29" s="267">
        <f>B28+273.15</f>
        <v>288.7</v>
      </c>
      <c r="C29" s="38" t="s">
        <v>316</v>
      </c>
      <c r="D29" s="38"/>
      <c r="E29" s="266">
        <f>E28/0.145038*1000</f>
        <v>101559.59127952674</v>
      </c>
      <c r="F29" s="19" t="s">
        <v>155</v>
      </c>
      <c r="J29" s="1949" t="s">
        <v>315</v>
      </c>
      <c r="K29" s="1950"/>
      <c r="L29" s="1951"/>
      <c r="AA29" s="6"/>
      <c r="AB29" s="6"/>
    </row>
    <row r="30" spans="1:28" ht="14.4">
      <c r="A30" s="38" t="s">
        <v>314</v>
      </c>
      <c r="J30" s="265" t="s">
        <v>313</v>
      </c>
      <c r="K30" s="264" t="s">
        <v>312</v>
      </c>
      <c r="L30" s="263"/>
      <c r="N30" s="23"/>
      <c r="U30" s="24"/>
      <c r="V30" s="24"/>
      <c r="AA30" s="6"/>
      <c r="AB30" s="6"/>
    </row>
    <row r="31" spans="1:28" ht="14.4">
      <c r="D31" s="23"/>
      <c r="J31" s="262">
        <f>K31-M27/1000</f>
        <v>795.48824120000018</v>
      </c>
      <c r="K31" s="261">
        <f>ABS(L27/1000)</f>
        <v>882.99864600000012</v>
      </c>
      <c r="L31" s="66" t="s">
        <v>107</v>
      </c>
      <c r="AA31" s="6"/>
      <c r="AB31" s="6"/>
    </row>
    <row r="32" spans="1:28" ht="14.4">
      <c r="A32" s="38" t="s">
        <v>311</v>
      </c>
      <c r="B32" s="37">
        <v>8.3144621000000001</v>
      </c>
      <c r="C32" s="19" t="s">
        <v>310</v>
      </c>
      <c r="J32" s="256">
        <f>J31/(J27/1000)</f>
        <v>47547.797336725132</v>
      </c>
      <c r="K32" s="255">
        <f>K31/(J27/1000)</f>
        <v>52778.455411580377</v>
      </c>
      <c r="L32" s="67" t="s">
        <v>108</v>
      </c>
      <c r="AA32" s="6"/>
      <c r="AB32" s="6"/>
    </row>
    <row r="33" spans="1:28" ht="16.2">
      <c r="F33" s="24"/>
      <c r="I33" s="23"/>
      <c r="J33" s="260">
        <f>(J32/1000)*K27</f>
        <v>33.656873224180529</v>
      </c>
      <c r="K33" s="259">
        <f>(K32/1000)*K27</f>
        <v>37.359412680586914</v>
      </c>
      <c r="L33" s="67" t="s">
        <v>109</v>
      </c>
      <c r="M33" s="19" t="s">
        <v>303</v>
      </c>
      <c r="AA33" s="6"/>
      <c r="AB33" s="6"/>
    </row>
    <row r="34" spans="1:28" ht="14.4">
      <c r="A34" s="26" t="s">
        <v>309</v>
      </c>
      <c r="F34" s="24"/>
      <c r="I34" s="23"/>
      <c r="J34" s="258"/>
      <c r="K34" s="257"/>
      <c r="L34" s="67"/>
      <c r="AA34" s="6"/>
      <c r="AB34" s="6"/>
    </row>
    <row r="35" spans="1:28" ht="16.2">
      <c r="A35" s="254" t="s">
        <v>308</v>
      </c>
      <c r="F35" s="24"/>
      <c r="I35" s="24"/>
      <c r="J35" s="256">
        <f>(J33*1000)/1.055056*0.02831685</f>
        <v>903.32326488654292</v>
      </c>
      <c r="K35" s="255">
        <f>(K33*1000)/1.055056*0.02831685</f>
        <v>1002.696430297802</v>
      </c>
      <c r="L35" s="67" t="s">
        <v>307</v>
      </c>
      <c r="M35" s="19" t="s">
        <v>303</v>
      </c>
      <c r="AA35" s="6"/>
      <c r="AB35" s="6"/>
    </row>
    <row r="36" spans="1:28" ht="15.6">
      <c r="A36" s="254" t="s">
        <v>306</v>
      </c>
      <c r="J36" s="256">
        <f>(J32/1.055056)*0.4535924</f>
        <v>20441.871814082628</v>
      </c>
      <c r="K36" s="255">
        <f>(K32/1.055056)*0.4535924</f>
        <v>22690.649840796821</v>
      </c>
      <c r="L36" s="67" t="s">
        <v>305</v>
      </c>
      <c r="AA36" s="6"/>
      <c r="AB36" s="6"/>
    </row>
    <row r="37" spans="1:28" ht="14.4">
      <c r="A37" s="254"/>
      <c r="J37" s="253">
        <f>J35/7.480519</f>
        <v>120.75676365323621</v>
      </c>
      <c r="K37" s="252">
        <f>K35/7.480519</f>
        <v>134.04102446605668</v>
      </c>
      <c r="L37" s="70" t="s">
        <v>304</v>
      </c>
      <c r="M37" s="19" t="s">
        <v>303</v>
      </c>
      <c r="AA37" s="6"/>
      <c r="AB37" s="6"/>
    </row>
    <row r="38" spans="1:28" ht="14.4">
      <c r="AA38" s="6"/>
      <c r="AB38" s="6"/>
    </row>
    <row r="39" spans="1:28" ht="14.4">
      <c r="B39" s="23"/>
      <c r="F39" s="38"/>
      <c r="H39" s="71"/>
      <c r="AA39" s="6"/>
      <c r="AB39" s="6"/>
    </row>
    <row r="40" spans="1:28" ht="14.4">
      <c r="B40" s="23"/>
      <c r="F40" s="72" t="s">
        <v>112</v>
      </c>
      <c r="H40" s="38"/>
      <c r="AA40" s="6"/>
      <c r="AB40" s="6"/>
    </row>
    <row r="41" spans="1:28" ht="14.4">
      <c r="B41" s="23"/>
      <c r="E41" s="73" t="s">
        <v>102</v>
      </c>
      <c r="F41" s="251">
        <v>0.78995048751598307</v>
      </c>
      <c r="H41" s="38"/>
      <c r="AA41" s="6"/>
      <c r="AB41" s="6"/>
    </row>
    <row r="42" spans="1:28" ht="14.4">
      <c r="B42" s="23"/>
      <c r="E42" s="73" t="s">
        <v>88</v>
      </c>
      <c r="F42" s="251">
        <f>1-F41</f>
        <v>0.21004951248401693</v>
      </c>
      <c r="G42" s="74"/>
      <c r="H42" s="38"/>
      <c r="AA42" s="6"/>
      <c r="AB42" s="6"/>
    </row>
    <row r="43" spans="1:28" ht="14.4">
      <c r="A43" s="26" t="s">
        <v>113</v>
      </c>
      <c r="B43" s="23"/>
      <c r="E43" s="73" t="s">
        <v>114</v>
      </c>
      <c r="F43" s="251">
        <v>0</v>
      </c>
      <c r="G43" s="74"/>
      <c r="H43" s="38"/>
      <c r="AA43" s="6"/>
      <c r="AB43" s="6"/>
    </row>
    <row r="44" spans="1:28" ht="14.4">
      <c r="B44" s="23"/>
      <c r="F44" s="74"/>
      <c r="G44" s="74"/>
      <c r="H44" s="75"/>
      <c r="AA44" s="6"/>
      <c r="AB44" s="6"/>
    </row>
    <row r="45" spans="1:28" ht="16.8" thickBot="1">
      <c r="B45" s="23"/>
      <c r="G45" s="68"/>
      <c r="H45" s="76"/>
      <c r="AA45" s="6"/>
      <c r="AB45" s="6"/>
    </row>
    <row r="46" spans="1:28" ht="14.4">
      <c r="A46" s="1929" t="s">
        <v>302</v>
      </c>
      <c r="B46" s="1930"/>
      <c r="C46" s="1930"/>
      <c r="D46" s="1930"/>
      <c r="E46" s="1930"/>
      <c r="F46" s="1930"/>
      <c r="G46" s="1930"/>
      <c r="H46" s="1930"/>
      <c r="I46" s="1930"/>
      <c r="J46" s="250"/>
      <c r="AA46" s="6"/>
      <c r="AB46" s="6"/>
    </row>
    <row r="47" spans="1:28" ht="14.4">
      <c r="A47" s="77"/>
      <c r="B47" s="37"/>
      <c r="C47" s="37"/>
      <c r="D47" s="37"/>
      <c r="E47" s="37"/>
      <c r="J47" s="248"/>
      <c r="AA47" s="6"/>
      <c r="AB47" s="6"/>
    </row>
    <row r="48" spans="1:28" ht="14.4">
      <c r="A48" s="79"/>
      <c r="B48" s="24"/>
      <c r="C48" s="27" t="s">
        <v>115</v>
      </c>
      <c r="D48" s="1920" t="s">
        <v>301</v>
      </c>
      <c r="E48" s="1921"/>
      <c r="F48" s="1921"/>
      <c r="G48" s="1921"/>
      <c r="H48" s="1937"/>
      <c r="I48" s="249" t="s">
        <v>287</v>
      </c>
      <c r="J48" s="248"/>
      <c r="AA48" s="6"/>
      <c r="AB48" s="6"/>
    </row>
    <row r="49" spans="1:28" ht="15.6">
      <c r="A49" s="79"/>
      <c r="B49" s="24"/>
      <c r="C49" s="247" t="s">
        <v>300</v>
      </c>
      <c r="D49" s="35" t="s">
        <v>116</v>
      </c>
      <c r="E49" s="37" t="s">
        <v>117</v>
      </c>
      <c r="F49" s="37" t="s">
        <v>105</v>
      </c>
      <c r="G49" s="37" t="s">
        <v>118</v>
      </c>
      <c r="H49" s="36" t="s">
        <v>119</v>
      </c>
      <c r="I49" s="80" t="s">
        <v>120</v>
      </c>
      <c r="AA49" s="6"/>
      <c r="AB49" s="6"/>
    </row>
    <row r="50" spans="1:28" ht="14.4">
      <c r="A50" s="81" t="s">
        <v>121</v>
      </c>
      <c r="B50" s="23"/>
      <c r="C50" s="82"/>
      <c r="D50" s="35"/>
      <c r="E50" s="37"/>
      <c r="F50" s="37"/>
      <c r="G50" s="37"/>
      <c r="H50" s="36"/>
      <c r="I50" s="83"/>
      <c r="AA50" s="6"/>
      <c r="AB50" s="6"/>
    </row>
    <row r="51" spans="1:28" ht="14.4">
      <c r="A51" s="81"/>
      <c r="B51" s="84" t="s">
        <v>119</v>
      </c>
      <c r="C51" s="85">
        <f>SUM(C53:C67)</f>
        <v>100.00000000000001</v>
      </c>
      <c r="D51" s="86">
        <f>SUM(D53:D67)</f>
        <v>1.0020999999999998</v>
      </c>
      <c r="E51" s="87">
        <f t="shared" ref="E51:H51" si="10">SUM(E53:E67)</f>
        <v>1.9705999999999999</v>
      </c>
      <c r="F51" s="87">
        <f t="shared" si="10"/>
        <v>2.9999999999999997E-4</v>
      </c>
      <c r="G51" s="87">
        <f t="shared" si="10"/>
        <v>1.84E-2</v>
      </c>
      <c r="H51" s="88">
        <f t="shared" si="10"/>
        <v>2.9914000000000001</v>
      </c>
      <c r="I51" s="89">
        <f>SUM(I53:I67)</f>
        <v>1.9809999999999999</v>
      </c>
      <c r="AA51" s="6"/>
      <c r="AB51" s="6"/>
    </row>
    <row r="52" spans="1:28" ht="14.4">
      <c r="A52" s="79"/>
      <c r="B52" s="23"/>
      <c r="H52" s="50"/>
      <c r="I52" s="78"/>
      <c r="AA52" s="6"/>
      <c r="AB52" s="6"/>
    </row>
    <row r="53" spans="1:28" ht="15.6">
      <c r="A53" s="79" t="s">
        <v>88</v>
      </c>
      <c r="B53" s="19" t="s">
        <v>89</v>
      </c>
      <c r="C53" s="305">
        <v>0</v>
      </c>
      <c r="D53" s="90"/>
      <c r="E53" s="90"/>
      <c r="F53" s="90"/>
      <c r="G53" s="90"/>
      <c r="H53" s="50">
        <f t="shared" ref="H53:H67" si="11">SUM(D53:G53)</f>
        <v>0</v>
      </c>
      <c r="I53" s="91">
        <f>-C53/100</f>
        <v>0</v>
      </c>
      <c r="AA53" s="6"/>
      <c r="AB53" s="6"/>
    </row>
    <row r="54" spans="1:28" ht="14.4">
      <c r="A54" s="79" t="s">
        <v>299</v>
      </c>
      <c r="B54" s="19" t="s">
        <v>90</v>
      </c>
      <c r="C54" s="305">
        <v>0</v>
      </c>
      <c r="D54" s="90">
        <f>C54/100</f>
        <v>0</v>
      </c>
      <c r="E54" s="90"/>
      <c r="F54" s="90"/>
      <c r="G54" s="90"/>
      <c r="H54" s="50">
        <f t="shared" si="11"/>
        <v>0</v>
      </c>
      <c r="I54" s="246">
        <f>D54+E54/2</f>
        <v>0</v>
      </c>
      <c r="AA54" s="6"/>
      <c r="AB54" s="6"/>
    </row>
    <row r="55" spans="1:28" ht="15.6">
      <c r="A55" s="79" t="s">
        <v>284</v>
      </c>
      <c r="B55" s="19" t="s">
        <v>91</v>
      </c>
      <c r="C55" s="305">
        <v>0.64</v>
      </c>
      <c r="D55" s="90">
        <f>C55/100</f>
        <v>6.4000000000000003E-3</v>
      </c>
      <c r="E55" s="90"/>
      <c r="F55" s="90"/>
      <c r="G55" s="90"/>
      <c r="H55" s="50">
        <f t="shared" si="11"/>
        <v>6.4000000000000003E-3</v>
      </c>
      <c r="I55" s="91">
        <v>0</v>
      </c>
      <c r="AA55" s="6"/>
      <c r="AB55" s="6"/>
    </row>
    <row r="56" spans="1:28" ht="15.6">
      <c r="A56" s="79" t="s">
        <v>92</v>
      </c>
      <c r="B56" s="19" t="s">
        <v>93</v>
      </c>
      <c r="C56" s="305">
        <v>0</v>
      </c>
      <c r="D56" s="90"/>
      <c r="E56" s="90">
        <f>C56/100</f>
        <v>0</v>
      </c>
      <c r="F56" s="90"/>
      <c r="G56" s="90"/>
      <c r="H56" s="50">
        <f t="shared" si="11"/>
        <v>0</v>
      </c>
      <c r="I56" s="91">
        <f>D56+E56/2</f>
        <v>0</v>
      </c>
      <c r="AA56" s="6"/>
      <c r="AB56" s="6"/>
    </row>
    <row r="57" spans="1:28" ht="15.6">
      <c r="A57" s="79" t="s">
        <v>94</v>
      </c>
      <c r="B57" s="19" t="s">
        <v>298</v>
      </c>
      <c r="C57" s="305">
        <v>0</v>
      </c>
      <c r="D57" s="90"/>
      <c r="E57" s="90">
        <f>C57/100</f>
        <v>0</v>
      </c>
      <c r="F57" s="90"/>
      <c r="G57" s="90"/>
      <c r="H57" s="50">
        <f t="shared" si="11"/>
        <v>0</v>
      </c>
      <c r="I57" s="246">
        <v>0</v>
      </c>
      <c r="AA57" s="6"/>
      <c r="AB57" s="6"/>
    </row>
    <row r="58" spans="1:28" ht="15.6">
      <c r="A58" s="79" t="s">
        <v>97</v>
      </c>
      <c r="B58" s="19" t="s">
        <v>98</v>
      </c>
      <c r="C58" s="305">
        <v>95.67</v>
      </c>
      <c r="D58" s="90">
        <f>C58/100</f>
        <v>0.95669999999999999</v>
      </c>
      <c r="E58" s="90">
        <f>C58/100*2</f>
        <v>1.9134</v>
      </c>
      <c r="F58" s="90"/>
      <c r="G58" s="90"/>
      <c r="H58" s="50">
        <f t="shared" si="11"/>
        <v>2.8700999999999999</v>
      </c>
      <c r="I58" s="91">
        <f t="shared" ref="I58:I64" si="12">D58+E58/2</f>
        <v>1.9134</v>
      </c>
      <c r="AA58" s="6"/>
      <c r="AB58" s="6"/>
    </row>
    <row r="59" spans="1:28" ht="15.6">
      <c r="A59" s="79" t="s">
        <v>99</v>
      </c>
      <c r="B59" s="19" t="s">
        <v>297</v>
      </c>
      <c r="C59" s="305">
        <v>1.62</v>
      </c>
      <c r="D59" s="90">
        <f>C59*2/100</f>
        <v>3.2400000000000005E-2</v>
      </c>
      <c r="E59" s="90">
        <f>C59/100*3</f>
        <v>4.8600000000000004E-2</v>
      </c>
      <c r="F59" s="90"/>
      <c r="G59" s="90"/>
      <c r="H59" s="50">
        <f t="shared" si="11"/>
        <v>8.1000000000000016E-2</v>
      </c>
      <c r="I59" s="91">
        <f t="shared" si="12"/>
        <v>5.6700000000000007E-2</v>
      </c>
      <c r="AA59" s="6"/>
      <c r="AB59" s="6"/>
    </row>
    <row r="60" spans="1:28" ht="15.6">
      <c r="A60" s="79" t="s">
        <v>100</v>
      </c>
      <c r="B60" s="19" t="s">
        <v>296</v>
      </c>
      <c r="C60" s="305">
        <v>0.14000000000000001</v>
      </c>
      <c r="D60" s="90">
        <f>C60*3/100</f>
        <v>4.2000000000000006E-3</v>
      </c>
      <c r="E60" s="90">
        <f>C60/100*4</f>
        <v>5.6000000000000008E-3</v>
      </c>
      <c r="F60" s="90"/>
      <c r="G60" s="90"/>
      <c r="H60" s="50">
        <f t="shared" si="11"/>
        <v>9.8000000000000014E-3</v>
      </c>
      <c r="I60" s="91">
        <f t="shared" si="12"/>
        <v>7.000000000000001E-3</v>
      </c>
      <c r="AA60" s="6"/>
      <c r="AB60" s="6"/>
    </row>
    <row r="61" spans="1:28" ht="15.6">
      <c r="A61" s="79" t="s">
        <v>295</v>
      </c>
      <c r="B61" s="19" t="s">
        <v>294</v>
      </c>
      <c r="C61" s="305">
        <v>0.04</v>
      </c>
      <c r="D61" s="90">
        <f>C61*4/100</f>
        <v>1.6000000000000001E-3</v>
      </c>
      <c r="E61" s="90">
        <f>C61/100*5</f>
        <v>2E-3</v>
      </c>
      <c r="F61" s="90"/>
      <c r="G61" s="90"/>
      <c r="H61" s="50">
        <f t="shared" si="11"/>
        <v>3.5999999999999999E-3</v>
      </c>
      <c r="I61" s="91">
        <f t="shared" si="12"/>
        <v>2.5999999999999999E-3</v>
      </c>
      <c r="AA61" s="6"/>
      <c r="AB61" s="6"/>
    </row>
    <row r="62" spans="1:28" ht="15.6">
      <c r="A62" s="79" t="s">
        <v>101</v>
      </c>
      <c r="B62" s="19" t="s">
        <v>294</v>
      </c>
      <c r="C62" s="305">
        <v>0.02</v>
      </c>
      <c r="D62" s="90">
        <f>C62*4/100</f>
        <v>8.0000000000000004E-4</v>
      </c>
      <c r="E62" s="90">
        <f>C62/100*5</f>
        <v>1E-3</v>
      </c>
      <c r="F62" s="90"/>
      <c r="G62" s="90"/>
      <c r="H62" s="50">
        <f t="shared" si="11"/>
        <v>1.8E-3</v>
      </c>
      <c r="I62" s="91">
        <f t="shared" si="12"/>
        <v>1.2999999999999999E-3</v>
      </c>
      <c r="AA62" s="6"/>
      <c r="AB62" s="6"/>
    </row>
    <row r="63" spans="1:28" ht="15.6">
      <c r="A63" s="53" t="s">
        <v>293</v>
      </c>
      <c r="B63" s="19" t="s">
        <v>292</v>
      </c>
      <c r="C63" s="305">
        <v>0</v>
      </c>
      <c r="D63" s="90">
        <f>C63*5/100</f>
        <v>0</v>
      </c>
      <c r="E63" s="90">
        <f>C63/100*6</f>
        <v>0</v>
      </c>
      <c r="F63" s="90"/>
      <c r="G63" s="90"/>
      <c r="H63" s="50">
        <f t="shared" si="11"/>
        <v>0</v>
      </c>
      <c r="I63" s="91">
        <f t="shared" si="12"/>
        <v>0</v>
      </c>
      <c r="AA63" s="6"/>
      <c r="AB63" s="6"/>
    </row>
    <row r="64" spans="1:28" ht="15.6">
      <c r="A64" s="53" t="s">
        <v>291</v>
      </c>
      <c r="B64" s="19" t="s">
        <v>290</v>
      </c>
      <c r="C64" s="305">
        <v>0</v>
      </c>
      <c r="D64" s="90">
        <f>C64*5/100</f>
        <v>0</v>
      </c>
      <c r="E64" s="90">
        <f>C64/100*6</f>
        <v>0</v>
      </c>
      <c r="F64" s="90"/>
      <c r="G64" s="90"/>
      <c r="H64" s="50">
        <f t="shared" si="11"/>
        <v>0</v>
      </c>
      <c r="I64" s="91">
        <f t="shared" si="12"/>
        <v>0</v>
      </c>
      <c r="AA64" s="6"/>
      <c r="AB64" s="6"/>
    </row>
    <row r="65" spans="1:28" ht="15.6">
      <c r="A65" s="53" t="s">
        <v>289</v>
      </c>
      <c r="B65" s="19" t="s">
        <v>288</v>
      </c>
      <c r="C65" s="305">
        <v>0</v>
      </c>
      <c r="D65" s="90">
        <f>C65*6/100</f>
        <v>0</v>
      </c>
      <c r="E65" s="90">
        <f>C65/100*7</f>
        <v>0</v>
      </c>
      <c r="F65" s="90"/>
      <c r="G65" s="90"/>
      <c r="H65" s="50">
        <f t="shared" si="11"/>
        <v>0</v>
      </c>
      <c r="I65" s="91">
        <f>D65+E65/2</f>
        <v>0</v>
      </c>
      <c r="AA65" s="6"/>
      <c r="AB65" s="6"/>
    </row>
    <row r="66" spans="1:28" ht="15.6">
      <c r="A66" s="79" t="s">
        <v>102</v>
      </c>
      <c r="B66" s="19" t="s">
        <v>103</v>
      </c>
      <c r="C66" s="305">
        <v>1.84</v>
      </c>
      <c r="D66" s="90"/>
      <c r="E66" s="90"/>
      <c r="G66" s="90">
        <f>C66/100</f>
        <v>1.84E-2</v>
      </c>
      <c r="H66" s="50">
        <f t="shared" si="11"/>
        <v>1.84E-2</v>
      </c>
      <c r="I66" s="91">
        <v>0</v>
      </c>
      <c r="AA66" s="6"/>
      <c r="AB66" s="6"/>
    </row>
    <row r="67" spans="1:28" ht="15" thickBot="1">
      <c r="A67" s="92" t="s">
        <v>104</v>
      </c>
      <c r="B67" s="93" t="s">
        <v>105</v>
      </c>
      <c r="C67" s="306">
        <v>0.03</v>
      </c>
      <c r="D67" s="95"/>
      <c r="E67" s="95"/>
      <c r="F67" s="95">
        <f>C67/100</f>
        <v>2.9999999999999997E-4</v>
      </c>
      <c r="G67" s="93"/>
      <c r="H67" s="96">
        <f t="shared" si="11"/>
        <v>2.9999999999999997E-4</v>
      </c>
      <c r="I67" s="97">
        <v>0</v>
      </c>
      <c r="AA67" s="6"/>
      <c r="AB67" s="6"/>
    </row>
    <row r="68" spans="1:28" ht="14.4">
      <c r="B68" s="23"/>
      <c r="AA68" s="6"/>
      <c r="AB68" s="6"/>
    </row>
    <row r="69" spans="1:28" ht="15" thickBot="1">
      <c r="B69" s="23"/>
      <c r="C69" s="375" t="s">
        <v>420</v>
      </c>
      <c r="D69" s="37"/>
      <c r="E69" s="98"/>
      <c r="F69" s="98"/>
      <c r="G69" s="98"/>
      <c r="H69" s="98"/>
      <c r="I69" s="98"/>
      <c r="J69" s="98"/>
      <c r="AA69" s="6"/>
      <c r="AB69" s="6"/>
    </row>
    <row r="70" spans="1:28" ht="14.4">
      <c r="A70" s="1929" t="s">
        <v>122</v>
      </c>
      <c r="B70" s="1930"/>
      <c r="C70" s="1930"/>
      <c r="D70" s="1930"/>
      <c r="E70" s="1930"/>
      <c r="F70" s="1930"/>
      <c r="G70" s="1931"/>
      <c r="H70" s="98"/>
      <c r="I70" s="1929" t="s">
        <v>123</v>
      </c>
      <c r="J70" s="1930"/>
      <c r="K70" s="1930"/>
      <c r="L70" s="1930"/>
      <c r="M70" s="1930"/>
      <c r="N70" s="1931"/>
      <c r="AA70" s="6"/>
      <c r="AB70" s="6"/>
    </row>
    <row r="71" spans="1:28" ht="14.4">
      <c r="A71" s="99"/>
      <c r="C71" s="37"/>
      <c r="D71" s="1920" t="s">
        <v>124</v>
      </c>
      <c r="E71" s="1921"/>
      <c r="F71" s="1921"/>
      <c r="G71" s="1922"/>
      <c r="H71" s="98"/>
      <c r="I71" s="79"/>
      <c r="K71" s="37"/>
      <c r="L71" s="1923" t="s">
        <v>124</v>
      </c>
      <c r="M71" s="1924"/>
      <c r="N71" s="1925"/>
      <c r="AA71" s="6"/>
      <c r="AB71" s="6"/>
    </row>
    <row r="72" spans="1:28" ht="15.6">
      <c r="A72" s="99"/>
      <c r="C72" s="23"/>
      <c r="D72" s="35" t="s">
        <v>125</v>
      </c>
      <c r="E72" s="37" t="s">
        <v>126</v>
      </c>
      <c r="F72" s="37" t="s">
        <v>127</v>
      </c>
      <c r="G72" s="100" t="s">
        <v>128</v>
      </c>
      <c r="H72" s="90"/>
      <c r="I72" s="79"/>
      <c r="K72" s="37"/>
      <c r="L72" s="53"/>
      <c r="M72" s="1924" t="s">
        <v>129</v>
      </c>
      <c r="N72" s="1925"/>
      <c r="AA72" s="6"/>
      <c r="AB72" s="6"/>
    </row>
    <row r="73" spans="1:28" ht="27">
      <c r="A73" s="79"/>
      <c r="C73" s="23"/>
      <c r="D73" s="55" t="b">
        <v>1</v>
      </c>
      <c r="E73" s="304"/>
      <c r="F73" s="56"/>
      <c r="G73" s="101"/>
      <c r="H73" s="90"/>
      <c r="I73" s="77"/>
      <c r="K73" s="37"/>
      <c r="L73" s="245" t="s">
        <v>287</v>
      </c>
      <c r="M73" s="40" t="s">
        <v>130</v>
      </c>
      <c r="N73" s="102" t="s">
        <v>131</v>
      </c>
      <c r="AA73" s="6"/>
      <c r="AB73" s="6"/>
    </row>
    <row r="74" spans="1:28" ht="14.4">
      <c r="A74" s="79"/>
      <c r="C74" s="23"/>
      <c r="D74" s="65">
        <f>IF(D73,1,"-")</f>
        <v>1</v>
      </c>
      <c r="E74" s="65" t="str">
        <f>IF(E73,2,"-")</f>
        <v>-</v>
      </c>
      <c r="F74" s="65" t="str">
        <f>IF(F73,3,"-")</f>
        <v>-</v>
      </c>
      <c r="G74" s="103">
        <f>AVERAGE(D74:F74)</f>
        <v>1</v>
      </c>
      <c r="H74" s="90"/>
      <c r="I74" s="77"/>
      <c r="K74" s="37"/>
      <c r="L74" s="37"/>
      <c r="N74" s="78"/>
      <c r="AA74" s="6"/>
      <c r="AB74" s="6"/>
    </row>
    <row r="75" spans="1:28" ht="14.4">
      <c r="A75" s="81" t="s">
        <v>132</v>
      </c>
      <c r="C75" s="23"/>
      <c r="D75" s="244" t="e">
        <f>D83/D80</f>
        <v>#DIV/0!</v>
      </c>
      <c r="E75" s="371"/>
      <c r="F75" s="244" t="e">
        <f>F82/F79</f>
        <v>#DIV/0!</v>
      </c>
      <c r="G75" s="238" t="e">
        <f>INDEX(D75:F75,G$74)</f>
        <v>#DIV/0!</v>
      </c>
      <c r="H75" s="244"/>
      <c r="I75" s="81" t="s">
        <v>119</v>
      </c>
      <c r="K75" s="239" t="s">
        <v>286</v>
      </c>
      <c r="L75" s="105" t="e">
        <f>SUM(L77:L81)</f>
        <v>#DIV/0!</v>
      </c>
      <c r="M75" s="243" t="e">
        <f>SUM(M77:M81)</f>
        <v>#DIV/0!</v>
      </c>
      <c r="N75" s="242" t="e">
        <f>SUM(N77:N81)</f>
        <v>#DIV/0!</v>
      </c>
      <c r="AA75" s="6"/>
      <c r="AB75" s="6"/>
    </row>
    <row r="76" spans="1:28" ht="14.4">
      <c r="A76" s="79" t="s">
        <v>133</v>
      </c>
      <c r="C76" s="23"/>
      <c r="D76" s="223" t="e">
        <f>'Micromodulation et sonde O2'!G51</f>
        <v>#DIV/0!</v>
      </c>
      <c r="E76" s="222">
        <f>E82/(E79*($F$41/$F$42)+H51-E51+E82/$F$42)</f>
        <v>0</v>
      </c>
      <c r="F76" s="241" t="e">
        <f>F82/(F79*($F$41/$F$42)+H51-E51+F82/$F$42)</f>
        <v>#DIV/0!</v>
      </c>
      <c r="G76" s="240" t="e">
        <f>INDEX(D76:F76,G$74)</f>
        <v>#DIV/0!</v>
      </c>
      <c r="H76" s="106"/>
      <c r="I76" s="77"/>
      <c r="K76" s="239"/>
      <c r="L76" s="37"/>
      <c r="N76" s="78"/>
      <c r="AA76" s="6"/>
      <c r="AB76" s="6"/>
    </row>
    <row r="77" spans="1:28" ht="14.4">
      <c r="A77" s="79" t="s">
        <v>285</v>
      </c>
      <c r="C77" s="23"/>
      <c r="D77" s="222" t="e">
        <f>$N$78</f>
        <v>#DIV/0!</v>
      </c>
      <c r="E77" s="222" t="e">
        <f>N78</f>
        <v>#DIV/0!</v>
      </c>
      <c r="F77" s="319"/>
      <c r="G77" s="238" t="e">
        <f>INDEX(D77:F77,G$74)</f>
        <v>#DIV/0!</v>
      </c>
      <c r="H77" s="222"/>
      <c r="I77" s="79" t="s">
        <v>102</v>
      </c>
      <c r="K77" s="237" t="s">
        <v>276</v>
      </c>
      <c r="L77" s="50" t="e">
        <f>G87</f>
        <v>#DIV/0!</v>
      </c>
      <c r="M77" s="222" t="e">
        <f t="shared" ref="M77:M82" si="13">L77/$L$75</f>
        <v>#DIV/0!</v>
      </c>
      <c r="N77" s="236" t="e">
        <f>L77/($L$75-$L$81)</f>
        <v>#DIV/0!</v>
      </c>
      <c r="AA77" s="6"/>
      <c r="AB77" s="6"/>
    </row>
    <row r="78" spans="1:28" ht="14.4">
      <c r="A78" s="79"/>
      <c r="C78" s="23"/>
      <c r="F78" s="37"/>
      <c r="G78" s="107"/>
      <c r="H78" s="106"/>
      <c r="I78" s="79" t="s">
        <v>284</v>
      </c>
      <c r="K78" s="237" t="s">
        <v>276</v>
      </c>
      <c r="L78" s="50">
        <f>D51</f>
        <v>1.0020999999999998</v>
      </c>
      <c r="M78" s="222" t="e">
        <f t="shared" si="13"/>
        <v>#DIV/0!</v>
      </c>
      <c r="N78" s="236" t="e">
        <f>L78/($L$75-$L$81)</f>
        <v>#DIV/0!</v>
      </c>
      <c r="AA78" s="6"/>
      <c r="AB78" s="6"/>
    </row>
    <row r="79" spans="1:28" ht="14.4">
      <c r="A79" s="79" t="s">
        <v>283</v>
      </c>
      <c r="C79" s="23" t="s">
        <v>276</v>
      </c>
      <c r="D79" s="50">
        <f>$I$51</f>
        <v>1.9809999999999999</v>
      </c>
      <c r="E79" s="50">
        <f>$I$51</f>
        <v>1.9809999999999999</v>
      </c>
      <c r="F79" s="50">
        <f>$I$51</f>
        <v>1.9809999999999999</v>
      </c>
      <c r="G79" s="230">
        <f>INDEX(D79:F79,G$74)</f>
        <v>1.9809999999999999</v>
      </c>
      <c r="H79" s="50"/>
      <c r="I79" s="79" t="s">
        <v>88</v>
      </c>
      <c r="K79" s="237" t="s">
        <v>276</v>
      </c>
      <c r="L79" s="50" t="e">
        <f>G82</f>
        <v>#DIV/0!</v>
      </c>
      <c r="M79" s="222" t="e">
        <f t="shared" si="13"/>
        <v>#DIV/0!</v>
      </c>
      <c r="N79" s="236" t="e">
        <f>L79/($L$75-$L$81)</f>
        <v>#DIV/0!</v>
      </c>
      <c r="AA79" s="6"/>
      <c r="AB79" s="6"/>
    </row>
    <row r="80" spans="1:28" ht="14.4">
      <c r="A80" s="79" t="s">
        <v>282</v>
      </c>
      <c r="C80" s="23" t="s">
        <v>276</v>
      </c>
      <c r="D80" s="50">
        <f>D79/$F$42</f>
        <v>9.4311097253831431</v>
      </c>
      <c r="E80" s="50">
        <f>E79/$F$42</f>
        <v>9.4311097253831431</v>
      </c>
      <c r="F80" s="50">
        <f>F79/$F$42</f>
        <v>9.4311097253831431</v>
      </c>
      <c r="G80" s="230">
        <f>INDEX(D80:F80,G$74)</f>
        <v>9.4311097253831431</v>
      </c>
      <c r="H80" s="50"/>
      <c r="I80" s="79" t="s">
        <v>104</v>
      </c>
      <c r="K80" s="237" t="s">
        <v>276</v>
      </c>
      <c r="L80" s="50">
        <f>F51</f>
        <v>2.9999999999999997E-4</v>
      </c>
      <c r="M80" s="222" t="e">
        <f t="shared" si="13"/>
        <v>#DIV/0!</v>
      </c>
      <c r="N80" s="236" t="e">
        <f>L80/($L$75-$L$81)</f>
        <v>#DIV/0!</v>
      </c>
      <c r="AA80" s="6"/>
      <c r="AB80" s="6"/>
    </row>
    <row r="81" spans="1:28" ht="14.4">
      <c r="A81" s="79"/>
      <c r="C81" s="23"/>
      <c r="D81" s="50"/>
      <c r="E81" s="108"/>
      <c r="F81" s="105"/>
      <c r="G81" s="109"/>
      <c r="H81" s="50"/>
      <c r="I81" s="79" t="s">
        <v>135</v>
      </c>
      <c r="K81" s="237" t="s">
        <v>276</v>
      </c>
      <c r="L81" s="50" t="e">
        <f>G89+E51</f>
        <v>#DIV/0!</v>
      </c>
      <c r="M81" s="222" t="e">
        <f t="shared" si="13"/>
        <v>#DIV/0!</v>
      </c>
      <c r="N81" s="236">
        <v>0</v>
      </c>
      <c r="AA81" s="6"/>
      <c r="AB81" s="6"/>
    </row>
    <row r="82" spans="1:28" ht="14.4">
      <c r="A82" s="79" t="s">
        <v>134</v>
      </c>
      <c r="C82" s="23" t="s">
        <v>276</v>
      </c>
      <c r="D82" s="50" t="e">
        <f>D76/(1-D76/$F$42)*(($H$51-$E$51)+D79*$F$41/$F$42)</f>
        <v>#DIV/0!</v>
      </c>
      <c r="E82" s="50">
        <f>E79*$E$75</f>
        <v>0</v>
      </c>
      <c r="F82" s="90" t="e">
        <f>(D51/F77-(H51-E51)-F79*(F41/F42))/(1+F41/F42)</f>
        <v>#DIV/0!</v>
      </c>
      <c r="G82" s="230" t="e">
        <f>INDEX(D82:F82,G$74)</f>
        <v>#DIV/0!</v>
      </c>
      <c r="H82" s="50"/>
      <c r="I82" s="110" t="s">
        <v>137</v>
      </c>
      <c r="J82" s="111"/>
      <c r="K82" s="235" t="s">
        <v>276</v>
      </c>
      <c r="L82" s="112" t="e">
        <f>L92</f>
        <v>#DIV/0!</v>
      </c>
      <c r="M82" s="234" t="e">
        <f t="shared" si="13"/>
        <v>#DIV/0!</v>
      </c>
      <c r="N82" s="233">
        <v>1</v>
      </c>
      <c r="AA82" s="6"/>
      <c r="AB82" s="6"/>
    </row>
    <row r="83" spans="1:28" ht="14.4">
      <c r="A83" s="79" t="s">
        <v>136</v>
      </c>
      <c r="C83" s="23" t="s">
        <v>276</v>
      </c>
      <c r="D83" s="50" t="e">
        <f>D82/F42</f>
        <v>#DIV/0!</v>
      </c>
      <c r="E83" s="50">
        <f>E80*$E$75</f>
        <v>0</v>
      </c>
      <c r="F83" s="50" t="e">
        <f>F82/F42</f>
        <v>#DIV/0!</v>
      </c>
      <c r="G83" s="230" t="e">
        <f>INDEX(D83:F83,G$74)</f>
        <v>#DIV/0!</v>
      </c>
      <c r="H83" s="50"/>
      <c r="I83" s="79" t="s">
        <v>281</v>
      </c>
      <c r="K83" s="23" t="s">
        <v>138</v>
      </c>
      <c r="L83" s="50"/>
      <c r="M83" s="50" t="e">
        <f>M77*$C$12+M78*$C$13+M79*$C$11+M80*$C$26+M81*$C$15</f>
        <v>#DIV/0!</v>
      </c>
      <c r="N83" s="78"/>
      <c r="O83" s="113"/>
      <c r="AA83" s="6"/>
      <c r="AB83" s="6"/>
    </row>
    <row r="84" spans="1:28" ht="14.4">
      <c r="A84" s="79"/>
      <c r="C84" s="23"/>
      <c r="F84" s="37"/>
      <c r="G84" s="109"/>
      <c r="I84" s="79"/>
      <c r="N84" s="78"/>
      <c r="AA84" s="6"/>
      <c r="AB84" s="6"/>
    </row>
    <row r="85" spans="1:28" ht="14.4">
      <c r="A85" s="81" t="s">
        <v>139</v>
      </c>
      <c r="C85" s="37" t="s">
        <v>276</v>
      </c>
      <c r="D85" s="105" t="e">
        <f>SUM(D87:D89)</f>
        <v>#DIV/0!</v>
      </c>
      <c r="E85" s="105">
        <f>SUM(E87:E89)</f>
        <v>9.4420021956276443</v>
      </c>
      <c r="F85" s="105" t="e">
        <f>SUM(F87:F89)</f>
        <v>#DIV/0!</v>
      </c>
      <c r="G85" s="230" t="e">
        <f>INDEX(D85:F85,G$74)</f>
        <v>#DIV/0!</v>
      </c>
      <c r="H85" s="105"/>
      <c r="I85" s="81" t="s">
        <v>140</v>
      </c>
      <c r="K85" s="23"/>
      <c r="L85" s="37" t="e">
        <f>IF(L87&lt;L88,"VRAI","FAUX")</f>
        <v>#DIV/0!</v>
      </c>
      <c r="N85" s="78"/>
      <c r="AA85" s="6"/>
      <c r="AB85" s="6"/>
    </row>
    <row r="86" spans="1:28" ht="14.4">
      <c r="A86" s="79"/>
      <c r="G86" s="114"/>
      <c r="I86" s="79" t="s">
        <v>141</v>
      </c>
      <c r="K86" s="23" t="s">
        <v>142</v>
      </c>
      <c r="L86" s="50" t="e">
        <f>E51+G89</f>
        <v>#DIV/0!</v>
      </c>
      <c r="N86" s="78"/>
      <c r="AA86" s="6"/>
      <c r="AB86" s="6"/>
    </row>
    <row r="87" spans="1:28" ht="16.2">
      <c r="A87" s="225" t="s">
        <v>102</v>
      </c>
      <c r="C87" s="228" t="s">
        <v>276</v>
      </c>
      <c r="D87" s="232" t="e">
        <f>D88*($F$41/$F$42)</f>
        <v>#DIV/0!</v>
      </c>
      <c r="E87" s="232">
        <f>E88*($F$41/$F$42)</f>
        <v>7.4501097253831423</v>
      </c>
      <c r="F87" s="232" t="e">
        <f>F88*($F$41/$F$42)</f>
        <v>#DIV/0!</v>
      </c>
      <c r="G87" s="230" t="e">
        <f>INDEX(D87:F87,G$74)</f>
        <v>#DIV/0!</v>
      </c>
      <c r="H87" s="50"/>
      <c r="I87" s="79" t="s">
        <v>143</v>
      </c>
      <c r="K87" s="116" t="s">
        <v>264</v>
      </c>
      <c r="L87" s="117">
        <f>U7</f>
        <v>200</v>
      </c>
      <c r="M87" s="24"/>
      <c r="N87" s="78"/>
      <c r="AA87" s="6"/>
      <c r="AB87" s="6"/>
    </row>
    <row r="88" spans="1:28" ht="16.2">
      <c r="A88" s="225" t="s">
        <v>88</v>
      </c>
      <c r="C88" s="228" t="s">
        <v>276</v>
      </c>
      <c r="D88" s="232" t="e">
        <f>D79+D82</f>
        <v>#DIV/0!</v>
      </c>
      <c r="E88" s="232">
        <f>E79+E82</f>
        <v>1.9809999999999999</v>
      </c>
      <c r="F88" s="231" t="e">
        <f>F79+F82</f>
        <v>#DIV/0!</v>
      </c>
      <c r="G88" s="230" t="e">
        <f>INDEX(D88:F88,G$74)</f>
        <v>#DIV/0!</v>
      </c>
      <c r="H88" s="50"/>
      <c r="I88" s="79" t="s">
        <v>144</v>
      </c>
      <c r="K88" s="116" t="s">
        <v>264</v>
      </c>
      <c r="L88" s="229" t="e">
        <f>'Combustion_Chaud4 (Micro)'!C136</f>
        <v>#DIV/0!</v>
      </c>
      <c r="N88" s="78"/>
      <c r="AA88" s="6"/>
      <c r="AB88" s="6"/>
    </row>
    <row r="89" spans="1:28" ht="16.2">
      <c r="A89" s="225" t="s">
        <v>145</v>
      </c>
      <c r="C89" s="228" t="s">
        <v>276</v>
      </c>
      <c r="D89" s="227" t="e">
        <f>'Combustion_Chaud4 (Micro)'!$C$115*('Combustion_Chaud4 (Micro)'!D80+'Combustion_Chaud4 (Micro)'!D83)</f>
        <v>#DIV/0!</v>
      </c>
      <c r="E89" s="227">
        <f>'Combustion_Chaud4 (Micro)'!$C$115*'Combustion_Chaud4 (Micro)'!E80</f>
        <v>1.089247024450259E-2</v>
      </c>
      <c r="F89" s="227">
        <f>'Combustion_Chaud4 (Micro)'!$C$115*'Combustion_Chaud4 (Micro)'!F80</f>
        <v>1.089247024450259E-2</v>
      </c>
      <c r="G89" s="226" t="e">
        <f>INDEX(D89:F89,G$74)</f>
        <v>#DIV/0!</v>
      </c>
      <c r="H89" s="50"/>
      <c r="I89" s="79" t="s">
        <v>280</v>
      </c>
      <c r="K89" s="23" t="s">
        <v>279</v>
      </c>
      <c r="L89" s="50" t="e">
        <f>($E$29*(M83/1000))/($B$32*(L87+273.15))</f>
        <v>#DIV/0!</v>
      </c>
      <c r="N89" s="118"/>
      <c r="AA89" s="6"/>
      <c r="AB89" s="6"/>
    </row>
    <row r="90" spans="1:28" ht="15.6">
      <c r="A90" s="225"/>
      <c r="C90" s="23"/>
      <c r="D90" s="50"/>
      <c r="F90" s="37"/>
      <c r="G90" s="119"/>
      <c r="H90" s="50"/>
      <c r="I90" s="79" t="s">
        <v>278</v>
      </c>
      <c r="K90" s="23" t="s">
        <v>142</v>
      </c>
      <c r="L90" s="224" t="e">
        <f>'Combustion_Chaud4 (Micro)'!C129</f>
        <v>#DIV/0!</v>
      </c>
      <c r="M90" s="19" t="s">
        <v>146</v>
      </c>
      <c r="N90" s="118"/>
      <c r="AA90" s="6"/>
      <c r="AB90" s="6"/>
    </row>
    <row r="91" spans="1:28" ht="14.4">
      <c r="A91" s="81" t="s">
        <v>147</v>
      </c>
      <c r="C91" s="23"/>
      <c r="D91" s="50"/>
      <c r="F91" s="37"/>
      <c r="G91" s="119"/>
      <c r="H91" s="50"/>
      <c r="I91" s="79" t="s">
        <v>148</v>
      </c>
      <c r="K91" s="23" t="s">
        <v>142</v>
      </c>
      <c r="L91" s="224" t="e">
        <f>'Combustion_Chaud4 (Micro)'!C140</f>
        <v>#DIV/0!</v>
      </c>
      <c r="M91" s="19" t="s">
        <v>277</v>
      </c>
      <c r="N91" s="118"/>
      <c r="AA91" s="6"/>
      <c r="AB91" s="6"/>
    </row>
    <row r="92" spans="1:28" ht="15" thickBot="1">
      <c r="A92" s="79" t="s">
        <v>149</v>
      </c>
      <c r="C92" s="23"/>
      <c r="D92" s="223">
        <f>Hypothèses!D26</f>
        <v>0.05</v>
      </c>
      <c r="E92" s="222"/>
      <c r="F92" s="222"/>
      <c r="G92" s="119"/>
      <c r="H92" s="222"/>
      <c r="I92" s="92"/>
      <c r="J92" s="93"/>
      <c r="K92" s="221" t="s">
        <v>276</v>
      </c>
      <c r="L92" s="220" t="e">
        <f>'Combustion_Chaud4 (Micro)'!C141</f>
        <v>#DIV/0!</v>
      </c>
      <c r="M92" s="93"/>
      <c r="N92" s="94"/>
      <c r="AA92" s="6"/>
      <c r="AB92" s="6"/>
    </row>
    <row r="93" spans="1:28" ht="16.8" thickBot="1">
      <c r="A93" s="92" t="s">
        <v>144</v>
      </c>
      <c r="B93" s="93"/>
      <c r="C93" s="120" t="s">
        <v>264</v>
      </c>
      <c r="D93" s="219" t="e">
        <f>IF(D92&lt;&gt;0,'Combustion_Chaud4 (Micro)'!$C$119,"-")</f>
        <v>#N/A</v>
      </c>
      <c r="E93" s="218"/>
      <c r="F93" s="218"/>
      <c r="G93" s="121"/>
      <c r="H93" s="90"/>
      <c r="AA93" s="6"/>
      <c r="AB93" s="6"/>
    </row>
    <row r="94" spans="1:28" ht="16.2">
      <c r="A94" s="19" t="s">
        <v>275</v>
      </c>
      <c r="B94" s="116"/>
      <c r="C94" s="217">
        <v>28.96546</v>
      </c>
      <c r="D94" s="215" t="s">
        <v>138</v>
      </c>
      <c r="E94" s="216"/>
      <c r="F94" s="122"/>
      <c r="G94" s="98"/>
      <c r="H94" s="98"/>
      <c r="AA94" s="6"/>
      <c r="AB94" s="6"/>
    </row>
    <row r="95" spans="1:28" ht="14.4">
      <c r="G95" s="98"/>
      <c r="AA95" s="6"/>
      <c r="AB95" s="6"/>
    </row>
    <row r="96" spans="1:28" ht="14.4">
      <c r="G96" s="98"/>
      <c r="AA96" s="6"/>
      <c r="AB96" s="6"/>
    </row>
    <row r="97" spans="1:28" ht="14.4">
      <c r="G97" s="98"/>
      <c r="AA97" s="6"/>
      <c r="AB97" s="6"/>
    </row>
    <row r="98" spans="1:28" ht="14.4">
      <c r="G98" s="98"/>
      <c r="AA98" s="6"/>
      <c r="AB98" s="6"/>
    </row>
    <row r="99" spans="1:28" ht="14.4">
      <c r="G99" s="98"/>
      <c r="AA99" s="6"/>
      <c r="AB99" s="6"/>
    </row>
    <row r="100" spans="1:28" ht="14.4">
      <c r="G100" s="98"/>
      <c r="AA100" s="6"/>
      <c r="AB100" s="6"/>
    </row>
    <row r="101" spans="1:28">
      <c r="A101" s="26" t="s">
        <v>274</v>
      </c>
      <c r="G101" s="98"/>
    </row>
    <row r="102" spans="1:28">
      <c r="G102" s="98"/>
    </row>
    <row r="103" spans="1:28">
      <c r="A103" s="123" t="s">
        <v>150</v>
      </c>
      <c r="B103" s="57"/>
      <c r="C103" s="57"/>
      <c r="D103" s="57"/>
      <c r="E103" s="23"/>
      <c r="F103" s="26" t="s">
        <v>151</v>
      </c>
      <c r="G103" s="26"/>
    </row>
    <row r="104" spans="1:28" ht="15.6">
      <c r="A104" s="19" t="s">
        <v>152</v>
      </c>
      <c r="B104" s="23" t="s">
        <v>273</v>
      </c>
      <c r="C104" s="320">
        <v>0</v>
      </c>
      <c r="D104" s="214" t="s">
        <v>272</v>
      </c>
      <c r="E104" s="23"/>
      <c r="F104" s="37" t="s">
        <v>153</v>
      </c>
      <c r="G104" s="37" t="s">
        <v>154</v>
      </c>
      <c r="H104" s="37" t="s">
        <v>153</v>
      </c>
    </row>
    <row r="105" spans="1:28">
      <c r="A105" s="19" t="s">
        <v>271</v>
      </c>
      <c r="B105" s="23" t="s">
        <v>155</v>
      </c>
      <c r="C105" s="321">
        <v>101325</v>
      </c>
      <c r="D105" s="23"/>
      <c r="E105" s="23"/>
      <c r="F105" s="23">
        <v>0</v>
      </c>
      <c r="G105" s="24">
        <v>610.48326959999986</v>
      </c>
      <c r="H105" s="23">
        <f t="shared" ref="H105:H168" si="14">F105</f>
        <v>0</v>
      </c>
    </row>
    <row r="106" spans="1:28">
      <c r="A106" s="19" t="s">
        <v>270</v>
      </c>
      <c r="B106" s="23" t="s">
        <v>155</v>
      </c>
      <c r="C106" s="213">
        <f>C105*EXP(-'Combustion_Chaud4 (Micro)'!C94/1000*9.80665/'Combustion_Chaud4 (Micro)'!B32/'Combustion_Chaud4 (Micro)'!B29*C104)</f>
        <v>101325</v>
      </c>
      <c r="D106" s="213"/>
      <c r="E106" s="213"/>
      <c r="F106" s="23">
        <v>2</v>
      </c>
      <c r="G106" s="24">
        <v>705.80878559999985</v>
      </c>
      <c r="H106" s="23">
        <f t="shared" si="14"/>
        <v>2</v>
      </c>
    </row>
    <row r="107" spans="1:28">
      <c r="B107" s="23"/>
      <c r="C107" s="23"/>
      <c r="D107" s="213"/>
      <c r="E107" s="23"/>
      <c r="F107" s="23">
        <v>4</v>
      </c>
      <c r="G107" s="24">
        <v>813.39996239999994</v>
      </c>
      <c r="H107" s="23">
        <f t="shared" si="14"/>
        <v>4</v>
      </c>
    </row>
    <row r="108" spans="1:28">
      <c r="A108" s="123" t="s">
        <v>122</v>
      </c>
      <c r="B108" s="57"/>
      <c r="C108" s="57"/>
      <c r="D108" s="57"/>
      <c r="E108" s="23"/>
      <c r="F108" s="23">
        <v>6</v>
      </c>
      <c r="G108" s="24">
        <v>934.98999119999985</v>
      </c>
      <c r="H108" s="23">
        <f t="shared" si="14"/>
        <v>6</v>
      </c>
    </row>
    <row r="109" spans="1:28" ht="15.6">
      <c r="A109" s="19" t="s">
        <v>156</v>
      </c>
      <c r="B109" s="116" t="s">
        <v>264</v>
      </c>
      <c r="C109" s="212">
        <f>R7</f>
        <v>20</v>
      </c>
      <c r="D109" s="23"/>
      <c r="E109" s="23"/>
      <c r="F109" s="23">
        <v>8</v>
      </c>
      <c r="G109" s="24">
        <v>1072.5787079999998</v>
      </c>
      <c r="H109" s="23">
        <f t="shared" si="14"/>
        <v>8</v>
      </c>
    </row>
    <row r="110" spans="1:28">
      <c r="A110" s="19" t="s">
        <v>149</v>
      </c>
      <c r="B110" s="23"/>
      <c r="C110" s="211">
        <f>D92</f>
        <v>0.05</v>
      </c>
      <c r="D110" s="23"/>
      <c r="E110" s="23"/>
      <c r="F110" s="23">
        <v>10</v>
      </c>
      <c r="G110" s="24">
        <v>1227.7659815999998</v>
      </c>
      <c r="H110" s="23">
        <f t="shared" si="14"/>
        <v>10</v>
      </c>
    </row>
    <row r="111" spans="1:28">
      <c r="B111" s="23"/>
      <c r="C111" s="23"/>
      <c r="D111" s="23"/>
      <c r="E111" s="23"/>
      <c r="F111" s="23">
        <v>12</v>
      </c>
      <c r="G111" s="24">
        <v>1402.2850031999999</v>
      </c>
      <c r="H111" s="23">
        <f t="shared" si="14"/>
        <v>12</v>
      </c>
    </row>
    <row r="112" spans="1:28">
      <c r="A112" s="19" t="s">
        <v>157</v>
      </c>
      <c r="B112" s="23" t="s">
        <v>155</v>
      </c>
      <c r="C112" s="24">
        <f>IF(C109&lt;0,0.09*6895,G197)</f>
        <v>2337.8082839999997</v>
      </c>
      <c r="D112" s="23"/>
      <c r="E112" s="23"/>
      <c r="F112" s="23">
        <v>14</v>
      </c>
      <c r="G112" s="24">
        <v>1598.1356087999998</v>
      </c>
      <c r="H112" s="23">
        <f t="shared" si="14"/>
        <v>14</v>
      </c>
    </row>
    <row r="113" spans="1:8">
      <c r="A113" s="19" t="s">
        <v>158</v>
      </c>
      <c r="B113" s="23" t="s">
        <v>155</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159</v>
      </c>
      <c r="B115" s="23" t="s">
        <v>160</v>
      </c>
      <c r="C115" s="50">
        <f>C113/(C106-C113)</f>
        <v>1.1549510674429225E-3</v>
      </c>
      <c r="D115" s="23"/>
      <c r="E115" s="23"/>
      <c r="F115" s="23">
        <v>20</v>
      </c>
      <c r="G115" s="24">
        <v>2337.8082839999997</v>
      </c>
      <c r="H115" s="23">
        <f t="shared" si="14"/>
        <v>20</v>
      </c>
    </row>
    <row r="116" spans="1:8">
      <c r="A116" s="19" t="s">
        <v>159</v>
      </c>
      <c r="B116" s="23" t="s">
        <v>161</v>
      </c>
      <c r="C116" s="50">
        <f>C115*'Combustion_Chaud4 (Micro)'!$C$15/'Combustion_Chaud4 (Micro)'!$C$94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162</v>
      </c>
      <c r="B118" s="23" t="s">
        <v>160</v>
      </c>
      <c r="C118" s="50">
        <f>C113/C106</f>
        <v>1.153618694300518E-3</v>
      </c>
      <c r="D118" s="23"/>
      <c r="E118" s="23"/>
      <c r="F118" s="23">
        <v>26</v>
      </c>
      <c r="G118" s="24">
        <v>3360.9243815999998</v>
      </c>
      <c r="H118" s="23">
        <f t="shared" si="14"/>
        <v>26</v>
      </c>
    </row>
    <row r="119" spans="1:8" ht="15.6">
      <c r="A119" s="19" t="s">
        <v>163</v>
      </c>
      <c r="B119" s="116" t="s">
        <v>264</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123</v>
      </c>
      <c r="B121" s="57"/>
      <c r="C121" s="57"/>
      <c r="D121" s="57"/>
      <c r="E121" s="23"/>
      <c r="F121" s="23">
        <v>32</v>
      </c>
      <c r="G121" s="24">
        <v>4754.6767511999988</v>
      </c>
      <c r="H121" s="23">
        <f t="shared" si="14"/>
        <v>32</v>
      </c>
    </row>
    <row r="122" spans="1:8" ht="15.6">
      <c r="A122" s="19" t="s">
        <v>156</v>
      </c>
      <c r="B122" s="116" t="s">
        <v>264</v>
      </c>
      <c r="C122" s="117">
        <f>U7</f>
        <v>200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164</v>
      </c>
      <c r="B124" s="23" t="s">
        <v>86</v>
      </c>
      <c r="C124" s="301" t="e">
        <f>'Combustion_Chaud4 (Micro)'!L75</f>
        <v>#DIV/0!</v>
      </c>
      <c r="D124" s="23"/>
      <c r="E124" s="23"/>
      <c r="F124" s="23">
        <v>38</v>
      </c>
      <c r="G124" s="24">
        <v>6625.0567007999998</v>
      </c>
      <c r="H124" s="23">
        <f t="shared" si="14"/>
        <v>38</v>
      </c>
    </row>
    <row r="125" spans="1:8" ht="15.6">
      <c r="A125" s="19" t="s">
        <v>269</v>
      </c>
      <c r="B125" s="23" t="s">
        <v>86</v>
      </c>
      <c r="C125" s="302" t="e">
        <f>'Combustion_Chaud4 (Micro)'!L86</f>
        <v>#DIV/0!</v>
      </c>
      <c r="D125" s="124" t="s">
        <v>165</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166</v>
      </c>
      <c r="B127" s="23" t="s">
        <v>155</v>
      </c>
      <c r="C127" s="24" t="e">
        <f>C132*C106</f>
        <v>#DIV/0!</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267</v>
      </c>
      <c r="B129" s="23" t="s">
        <v>160</v>
      </c>
      <c r="C129" s="50" t="e">
        <f>C125/(C124-C125)</f>
        <v>#DIV/0!</v>
      </c>
      <c r="D129" s="37" t="s">
        <v>268</v>
      </c>
      <c r="E129" s="23"/>
      <c r="F129" s="23">
        <v>48</v>
      </c>
      <c r="G129" s="24">
        <v>11160.418103999998</v>
      </c>
      <c r="H129" s="23">
        <f t="shared" si="14"/>
        <v>48</v>
      </c>
    </row>
    <row r="130" spans="1:8">
      <c r="A130" s="19" t="s">
        <v>267</v>
      </c>
      <c r="B130" s="23" t="s">
        <v>161</v>
      </c>
      <c r="C130" s="50" t="e">
        <f>C129*'Combustion_Chaud4 (Micro)'!$C$15/D130</f>
        <v>#DIV/0!</v>
      </c>
      <c r="D130" s="125" t="e">
        <f>('Combustion_Chaud4 (Micro)'!M77*'Combustion_Chaud4 (Micro)'!$C$25+'Combustion_Chaud4 (Micro)'!M78*'Combustion_Chaud4 (Micro)'!$C$13+'Combustion_Chaud4 (Micro)'!M79*'Combustion_Chaud4 (Micro)'!$C$11+'Combustion_Chaud4 (Micro)'!M80*'Combustion_Chaud4 (Micro)'!$C$26)</f>
        <v>#DIV/0!</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266</v>
      </c>
      <c r="B132" s="23" t="s">
        <v>160</v>
      </c>
      <c r="C132" s="50" t="e">
        <f>C125/C124</f>
        <v>#DIV/0!</v>
      </c>
      <c r="D132" s="23"/>
      <c r="E132" s="23"/>
      <c r="F132" s="23">
        <v>60</v>
      </c>
      <c r="G132" s="24">
        <v>19915.700111999999</v>
      </c>
      <c r="H132" s="23">
        <f t="shared" si="14"/>
        <v>60</v>
      </c>
    </row>
    <row r="133" spans="1:8">
      <c r="A133" s="19" t="s">
        <v>265</v>
      </c>
      <c r="B133" s="23" t="s">
        <v>160</v>
      </c>
      <c r="C133" s="115" t="e">
        <f>C132*C124</f>
        <v>#DIV/0!</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148</v>
      </c>
      <c r="B135" s="23"/>
      <c r="C135" s="37" t="e">
        <f>IF(C136&gt;C122,"VRAI","FAUX")</f>
        <v>#DIV/0!</v>
      </c>
      <c r="D135" s="23"/>
      <c r="E135" s="23"/>
      <c r="F135" s="23">
        <v>75</v>
      </c>
      <c r="G135" s="24">
        <v>38543.505839999998</v>
      </c>
      <c r="H135" s="23">
        <f t="shared" si="14"/>
        <v>75</v>
      </c>
    </row>
    <row r="136" spans="1:8" ht="15.6">
      <c r="A136" s="19" t="s">
        <v>144</v>
      </c>
      <c r="B136" s="116" t="s">
        <v>264</v>
      </c>
      <c r="C136" s="115" t="e">
        <f>F209</f>
        <v>#DIV/0!</v>
      </c>
      <c r="D136" s="23"/>
      <c r="E136" s="23"/>
      <c r="F136" s="23">
        <v>80</v>
      </c>
      <c r="G136" s="24">
        <v>47342.784240000001</v>
      </c>
      <c r="H136" s="23">
        <f t="shared" si="14"/>
        <v>80</v>
      </c>
    </row>
    <row r="137" spans="1:8">
      <c r="B137" s="23"/>
      <c r="C137" s="23"/>
      <c r="D137" s="23"/>
      <c r="E137" s="23"/>
      <c r="F137" s="23">
        <v>85</v>
      </c>
      <c r="G137" s="24">
        <v>57808.592639999995</v>
      </c>
      <c r="H137" s="23">
        <f t="shared" si="14"/>
        <v>85</v>
      </c>
    </row>
    <row r="138" spans="1:8">
      <c r="A138" s="124" t="s">
        <v>157</v>
      </c>
      <c r="B138" s="23" t="s">
        <v>155</v>
      </c>
      <c r="C138" s="24">
        <f>G215</f>
        <v>1553800</v>
      </c>
      <c r="D138" s="23"/>
      <c r="E138" s="23"/>
      <c r="F138" s="23">
        <v>90</v>
      </c>
      <c r="G138" s="24">
        <v>70095.585023999985</v>
      </c>
      <c r="H138" s="23">
        <f t="shared" si="14"/>
        <v>90</v>
      </c>
    </row>
    <row r="139" spans="1:8">
      <c r="A139" s="23" t="s">
        <v>167</v>
      </c>
      <c r="B139" s="23" t="s">
        <v>263</v>
      </c>
      <c r="C139" s="50" t="e">
        <f>IF(C135,C138/C106,"-")</f>
        <v>#DIV/0!</v>
      </c>
      <c r="D139" s="23"/>
      <c r="E139" s="23"/>
      <c r="F139" s="23">
        <v>91</v>
      </c>
      <c r="G139" s="24">
        <v>72800.696519999983</v>
      </c>
      <c r="H139" s="23">
        <f t="shared" si="14"/>
        <v>91</v>
      </c>
    </row>
    <row r="140" spans="1:8">
      <c r="A140" s="23" t="s">
        <v>148</v>
      </c>
      <c r="B140" s="23" t="s">
        <v>263</v>
      </c>
      <c r="C140" s="50" t="e">
        <f>IF(C135,C132-C139,0)</f>
        <v>#DIV/0!</v>
      </c>
      <c r="D140" s="23"/>
      <c r="E140" s="23"/>
      <c r="F140" s="23">
        <v>92</v>
      </c>
      <c r="G140" s="24">
        <v>75592.467575999995</v>
      </c>
      <c r="H140" s="23">
        <f t="shared" si="14"/>
        <v>92</v>
      </c>
    </row>
    <row r="141" spans="1:8">
      <c r="A141" s="23" t="s">
        <v>148</v>
      </c>
      <c r="B141" s="23" t="s">
        <v>86</v>
      </c>
      <c r="C141" s="50" t="e">
        <f>IF(C135,C140*C124,0)</f>
        <v>#DIV/0!</v>
      </c>
      <c r="D141" s="23"/>
      <c r="E141" s="23"/>
      <c r="F141" s="23">
        <v>93</v>
      </c>
      <c r="G141" s="24">
        <v>78473.564639999997</v>
      </c>
      <c r="H141" s="23">
        <f t="shared" si="14"/>
        <v>93</v>
      </c>
    </row>
    <row r="142" spans="1:8">
      <c r="A142" s="23" t="s">
        <v>148</v>
      </c>
      <c r="B142" s="23" t="s">
        <v>168</v>
      </c>
      <c r="C142" s="68" t="e">
        <f>IF(C135,C141*'Combustion_Chaud4 (Micro)'!$C$15,0)</f>
        <v>#DIV/0!</v>
      </c>
      <c r="D142" s="23"/>
      <c r="E142" s="23"/>
      <c r="F142" s="23">
        <v>94</v>
      </c>
      <c r="G142" s="24">
        <v>81446.654159999991</v>
      </c>
      <c r="H142" s="23">
        <f t="shared" si="14"/>
        <v>94</v>
      </c>
    </row>
    <row r="143" spans="1:8">
      <c r="B143" s="23"/>
      <c r="C143" s="23"/>
      <c r="D143" s="23"/>
      <c r="E143" s="23"/>
      <c r="F143" s="23">
        <v>95</v>
      </c>
      <c r="G143" s="24">
        <v>84513.069359999994</v>
      </c>
      <c r="H143" s="23">
        <f t="shared" si="14"/>
        <v>95</v>
      </c>
    </row>
    <row r="144" spans="1:8" ht="14.4">
      <c r="A144" s="19" t="s">
        <v>262</v>
      </c>
      <c r="B144" s="23"/>
      <c r="C144" s="126" t="e">
        <f>IF(C135,1,IF(C122&lt;100,C127/C138,"N / A"))</f>
        <v>#DIV/0!</v>
      </c>
      <c r="D144" s="23"/>
      <c r="E144" s="23"/>
      <c r="F144" s="23">
        <v>96</v>
      </c>
      <c r="G144" s="24">
        <v>87675.476687999995</v>
      </c>
      <c r="H144" s="23">
        <f t="shared" si="14"/>
        <v>96</v>
      </c>
    </row>
    <row r="145" spans="2:8">
      <c r="B145" s="23"/>
      <c r="C145" s="23"/>
      <c r="D145" s="23"/>
      <c r="E145" s="23"/>
      <c r="F145" s="23">
        <v>97</v>
      </c>
      <c r="G145" s="24">
        <v>90935.209367999996</v>
      </c>
      <c r="H145" s="23">
        <f t="shared" si="14"/>
        <v>97</v>
      </c>
    </row>
    <row r="146" spans="2:8">
      <c r="B146" s="23"/>
      <c r="C146" s="23"/>
      <c r="D146" s="23"/>
      <c r="E146" s="23"/>
      <c r="F146" s="23">
        <v>98</v>
      </c>
      <c r="G146" s="24">
        <v>94294.933847999986</v>
      </c>
      <c r="H146" s="23">
        <f t="shared" si="14"/>
        <v>98</v>
      </c>
    </row>
    <row r="147" spans="2:8">
      <c r="B147" s="23"/>
      <c r="C147" s="23"/>
      <c r="D147" s="23"/>
      <c r="E147" s="23"/>
      <c r="F147" s="23">
        <v>99</v>
      </c>
      <c r="G147" s="24">
        <v>97757.316575999997</v>
      </c>
      <c r="H147" s="23">
        <f t="shared" si="14"/>
        <v>99</v>
      </c>
    </row>
    <row r="148" spans="2:8">
      <c r="B148" s="23"/>
      <c r="C148" s="23"/>
      <c r="D148" s="23"/>
      <c r="E148" s="23"/>
      <c r="F148" s="23">
        <v>100</v>
      </c>
      <c r="G148" s="24">
        <v>101325.02399999999</v>
      </c>
      <c r="H148" s="23">
        <f t="shared" si="14"/>
        <v>100</v>
      </c>
    </row>
    <row r="149" spans="2:8">
      <c r="B149" s="23"/>
      <c r="C149" s="23"/>
      <c r="D149" s="23"/>
      <c r="E149" s="23"/>
      <c r="F149" s="23">
        <v>105</v>
      </c>
      <c r="G149" s="24">
        <v>120820</v>
      </c>
      <c r="H149" s="23">
        <f t="shared" si="14"/>
        <v>105</v>
      </c>
    </row>
    <row r="150" spans="2:8">
      <c r="B150" s="23"/>
      <c r="C150" s="23"/>
      <c r="D150" s="23"/>
      <c r="E150" s="23"/>
      <c r="F150" s="23">
        <v>110</v>
      </c>
      <c r="G150" s="24">
        <v>143270</v>
      </c>
      <c r="H150" s="23">
        <f t="shared" si="14"/>
        <v>110</v>
      </c>
    </row>
    <row r="151" spans="2:8">
      <c r="B151" s="23"/>
      <c r="C151" s="23"/>
      <c r="D151" s="23"/>
      <c r="E151" s="23"/>
      <c r="F151" s="23">
        <v>115</v>
      </c>
      <c r="G151" s="24">
        <v>169060</v>
      </c>
      <c r="H151" s="23">
        <f t="shared" si="14"/>
        <v>115</v>
      </c>
    </row>
    <row r="152" spans="2:8">
      <c r="B152" s="23"/>
      <c r="C152" s="23"/>
      <c r="D152" s="23"/>
      <c r="E152" s="23"/>
      <c r="F152" s="23">
        <v>120</v>
      </c>
      <c r="G152" s="24">
        <v>198530</v>
      </c>
      <c r="H152" s="23">
        <f t="shared" si="14"/>
        <v>120</v>
      </c>
    </row>
    <row r="153" spans="2:8">
      <c r="B153" s="23"/>
      <c r="C153" s="23"/>
      <c r="D153" s="23"/>
      <c r="E153" s="23"/>
      <c r="F153" s="23">
        <v>125</v>
      </c>
      <c r="G153" s="24">
        <v>232100</v>
      </c>
      <c r="H153" s="23">
        <f t="shared" si="14"/>
        <v>125</v>
      </c>
    </row>
    <row r="154" spans="2:8">
      <c r="B154" s="23"/>
      <c r="C154" s="23"/>
      <c r="D154" s="23"/>
      <c r="E154" s="23"/>
      <c r="F154" s="23">
        <v>130</v>
      </c>
      <c r="G154" s="24">
        <v>270100</v>
      </c>
      <c r="H154" s="23">
        <f t="shared" si="14"/>
        <v>130</v>
      </c>
    </row>
    <row r="155" spans="2:8">
      <c r="B155" s="23"/>
      <c r="C155" s="23"/>
      <c r="D155" s="23"/>
      <c r="E155" s="23"/>
      <c r="F155" s="23">
        <v>135</v>
      </c>
      <c r="G155" s="24">
        <v>313000</v>
      </c>
      <c r="H155" s="23">
        <f t="shared" si="14"/>
        <v>135</v>
      </c>
    </row>
    <row r="156" spans="2:8">
      <c r="B156" s="23"/>
      <c r="C156" s="23"/>
      <c r="D156" s="23"/>
      <c r="E156" s="23"/>
      <c r="F156" s="23">
        <v>140</v>
      </c>
      <c r="G156" s="24">
        <v>361300</v>
      </c>
      <c r="H156" s="23">
        <f t="shared" si="14"/>
        <v>140</v>
      </c>
    </row>
    <row r="157" spans="2:8">
      <c r="B157" s="23"/>
      <c r="C157" s="23"/>
      <c r="D157" s="23"/>
      <c r="E157" s="23"/>
      <c r="F157" s="23">
        <v>145</v>
      </c>
      <c r="G157" s="24">
        <v>415400</v>
      </c>
      <c r="H157" s="23">
        <f t="shared" si="14"/>
        <v>145</v>
      </c>
    </row>
    <row r="158" spans="2:8">
      <c r="B158" s="23"/>
      <c r="C158" s="23"/>
      <c r="D158" s="23"/>
      <c r="E158" s="23"/>
      <c r="F158" s="23">
        <v>150</v>
      </c>
      <c r="G158" s="24">
        <v>475800</v>
      </c>
      <c r="H158" s="23">
        <f t="shared" si="14"/>
        <v>150</v>
      </c>
    </row>
    <row r="159" spans="2:8">
      <c r="B159" s="23"/>
      <c r="C159" s="23"/>
      <c r="D159" s="23"/>
      <c r="E159" s="23"/>
      <c r="F159" s="23">
        <v>155</v>
      </c>
      <c r="G159" s="24">
        <v>543100</v>
      </c>
      <c r="H159" s="23">
        <f t="shared" si="14"/>
        <v>155</v>
      </c>
    </row>
    <row r="160" spans="2:8">
      <c r="B160" s="23"/>
      <c r="C160" s="23"/>
      <c r="D160" s="23"/>
      <c r="E160" s="23"/>
      <c r="F160" s="23">
        <v>160</v>
      </c>
      <c r="G160" s="24">
        <v>617800</v>
      </c>
      <c r="H160" s="23">
        <f t="shared" si="14"/>
        <v>160</v>
      </c>
    </row>
    <row r="161" spans="2:8">
      <c r="B161" s="23"/>
      <c r="C161" s="23"/>
      <c r="D161" s="23"/>
      <c r="E161" s="23"/>
      <c r="F161" s="23">
        <v>165</v>
      </c>
      <c r="G161" s="24">
        <v>700500</v>
      </c>
      <c r="H161" s="23">
        <f t="shared" si="14"/>
        <v>165</v>
      </c>
    </row>
    <row r="162" spans="2:8">
      <c r="B162" s="23"/>
      <c r="C162" s="23"/>
      <c r="D162" s="23"/>
      <c r="E162" s="23"/>
      <c r="F162" s="23">
        <v>170</v>
      </c>
      <c r="G162" s="24">
        <v>791700</v>
      </c>
      <c r="H162" s="23">
        <f t="shared" si="14"/>
        <v>170</v>
      </c>
    </row>
    <row r="163" spans="2:8">
      <c r="B163" s="23"/>
      <c r="C163" s="23"/>
      <c r="D163" s="23"/>
      <c r="E163" s="23"/>
      <c r="F163" s="23">
        <v>175</v>
      </c>
      <c r="G163" s="24">
        <v>892000</v>
      </c>
      <c r="H163" s="23">
        <f t="shared" si="14"/>
        <v>175</v>
      </c>
    </row>
    <row r="164" spans="2:8">
      <c r="B164" s="23"/>
      <c r="C164" s="23"/>
      <c r="D164" s="23"/>
      <c r="E164" s="23"/>
      <c r="F164" s="23">
        <v>180</v>
      </c>
      <c r="G164" s="24">
        <v>1002100</v>
      </c>
      <c r="H164" s="23">
        <f t="shared" si="14"/>
        <v>180</v>
      </c>
    </row>
    <row r="165" spans="2:8">
      <c r="B165" s="23"/>
      <c r="C165" s="23"/>
      <c r="D165" s="23"/>
      <c r="E165" s="23"/>
      <c r="F165" s="23">
        <v>185</v>
      </c>
      <c r="G165" s="24">
        <v>1122700</v>
      </c>
      <c r="H165" s="23">
        <f t="shared" si="14"/>
        <v>185</v>
      </c>
    </row>
    <row r="166" spans="2:8">
      <c r="B166" s="23"/>
      <c r="C166" s="23"/>
      <c r="D166" s="23"/>
      <c r="E166" s="23"/>
      <c r="F166" s="23">
        <v>190</v>
      </c>
      <c r="G166" s="24">
        <v>1254400</v>
      </c>
      <c r="H166" s="23">
        <f t="shared" si="14"/>
        <v>190</v>
      </c>
    </row>
    <row r="167" spans="2:8">
      <c r="B167" s="23"/>
      <c r="C167" s="23"/>
      <c r="D167" s="23"/>
      <c r="E167" s="23"/>
      <c r="F167" s="23">
        <v>195</v>
      </c>
      <c r="G167" s="24">
        <v>1397800</v>
      </c>
      <c r="H167" s="23">
        <f t="shared" si="14"/>
        <v>195</v>
      </c>
    </row>
    <row r="168" spans="2:8">
      <c r="B168" s="23"/>
      <c r="C168" s="23"/>
      <c r="D168" s="23"/>
      <c r="E168" s="23"/>
      <c r="F168" s="23">
        <v>200</v>
      </c>
      <c r="G168" s="24">
        <v>1553800</v>
      </c>
      <c r="H168" s="23">
        <f t="shared" si="14"/>
        <v>200</v>
      </c>
    </row>
    <row r="169" spans="2:8">
      <c r="B169" s="23"/>
      <c r="C169" s="23"/>
      <c r="D169" s="23"/>
      <c r="E169" s="23"/>
      <c r="F169" s="23">
        <v>205</v>
      </c>
      <c r="G169" s="24">
        <v>1723000</v>
      </c>
      <c r="H169" s="23">
        <f t="shared" ref="H169:H192" si="15">F169</f>
        <v>205</v>
      </c>
    </row>
    <row r="170" spans="2:8">
      <c r="B170" s="23"/>
      <c r="C170" s="23"/>
      <c r="D170" s="23"/>
      <c r="E170" s="23"/>
      <c r="F170" s="23">
        <v>210</v>
      </c>
      <c r="G170" s="24">
        <v>1906200</v>
      </c>
      <c r="H170" s="23">
        <f t="shared" si="15"/>
        <v>210</v>
      </c>
    </row>
    <row r="171" spans="2:8">
      <c r="B171" s="23"/>
      <c r="C171" s="23"/>
      <c r="D171" s="23"/>
      <c r="E171" s="23"/>
      <c r="F171" s="23">
        <v>215</v>
      </c>
      <c r="G171" s="24">
        <v>2104000</v>
      </c>
      <c r="H171" s="23">
        <f t="shared" si="15"/>
        <v>215</v>
      </c>
    </row>
    <row r="172" spans="2:8">
      <c r="B172" s="23"/>
      <c r="C172" s="23"/>
      <c r="D172" s="23"/>
      <c r="E172" s="23"/>
      <c r="F172" s="23">
        <v>220</v>
      </c>
      <c r="G172" s="24">
        <v>2318000</v>
      </c>
      <c r="H172" s="23">
        <f t="shared" si="15"/>
        <v>220</v>
      </c>
    </row>
    <row r="173" spans="2:8">
      <c r="B173" s="23"/>
      <c r="C173" s="23"/>
      <c r="D173" s="23"/>
      <c r="E173" s="23"/>
      <c r="F173" s="23">
        <v>225</v>
      </c>
      <c r="G173" s="24">
        <v>2548000</v>
      </c>
      <c r="H173" s="23">
        <f t="shared" si="15"/>
        <v>225</v>
      </c>
    </row>
    <row r="174" spans="2:8">
      <c r="B174" s="23"/>
      <c r="C174" s="23"/>
      <c r="D174" s="23"/>
      <c r="E174" s="23"/>
      <c r="F174" s="23">
        <v>230</v>
      </c>
      <c r="G174" s="24">
        <v>2795000</v>
      </c>
      <c r="H174" s="23">
        <f t="shared" si="15"/>
        <v>230</v>
      </c>
    </row>
    <row r="175" spans="2:8">
      <c r="B175" s="23"/>
      <c r="C175" s="23"/>
      <c r="D175" s="23"/>
      <c r="E175" s="23"/>
      <c r="F175" s="23">
        <v>235</v>
      </c>
      <c r="G175" s="24">
        <v>3060000</v>
      </c>
      <c r="H175" s="23">
        <f t="shared" si="15"/>
        <v>235</v>
      </c>
    </row>
    <row r="176" spans="2:8">
      <c r="B176" s="23"/>
      <c r="C176" s="23"/>
      <c r="D176" s="23"/>
      <c r="E176" s="23"/>
      <c r="F176" s="23">
        <v>240</v>
      </c>
      <c r="G176" s="24">
        <v>3344000</v>
      </c>
      <c r="H176" s="23">
        <f t="shared" si="15"/>
        <v>240</v>
      </c>
    </row>
    <row r="177" spans="2:8">
      <c r="B177" s="23"/>
      <c r="C177" s="23"/>
      <c r="D177" s="23"/>
      <c r="E177" s="23"/>
      <c r="F177" s="23">
        <v>245</v>
      </c>
      <c r="G177" s="24">
        <v>3648000</v>
      </c>
      <c r="H177" s="23">
        <f t="shared" si="15"/>
        <v>245</v>
      </c>
    </row>
    <row r="178" spans="2:8">
      <c r="B178" s="23"/>
      <c r="C178" s="23"/>
      <c r="D178" s="23"/>
      <c r="E178" s="23"/>
      <c r="F178" s="23">
        <v>250</v>
      </c>
      <c r="G178" s="24">
        <v>3973000</v>
      </c>
      <c r="H178" s="23">
        <f t="shared" si="15"/>
        <v>250</v>
      </c>
    </row>
    <row r="179" spans="2:8">
      <c r="B179" s="23"/>
      <c r="C179" s="23"/>
      <c r="D179" s="23"/>
      <c r="E179" s="23"/>
      <c r="F179" s="23">
        <v>255</v>
      </c>
      <c r="G179" s="24">
        <v>4319000</v>
      </c>
      <c r="H179" s="23">
        <f t="shared" si="15"/>
        <v>255</v>
      </c>
    </row>
    <row r="180" spans="2:8">
      <c r="B180" s="23"/>
      <c r="C180" s="23"/>
      <c r="D180" s="23"/>
      <c r="E180" s="23"/>
      <c r="F180" s="23">
        <v>260</v>
      </c>
      <c r="G180" s="24">
        <v>4688000</v>
      </c>
      <c r="H180" s="23">
        <f t="shared" si="15"/>
        <v>260</v>
      </c>
    </row>
    <row r="181" spans="2:8">
      <c r="B181" s="23"/>
      <c r="C181" s="23"/>
      <c r="D181" s="23"/>
      <c r="E181" s="23"/>
      <c r="F181" s="23">
        <v>265</v>
      </c>
      <c r="G181" s="24">
        <v>5081000</v>
      </c>
      <c r="H181" s="23">
        <f t="shared" si="15"/>
        <v>265</v>
      </c>
    </row>
    <row r="182" spans="2:8">
      <c r="B182" s="23"/>
      <c r="C182" s="23"/>
      <c r="D182" s="23"/>
      <c r="E182" s="23"/>
      <c r="F182" s="23">
        <v>270</v>
      </c>
      <c r="G182" s="24">
        <v>5499000</v>
      </c>
      <c r="H182" s="23">
        <f t="shared" si="15"/>
        <v>270</v>
      </c>
    </row>
    <row r="183" spans="2:8">
      <c r="B183" s="23"/>
      <c r="C183" s="23"/>
      <c r="D183" s="23"/>
      <c r="E183" s="23"/>
      <c r="F183" s="23">
        <v>275</v>
      </c>
      <c r="G183" s="24">
        <v>5942000</v>
      </c>
      <c r="H183" s="23">
        <f t="shared" si="15"/>
        <v>275</v>
      </c>
    </row>
    <row r="184" spans="2:8">
      <c r="B184" s="23"/>
      <c r="C184" s="23"/>
      <c r="D184" s="23"/>
      <c r="E184" s="23"/>
      <c r="F184" s="23">
        <v>280</v>
      </c>
      <c r="G184" s="24">
        <v>6412000</v>
      </c>
      <c r="H184" s="23">
        <f t="shared" si="15"/>
        <v>280</v>
      </c>
    </row>
    <row r="185" spans="2:8">
      <c r="B185" s="23"/>
      <c r="C185" s="23"/>
      <c r="D185" s="23"/>
      <c r="E185" s="23"/>
      <c r="F185" s="23">
        <v>285</v>
      </c>
      <c r="G185" s="24">
        <v>6909000</v>
      </c>
      <c r="H185" s="23">
        <f t="shared" si="15"/>
        <v>285</v>
      </c>
    </row>
    <row r="186" spans="2:8">
      <c r="B186" s="23"/>
      <c r="C186" s="23"/>
      <c r="D186" s="23"/>
      <c r="E186" s="23"/>
      <c r="F186" s="23">
        <v>290</v>
      </c>
      <c r="G186" s="24">
        <v>7436000</v>
      </c>
      <c r="H186" s="23">
        <f t="shared" si="15"/>
        <v>290</v>
      </c>
    </row>
    <row r="187" spans="2:8">
      <c r="B187" s="23"/>
      <c r="C187" s="23"/>
      <c r="D187" s="23"/>
      <c r="E187" s="23"/>
      <c r="F187" s="23">
        <v>295</v>
      </c>
      <c r="G187" s="24">
        <v>7993000</v>
      </c>
      <c r="H187" s="23">
        <f t="shared" si="15"/>
        <v>295</v>
      </c>
    </row>
    <row r="188" spans="2:8">
      <c r="B188" s="23"/>
      <c r="C188" s="23"/>
      <c r="D188" s="23"/>
      <c r="E188" s="23"/>
      <c r="F188" s="23">
        <v>300</v>
      </c>
      <c r="G188" s="24">
        <v>8581000</v>
      </c>
      <c r="H188" s="23">
        <f t="shared" si="15"/>
        <v>300</v>
      </c>
    </row>
    <row r="189" spans="2:8">
      <c r="B189" s="23"/>
      <c r="C189" s="23"/>
      <c r="D189" s="23"/>
      <c r="E189" s="23"/>
      <c r="F189" s="23">
        <v>320</v>
      </c>
      <c r="G189" s="23">
        <v>11274000</v>
      </c>
      <c r="H189" s="23">
        <f t="shared" si="15"/>
        <v>320</v>
      </c>
    </row>
    <row r="190" spans="2:8">
      <c r="B190" s="23"/>
      <c r="C190" s="23"/>
      <c r="D190" s="23"/>
      <c r="E190" s="23"/>
      <c r="F190" s="23">
        <v>340</v>
      </c>
      <c r="G190" s="23">
        <v>14586000</v>
      </c>
      <c r="H190" s="23">
        <f t="shared" si="15"/>
        <v>340</v>
      </c>
    </row>
    <row r="191" spans="2:8">
      <c r="B191" s="23"/>
      <c r="C191" s="23"/>
      <c r="D191" s="23"/>
      <c r="E191" s="23"/>
      <c r="F191" s="23">
        <v>360</v>
      </c>
      <c r="G191" s="23">
        <v>18651000</v>
      </c>
      <c r="H191" s="23">
        <f t="shared" si="15"/>
        <v>360</v>
      </c>
    </row>
    <row r="192" spans="2:8">
      <c r="B192" s="23"/>
      <c r="C192" s="23"/>
      <c r="D192" s="23"/>
      <c r="E192" s="23"/>
      <c r="F192" s="24">
        <v>374.14</v>
      </c>
      <c r="G192" s="24">
        <v>22090000</v>
      </c>
      <c r="H192" s="24">
        <f t="shared" si="15"/>
        <v>374.14</v>
      </c>
    </row>
    <row r="193" spans="2:8">
      <c r="B193" s="23"/>
      <c r="C193" s="23"/>
      <c r="D193" s="23"/>
      <c r="E193" s="23"/>
      <c r="F193" s="23"/>
      <c r="G193" s="23"/>
      <c r="H193" s="23"/>
    </row>
    <row r="194" spans="2:8">
      <c r="B194" s="23"/>
      <c r="C194" s="23"/>
      <c r="D194" s="23"/>
      <c r="E194" s="23"/>
      <c r="F194" s="1920" t="s">
        <v>169</v>
      </c>
      <c r="G194" s="1921"/>
      <c r="H194" s="1937"/>
    </row>
    <row r="195" spans="2:8">
      <c r="B195" s="23"/>
      <c r="C195" s="23"/>
      <c r="D195" s="23"/>
      <c r="E195" s="23"/>
      <c r="F195" s="35" t="s">
        <v>170</v>
      </c>
      <c r="G195" s="37" t="s">
        <v>171</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20" t="s">
        <v>172</v>
      </c>
      <c r="G200" s="1921"/>
      <c r="H200" s="1937"/>
    </row>
    <row r="201" spans="2:8">
      <c r="B201" s="23"/>
      <c r="C201" s="23"/>
      <c r="D201" s="23"/>
      <c r="E201" s="23"/>
      <c r="F201" s="35" t="s">
        <v>170</v>
      </c>
      <c r="G201" s="37" t="s">
        <v>171</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20" t="s">
        <v>261</v>
      </c>
      <c r="G206" s="1921"/>
      <c r="H206" s="1937"/>
    </row>
    <row r="207" spans="2:8">
      <c r="B207" s="23"/>
      <c r="C207" s="23"/>
      <c r="D207" s="23"/>
      <c r="E207" s="23"/>
      <c r="F207" s="35" t="s">
        <v>170</v>
      </c>
      <c r="G207" s="37" t="s">
        <v>171</v>
      </c>
      <c r="H207" s="67"/>
    </row>
    <row r="208" spans="2:8">
      <c r="B208" s="23"/>
      <c r="C208" s="23"/>
      <c r="D208" s="23"/>
      <c r="E208" s="23"/>
      <c r="F208" s="49" t="e">
        <f>VLOOKUP(G208,$G$105:$H$192,2)</f>
        <v>#DIV/0!</v>
      </c>
      <c r="G208" s="24" t="e">
        <f>VLOOKUP(C127,G105:H192,1)</f>
        <v>#DIV/0!</v>
      </c>
      <c r="H208" s="46" t="e">
        <f>MATCH(F208,F105:F192,1)</f>
        <v>#DIV/0!</v>
      </c>
    </row>
    <row r="209" spans="2:8">
      <c r="B209" s="23"/>
      <c r="C209" s="23"/>
      <c r="D209" s="23"/>
      <c r="E209" s="23"/>
      <c r="F209" s="49" t="e">
        <f>F208+(G209-G208)/(G210-G208)*(F210-F208)</f>
        <v>#DIV/0!</v>
      </c>
      <c r="G209" s="24" t="e">
        <f>C127</f>
        <v>#DIV/0!</v>
      </c>
      <c r="H209" s="46"/>
    </row>
    <row r="210" spans="2:8">
      <c r="B210" s="23"/>
      <c r="C210" s="23"/>
      <c r="D210" s="23"/>
      <c r="E210" s="23"/>
      <c r="F210" s="61" t="e">
        <f>INDEX(F105:F192,H210)</f>
        <v>#DIV/0!</v>
      </c>
      <c r="G210" s="69" t="e">
        <f>VLOOKUP(F210,F105:G192,2)</f>
        <v>#DIV/0!</v>
      </c>
      <c r="H210" s="58" t="e">
        <f>H208+1</f>
        <v>#DIV/0!</v>
      </c>
    </row>
    <row r="211" spans="2:8">
      <c r="B211" s="23"/>
      <c r="C211" s="23"/>
      <c r="D211" s="23"/>
      <c r="E211" s="23"/>
    </row>
    <row r="212" spans="2:8">
      <c r="B212" s="23"/>
      <c r="C212" s="23"/>
      <c r="D212" s="23"/>
      <c r="E212" s="23"/>
      <c r="F212" s="1920" t="s">
        <v>173</v>
      </c>
      <c r="G212" s="1921"/>
      <c r="H212" s="1937"/>
    </row>
    <row r="213" spans="2:8">
      <c r="B213" s="23"/>
      <c r="C213" s="23"/>
      <c r="D213" s="23"/>
      <c r="E213" s="23"/>
      <c r="F213" s="35" t="s">
        <v>170</v>
      </c>
      <c r="G213" s="37" t="s">
        <v>171</v>
      </c>
      <c r="H213" s="67"/>
    </row>
    <row r="214" spans="2:8">
      <c r="B214" s="23"/>
      <c r="C214" s="23"/>
      <c r="D214" s="23"/>
      <c r="E214" s="23"/>
      <c r="F214" s="49">
        <f>VLOOKUP(F215,F105:G192,1)</f>
        <v>200</v>
      </c>
      <c r="G214" s="24">
        <f>VLOOKUP(F214,$F$105:$G$192,2)</f>
        <v>1553800</v>
      </c>
      <c r="H214" s="46">
        <f>MATCH(F214,F105:F192,1)</f>
        <v>64</v>
      </c>
    </row>
    <row r="215" spans="2:8">
      <c r="B215" s="23"/>
      <c r="C215" s="23"/>
      <c r="D215" s="23"/>
      <c r="E215" s="23"/>
      <c r="F215" s="49">
        <f>C122</f>
        <v>200</v>
      </c>
      <c r="G215" s="24">
        <f>G214+((F215-F214)/(F216-F214))*(G216-G214)</f>
        <v>1553800</v>
      </c>
      <c r="H215" s="46"/>
    </row>
    <row r="216" spans="2:8">
      <c r="B216" s="23"/>
      <c r="C216" s="23"/>
      <c r="D216" s="23"/>
      <c r="E216" s="23"/>
      <c r="F216" s="61">
        <f>INDEX(F105:F192,H216)</f>
        <v>205</v>
      </c>
      <c r="G216" s="69">
        <f>VLOOKUP(F216,$F$105:$G$192,2)</f>
        <v>1723000</v>
      </c>
      <c r="H216" s="58">
        <f>H214+1</f>
        <v>65</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scenarios current="0">
    <scenario name="Tfumée_micro2" count="1" user="Céline Hertz" comment="Créé par Céline Hertz le 2023-05-16_x000a_Modifié par: Céline Hertz le 2023-05-16">
      <inputCells r="U7" val="126,582227015757" numFmtId="1"/>
    </scenario>
  </scenarios>
  <mergeCells count="26">
    <mergeCell ref="M72:N72"/>
    <mergeCell ref="F194:H194"/>
    <mergeCell ref="F200:H200"/>
    <mergeCell ref="F206:H20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AA1:AC3"/>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46E4-062A-4AA3-A8D2-110ABAB7647C}">
  <sheetPr codeName="Feuil311"/>
  <dimension ref="A1:X103"/>
  <sheetViews>
    <sheetView workbookViewId="0">
      <selection activeCell="C116" sqref="C116:D116"/>
    </sheetView>
  </sheetViews>
  <sheetFormatPr baseColWidth="10" defaultColWidth="11.44140625" defaultRowHeight="14.4"/>
  <cols>
    <col min="1" max="1" width="4.44140625" style="6" customWidth="1"/>
    <col min="2" max="2" width="21.77734375" customWidth="1"/>
    <col min="3" max="4" width="23" customWidth="1"/>
    <col min="5" max="5" width="22.21875" customWidth="1"/>
    <col min="6" max="6" width="20.21875" customWidth="1"/>
    <col min="7" max="10" width="20" customWidth="1"/>
    <col min="11" max="11" width="14.21875" style="6" customWidth="1"/>
    <col min="12" max="12" width="11.44140625" style="6"/>
    <col min="13" max="13" width="23.21875" customWidth="1"/>
    <col min="15" max="15" width="16.21875" customWidth="1"/>
    <col min="16" max="16" width="17.77734375" customWidth="1"/>
    <col min="17" max="18" width="13.44140625" customWidth="1"/>
    <col min="19" max="22" width="11.44140625" style="6"/>
  </cols>
  <sheetData>
    <row r="1" spans="2:18" s="6" customFormat="1"/>
    <row r="2" spans="2:18" s="6" customFormat="1" ht="36.6">
      <c r="B2" s="395" t="s">
        <v>174</v>
      </c>
      <c r="M2" s="6" t="s">
        <v>175</v>
      </c>
    </row>
    <row r="3" spans="2:18">
      <c r="B3" s="6"/>
      <c r="C3" s="404" t="s">
        <v>176</v>
      </c>
      <c r="D3" s="6"/>
      <c r="E3" s="1968" t="s">
        <v>177</v>
      </c>
      <c r="F3" s="1969"/>
      <c r="G3" s="1970"/>
      <c r="H3" s="1968" t="s">
        <v>177</v>
      </c>
      <c r="I3" s="1969"/>
      <c r="J3" s="1970"/>
      <c r="M3" s="1971" t="s">
        <v>178</v>
      </c>
      <c r="N3" s="1971"/>
      <c r="O3" s="860" t="s">
        <v>1328</v>
      </c>
      <c r="P3" s="6"/>
      <c r="Q3" s="6"/>
      <c r="R3" s="6"/>
    </row>
    <row r="4" spans="2:18">
      <c r="B4" s="425"/>
      <c r="C4" s="6"/>
      <c r="D4" s="6"/>
      <c r="E4" s="1972" t="s">
        <v>781</v>
      </c>
      <c r="F4" s="1972"/>
      <c r="G4" s="1972"/>
      <c r="H4" s="1972" t="s">
        <v>782</v>
      </c>
      <c r="I4" s="1972"/>
      <c r="J4" s="1972"/>
      <c r="M4" s="15" t="s">
        <v>183</v>
      </c>
      <c r="O4" s="735" t="e">
        <f>'3c. Calculator EEM 2-3'!#REF!</f>
        <v>#REF!</v>
      </c>
      <c r="P4" s="6"/>
      <c r="Q4" s="6"/>
      <c r="R4" s="6"/>
    </row>
    <row r="5" spans="2:18">
      <c r="B5" s="15" t="s">
        <v>184</v>
      </c>
      <c r="C5" s="15" t="s">
        <v>185</v>
      </c>
      <c r="D5" s="15" t="s">
        <v>186</v>
      </c>
      <c r="E5" s="15" t="s">
        <v>187</v>
      </c>
      <c r="F5" s="15" t="s">
        <v>188</v>
      </c>
      <c r="G5" s="15" t="s">
        <v>189</v>
      </c>
      <c r="H5" s="15" t="s">
        <v>187</v>
      </c>
      <c r="I5" s="15" t="s">
        <v>188</v>
      </c>
      <c r="J5" s="15" t="s">
        <v>189</v>
      </c>
      <c r="M5" s="15"/>
      <c r="N5" s="15"/>
      <c r="O5" s="15"/>
      <c r="P5" s="6"/>
      <c r="Q5" s="6"/>
      <c r="R5" s="6"/>
    </row>
    <row r="6" spans="2:18">
      <c r="B6" s="13">
        <f>C6*'Facteurs conversion'!$C$20</f>
        <v>-0.19217534999999999</v>
      </c>
      <c r="C6" s="15">
        <v>-1.325</v>
      </c>
      <c r="D6" s="15">
        <v>99.63</v>
      </c>
      <c r="E6" s="15">
        <v>417.46</v>
      </c>
      <c r="F6" s="15">
        <v>2258</v>
      </c>
      <c r="G6" s="15">
        <v>2675.46</v>
      </c>
      <c r="H6" s="14">
        <f>E6*'Facteurs conversion'!$C$15</f>
        <v>179.47547162887682</v>
      </c>
      <c r="I6" s="14">
        <f>F6*'Facteurs conversion'!$C$15</f>
        <v>970.76513902650288</v>
      </c>
      <c r="J6" s="14">
        <f>G6*'Facteurs conversion'!$C$15</f>
        <v>1150.2406106553797</v>
      </c>
      <c r="M6" s="16" t="s">
        <v>190</v>
      </c>
      <c r="N6" s="16" t="s">
        <v>191</v>
      </c>
      <c r="O6" s="16" t="s">
        <v>192</v>
      </c>
      <c r="P6" s="6"/>
      <c r="Q6" s="6"/>
      <c r="R6" s="6"/>
    </row>
    <row r="7" spans="2:18">
      <c r="B7" s="13">
        <f>C7*'Facteurs conversion'!$C$20</f>
        <v>3.4337746500000002</v>
      </c>
      <c r="C7" s="15">
        <v>23.675000000000001</v>
      </c>
      <c r="D7" s="15">
        <v>105.99</v>
      </c>
      <c r="E7" s="15">
        <v>444.32</v>
      </c>
      <c r="F7" s="15">
        <v>2241</v>
      </c>
      <c r="G7" s="15">
        <v>2685.32</v>
      </c>
      <c r="H7" s="14">
        <f>E7*'Facteurs conversion'!$C$15</f>
        <v>191.02319157318678</v>
      </c>
      <c r="I7" s="14">
        <f>F7*'Facteurs conversion'!$C$15</f>
        <v>963.45645551744599</v>
      </c>
      <c r="J7" s="14">
        <f>G7*'Facteurs conversion'!$C$15</f>
        <v>1154.4796470906329</v>
      </c>
      <c r="M7" s="17">
        <v>-1.325</v>
      </c>
      <c r="N7" s="15">
        <v>99.63</v>
      </c>
      <c r="O7" s="15" t="e">
        <f>0.0003*($N$7+O4)^2+1.8288*($N$7+O4)+2494</f>
        <v>#REF!</v>
      </c>
      <c r="P7" s="6"/>
      <c r="Q7" s="6"/>
      <c r="R7" s="6"/>
    </row>
    <row r="8" spans="2:18">
      <c r="B8" s="13">
        <f>C8*'Facteurs conversion'!$C$20</f>
        <v>7.0597246499999997</v>
      </c>
      <c r="C8" s="15">
        <v>48.674999999999997</v>
      </c>
      <c r="D8" s="15">
        <v>111.37</v>
      </c>
      <c r="E8" s="15">
        <v>467.11</v>
      </c>
      <c r="F8" s="15">
        <v>2226.5</v>
      </c>
      <c r="G8" s="15">
        <v>2693.61</v>
      </c>
      <c r="H8" s="14">
        <f>E8*'Facteurs conversion'!$C$15</f>
        <v>200.82112670091664</v>
      </c>
      <c r="I8" s="14">
        <f>F8*'Facteurs conversion'!$C$15</f>
        <v>957.2225784067798</v>
      </c>
      <c r="J8" s="14">
        <f>G8*'Facteurs conversion'!$C$15</f>
        <v>1158.0437051076965</v>
      </c>
      <c r="M8" s="17">
        <v>98.674999999999997</v>
      </c>
      <c r="N8" s="15">
        <v>120.23</v>
      </c>
      <c r="O8" s="15" t="e">
        <f>0.0003*($N$8+O4)^2 + 1.8428*($N$8+O4) + 2487.2</f>
        <v>#REF!</v>
      </c>
      <c r="P8" s="6"/>
      <c r="Q8" s="6"/>
      <c r="R8" s="6"/>
    </row>
    <row r="9" spans="2:18">
      <c r="B9" s="13">
        <f>C9*'Facteurs conversion'!$C$20</f>
        <v>10.685674649999999</v>
      </c>
      <c r="C9" s="15">
        <v>73.674999999999997</v>
      </c>
      <c r="D9" s="15">
        <v>116.06</v>
      </c>
      <c r="E9" s="15">
        <v>486.99</v>
      </c>
      <c r="F9" s="15">
        <v>2213.6</v>
      </c>
      <c r="G9" s="15">
        <v>2700.59</v>
      </c>
      <c r="H9" s="14">
        <f>E9*'Facteurs conversion'!$C$15</f>
        <v>209.3679871809197</v>
      </c>
      <c r="I9" s="14">
        <f>F9*'Facteurs conversion'!$C$15</f>
        <v>951.67657739108358</v>
      </c>
      <c r="J9" s="14">
        <f>G9*'Facteurs conversion'!$C$15</f>
        <v>1161.0445645720033</v>
      </c>
      <c r="M9" s="17">
        <v>198.67500000000001</v>
      </c>
      <c r="N9" s="15">
        <v>133.55000000000001</v>
      </c>
      <c r="O9" s="15" t="e">
        <f>2.2725*($N$9+O4) + 2383.6</f>
        <v>#REF!</v>
      </c>
      <c r="P9" s="6"/>
      <c r="Q9" s="6"/>
      <c r="R9" s="6"/>
    </row>
    <row r="10" spans="2:18">
      <c r="B10" s="13">
        <f>C10*'Facteurs conversion'!$C$20</f>
        <v>14.311624649999999</v>
      </c>
      <c r="C10" s="15">
        <v>98.674999999999997</v>
      </c>
      <c r="D10" s="15">
        <v>120.23</v>
      </c>
      <c r="E10" s="15">
        <v>504.7</v>
      </c>
      <c r="F10" s="15">
        <v>2201.9</v>
      </c>
      <c r="G10" s="15">
        <v>2706.6</v>
      </c>
      <c r="H10" s="14">
        <f>E10*'Facteurs conversion'!$C$15</f>
        <v>216.98191570711958</v>
      </c>
      <c r="I10" s="14">
        <f>F10*'Facteurs conversion'!$C$15</f>
        <v>946.64648344661509</v>
      </c>
      <c r="J10" s="14">
        <f>G10*'Facteurs conversion'!$C$15</f>
        <v>1163.6283991537346</v>
      </c>
      <c r="M10" s="17">
        <v>298.67500000000001</v>
      </c>
      <c r="N10" s="15">
        <v>143.63</v>
      </c>
      <c r="O10" s="15" t="e">
        <f>2.2785*($N$10+O4) + 2377.5</f>
        <v>#REF!</v>
      </c>
      <c r="P10" s="6"/>
      <c r="Q10" s="6"/>
      <c r="R10" s="6"/>
    </row>
    <row r="11" spans="2:18">
      <c r="B11" s="13">
        <f>C11*'Facteurs conversion'!$C$20</f>
        <v>17.937574649999998</v>
      </c>
      <c r="C11" s="15">
        <v>123.675</v>
      </c>
      <c r="D11" s="15">
        <v>124</v>
      </c>
      <c r="E11" s="15">
        <v>520.72</v>
      </c>
      <c r="F11" s="15">
        <v>2191.3000000000002</v>
      </c>
      <c r="G11" s="15">
        <v>2712.0200000000004</v>
      </c>
      <c r="H11" s="14">
        <f>E11*'Facteurs conversion'!$C$15</f>
        <v>223.86927510800737</v>
      </c>
      <c r="I11" s="14">
        <f>F11*'Facteurs conversion'!$C$15</f>
        <v>942.0893043174384</v>
      </c>
      <c r="J11" s="14">
        <f>G11*'Facteurs conversion'!$C$15</f>
        <v>1165.9585794254458</v>
      </c>
      <c r="M11" s="17">
        <v>398.67500000000001</v>
      </c>
      <c r="N11" s="15">
        <v>151.86000000000001</v>
      </c>
      <c r="O11" s="15" t="e">
        <f>2.2922*($N$11+O4) + 2364.21</f>
        <v>#REF!</v>
      </c>
      <c r="P11" s="6"/>
      <c r="Q11" s="6"/>
      <c r="R11" s="6"/>
    </row>
    <row r="12" spans="2:18">
      <c r="B12" s="13">
        <f>C12*'Facteurs conversion'!$C$20</f>
        <v>21.563524650000002</v>
      </c>
      <c r="C12" s="15">
        <v>148.67500000000001</v>
      </c>
      <c r="D12" s="15">
        <v>127.44</v>
      </c>
      <c r="E12" s="15">
        <v>535.37</v>
      </c>
      <c r="F12" s="15">
        <v>2181.5</v>
      </c>
      <c r="G12" s="15">
        <v>2716.87</v>
      </c>
      <c r="H12" s="14">
        <f>E12*'Facteurs conversion'!$C$15</f>
        <v>230.16764060257699</v>
      </c>
      <c r="I12" s="14">
        <f>F12*'Facteurs conversion'!$C$15</f>
        <v>937.87606323574676</v>
      </c>
      <c r="J12" s="14">
        <f>G12*'Facteurs conversion'!$C$15</f>
        <v>1168.0437038383236</v>
      </c>
      <c r="M12" s="17">
        <v>498.67500000000001</v>
      </c>
      <c r="N12" s="15">
        <v>158.85</v>
      </c>
      <c r="O12" s="15" t="e">
        <f>2.2968*($N$12+O4) + 2359.4</f>
        <v>#REF!</v>
      </c>
      <c r="P12" s="6"/>
      <c r="Q12" s="6"/>
      <c r="R12" s="6"/>
    </row>
    <row r="13" spans="2:18">
      <c r="B13" s="13">
        <f>C13*'Facteurs conversion'!$C$20</f>
        <v>25.189474650000001</v>
      </c>
      <c r="C13" s="15">
        <v>173.67500000000001</v>
      </c>
      <c r="D13" s="15">
        <v>130.6</v>
      </c>
      <c r="E13" s="15">
        <v>548.89</v>
      </c>
      <c r="F13" s="15">
        <v>2172.4</v>
      </c>
      <c r="G13" s="15">
        <v>2721.29</v>
      </c>
      <c r="H13" s="14">
        <f>E13*'Facteurs conversion'!$C$15</f>
        <v>235.98019360507402</v>
      </c>
      <c r="I13" s="14">
        <f>F13*'Facteurs conversion'!$C$15</f>
        <v>933.96376794560456</v>
      </c>
      <c r="J13" s="14">
        <f>G13*'Facteurs conversion'!$C$15</f>
        <v>1169.9439615506785</v>
      </c>
      <c r="M13" s="17">
        <v>698.67499999999995</v>
      </c>
      <c r="N13" s="15">
        <v>170.43</v>
      </c>
      <c r="O13" s="15" t="e">
        <f xml:space="preserve"> 2.3056*($N$13+O4) +2350.1</f>
        <v>#REF!</v>
      </c>
      <c r="P13" s="6"/>
      <c r="Q13" s="6"/>
      <c r="R13" s="6"/>
    </row>
    <row r="14" spans="2:18">
      <c r="B14" s="13">
        <f>C14*'Facteurs conversion'!$C$20</f>
        <v>28.815424650000001</v>
      </c>
      <c r="C14" s="15">
        <v>198.67500000000001</v>
      </c>
      <c r="D14" s="15">
        <v>133.55000000000001</v>
      </c>
      <c r="E14" s="15">
        <v>561.47</v>
      </c>
      <c r="F14" s="15">
        <v>2163.8000000000002</v>
      </c>
      <c r="G14" s="15">
        <v>2725.2700000000004</v>
      </c>
      <c r="H14" s="14">
        <f>E14*'Facteurs conversion'!$C$15</f>
        <v>241.38861940177617</v>
      </c>
      <c r="I14" s="14">
        <f>F14*'Facteurs conversion'!$C$15</f>
        <v>930.26643393514041</v>
      </c>
      <c r="J14" s="14">
        <f>G14*'Facteurs conversion'!$C$15</f>
        <v>1171.6550533369168</v>
      </c>
      <c r="M14" s="17">
        <v>898.67499999999995</v>
      </c>
      <c r="N14" s="15">
        <v>179.91</v>
      </c>
      <c r="O14" s="15" t="e">
        <f>2.3142*($N$14+O4) + 2341</f>
        <v>#REF!</v>
      </c>
      <c r="P14" s="6"/>
      <c r="Q14" s="6"/>
      <c r="R14" s="6"/>
    </row>
    <row r="15" spans="2:18">
      <c r="B15" s="13">
        <f>C15*'Facteurs conversion'!$C$20</f>
        <v>32.44137465</v>
      </c>
      <c r="C15" s="15">
        <v>223.67500000000001</v>
      </c>
      <c r="D15" s="15">
        <v>136.30000000000001</v>
      </c>
      <c r="E15" s="15">
        <v>573.25</v>
      </c>
      <c r="F15" s="15">
        <v>2155.8000000000002</v>
      </c>
      <c r="G15" s="15">
        <v>2729.05</v>
      </c>
      <c r="H15" s="14">
        <f>E15*'Facteurs conversion'!$C$15</f>
        <v>246.45310715099328</v>
      </c>
      <c r="I15" s="14">
        <f>F15*'Facteurs conversion'!$C$15</f>
        <v>926.82705346029013</v>
      </c>
      <c r="J15" s="14">
        <f>G15*'Facteurs conversion'!$C$15</f>
        <v>1173.2801606112835</v>
      </c>
      <c r="M15" s="17">
        <v>1098.675</v>
      </c>
      <c r="N15" s="15">
        <v>187.99</v>
      </c>
      <c r="O15" s="15" t="e">
        <f>2.3273*($N$15+O4)+2327.6</f>
        <v>#REF!</v>
      </c>
      <c r="P15" s="6"/>
      <c r="Q15" s="6"/>
      <c r="R15" s="6"/>
    </row>
    <row r="16" spans="2:18">
      <c r="B16" s="13">
        <f>C16*'Facteurs conversion'!$C$20</f>
        <v>36.067324650000003</v>
      </c>
      <c r="C16" s="15">
        <v>248.67500000000001</v>
      </c>
      <c r="D16" s="15">
        <v>138.88</v>
      </c>
      <c r="E16" s="15">
        <v>584.33000000000004</v>
      </c>
      <c r="F16" s="15">
        <v>2148.1</v>
      </c>
      <c r="G16" s="15">
        <v>2732.43</v>
      </c>
      <c r="H16" s="14">
        <f>E16*'Facteurs conversion'!$C$15</f>
        <v>251.21664910866096</v>
      </c>
      <c r="I16" s="14">
        <f>F16*'Facteurs conversion'!$C$15</f>
        <v>923.51664975324661</v>
      </c>
      <c r="J16" s="14">
        <f>G16*'Facteurs conversion'!$C$15</f>
        <v>1174.7332988619075</v>
      </c>
      <c r="M16" s="17">
        <v>1298.675</v>
      </c>
      <c r="N16" s="15">
        <v>195.07</v>
      </c>
      <c r="O16" s="15" t="e">
        <f>2.3228*($N$16+O4)+ 2331.9</f>
        <v>#REF!</v>
      </c>
      <c r="P16" s="6"/>
      <c r="Q16" s="6"/>
      <c r="R16" s="6"/>
    </row>
    <row r="17" spans="2:18">
      <c r="B17" s="13">
        <f>C17*'Facteurs conversion'!$C$20</f>
        <v>39.693274649999999</v>
      </c>
      <c r="C17" s="15">
        <v>273.67500000000001</v>
      </c>
      <c r="D17" s="15">
        <v>141.32</v>
      </c>
      <c r="E17" s="15">
        <v>594.80999999999995</v>
      </c>
      <c r="F17" s="15">
        <v>2140.8000000000002</v>
      </c>
      <c r="G17" s="15">
        <v>2735.61</v>
      </c>
      <c r="H17" s="14">
        <f>E17*'Facteurs conversion'!$C$15</f>
        <v>255.72223753071486</v>
      </c>
      <c r="I17" s="14">
        <f>F17*'Facteurs conversion'!$C$15</f>
        <v>920.37821506994578</v>
      </c>
      <c r="J17" s="14">
        <f>G17*'Facteurs conversion'!$C$15</f>
        <v>1176.1004526006607</v>
      </c>
      <c r="M17" s="17">
        <v>1498.675</v>
      </c>
      <c r="N17" s="15">
        <v>201.41</v>
      </c>
      <c r="O17" s="15" t="e">
        <f>2.3381*($N$17+O4) + 2315.3</f>
        <v>#REF!</v>
      </c>
      <c r="P17" s="6"/>
      <c r="Q17" s="6"/>
      <c r="R17" s="6"/>
    </row>
    <row r="18" spans="2:18">
      <c r="B18" s="13">
        <f>C18*'Facteurs conversion'!$C$20</f>
        <v>43.319224650000002</v>
      </c>
      <c r="C18" s="15">
        <v>298.67500000000001</v>
      </c>
      <c r="D18" s="15">
        <v>143.63</v>
      </c>
      <c r="E18" s="15">
        <v>604.74</v>
      </c>
      <c r="F18" s="15">
        <v>2133.8000000000002</v>
      </c>
      <c r="G18" s="15">
        <v>2738.54</v>
      </c>
      <c r="H18" s="14">
        <f>E18*'Facteurs conversion'!$C$15</f>
        <v>259.99136854512284</v>
      </c>
      <c r="I18" s="14">
        <f>F18*'Facteurs conversion'!$C$15</f>
        <v>917.36875715445171</v>
      </c>
      <c r="J18" s="14">
        <f>G18*'Facteurs conversion'!$C$15</f>
        <v>1177.3601256995746</v>
      </c>
      <c r="M18" s="17">
        <v>1698.675</v>
      </c>
      <c r="N18" s="15">
        <v>207.15</v>
      </c>
      <c r="O18" s="15" t="e">
        <f>2.3454*($N$18+O4) + 2307.3</f>
        <v>#REF!</v>
      </c>
      <c r="P18" s="6"/>
      <c r="Q18" s="6"/>
      <c r="R18" s="6"/>
    </row>
    <row r="19" spans="2:18">
      <c r="B19" s="13">
        <f>C19*'Facteurs conversion'!$C$20</f>
        <v>50.571124650000002</v>
      </c>
      <c r="C19" s="15">
        <v>348.67500000000001</v>
      </c>
      <c r="D19" s="15">
        <v>147.93</v>
      </c>
      <c r="E19" s="15">
        <v>623.25</v>
      </c>
      <c r="F19" s="15">
        <v>2120.6999999999998</v>
      </c>
      <c r="G19" s="15">
        <v>2743.95</v>
      </c>
      <c r="H19" s="14">
        <f>E19*'Facteurs conversion'!$C$15</f>
        <v>267.94923511880779</v>
      </c>
      <c r="I19" s="14">
        <f>F19*'Facteurs conversion'!$C$15</f>
        <v>911.73677162688421</v>
      </c>
      <c r="J19" s="14">
        <f>G19*'Facteurs conversion'!$C$15</f>
        <v>1179.6860067456919</v>
      </c>
      <c r="M19" s="17">
        <v>1898.675</v>
      </c>
      <c r="N19" s="15">
        <v>212.42</v>
      </c>
      <c r="O19" s="15" t="e">
        <f>2.3541*($N$19+O4)+ 2298</f>
        <v>#REF!</v>
      </c>
      <c r="P19" s="6"/>
      <c r="Q19" s="6"/>
      <c r="R19" s="6"/>
    </row>
    <row r="20" spans="2:18">
      <c r="B20" s="13">
        <f>C20*'Facteurs conversion'!$C$20</f>
        <v>57.823024650000001</v>
      </c>
      <c r="C20" s="15">
        <v>398.67500000000001</v>
      </c>
      <c r="D20" s="15">
        <v>151.86000000000001</v>
      </c>
      <c r="E20" s="15">
        <v>640.23</v>
      </c>
      <c r="F20" s="15">
        <v>2108.5</v>
      </c>
      <c r="G20" s="15">
        <v>2748.73</v>
      </c>
      <c r="H20" s="14">
        <f>E20*'Facteurs conversion'!$C$15</f>
        <v>275.2493201766776</v>
      </c>
      <c r="I20" s="14">
        <f>F20*'Facteurs conversion'!$C$15</f>
        <v>906.49171640273755</v>
      </c>
      <c r="J20" s="14">
        <f>G20*'Facteurs conversion'!$C$15</f>
        <v>1181.7410365794151</v>
      </c>
      <c r="M20" s="17">
        <v>2398.6750000000002</v>
      </c>
      <c r="N20" s="15">
        <v>223.99</v>
      </c>
      <c r="O20" s="15" t="e">
        <f>2.3758*($N$20+O4)+2275.9</f>
        <v>#REF!</v>
      </c>
      <c r="P20" s="6"/>
      <c r="Q20" s="6"/>
      <c r="R20" s="6"/>
    </row>
    <row r="21" spans="2:18">
      <c r="B21" s="13">
        <f>C21*'Facteurs conversion'!$C$20</f>
        <v>65.07492465</v>
      </c>
      <c r="C21" s="15">
        <v>448.67500000000001</v>
      </c>
      <c r="D21" s="15">
        <v>155.47999999999999</v>
      </c>
      <c r="E21" s="15">
        <v>655.93</v>
      </c>
      <c r="F21" s="15">
        <v>2097</v>
      </c>
      <c r="G21" s="15">
        <v>2752.93</v>
      </c>
      <c r="H21" s="14">
        <f>E21*'Facteurs conversion'!$C$15</f>
        <v>281.99910435857129</v>
      </c>
      <c r="I21" s="14">
        <f>F21*'Facteurs conversion'!$C$15</f>
        <v>901.54760697014024</v>
      </c>
      <c r="J21" s="14">
        <f>G21*'Facteurs conversion'!$C$15</f>
        <v>1183.5467113287114</v>
      </c>
      <c r="M21" s="17">
        <v>2898.6750000000002</v>
      </c>
      <c r="N21" s="15">
        <v>233.9</v>
      </c>
      <c r="O21" s="15" t="e">
        <f>2.3903*($N$21+O4)+2258.7</f>
        <v>#REF!</v>
      </c>
      <c r="P21" s="6"/>
      <c r="Q21" s="6"/>
      <c r="R21" s="6"/>
    </row>
    <row r="22" spans="2:18">
      <c r="B22" s="13">
        <f>C22*'Facteurs conversion'!$C$20</f>
        <v>72.326824650000006</v>
      </c>
      <c r="C22" s="15">
        <v>498.67500000000001</v>
      </c>
      <c r="D22" s="15">
        <v>158.85</v>
      </c>
      <c r="E22" s="15">
        <v>670.56</v>
      </c>
      <c r="F22" s="15">
        <v>2086.3000000000002</v>
      </c>
      <c r="G22" s="15">
        <v>2756.86</v>
      </c>
      <c r="H22" s="14">
        <f>E22*'Facteurs conversion'!$C$15</f>
        <v>288.28887140195383</v>
      </c>
      <c r="I22" s="14">
        <f>F22*'Facteurs conversion'!$C$15</f>
        <v>896.94743558502796</v>
      </c>
      <c r="J22" s="14">
        <f>G22*'Facteurs conversion'!$C$15</f>
        <v>1185.2363069869818</v>
      </c>
      <c r="M22" s="17">
        <v>3398.6750000000002</v>
      </c>
      <c r="N22" s="15">
        <v>242.6</v>
      </c>
      <c r="O22" s="15" t="e">
        <f>0.00008*($N$22+O4)^2 +2.2841*($N$22+O4) + 2274.9</f>
        <v>#REF!</v>
      </c>
      <c r="P22" s="6"/>
      <c r="Q22" s="6"/>
      <c r="R22" s="6"/>
    </row>
    <row r="23" spans="2:18">
      <c r="B23" s="13">
        <f>C23*'Facteurs conversion'!$C$20</f>
        <v>79.578724649999998</v>
      </c>
      <c r="C23" s="15">
        <v>548.67499999999995</v>
      </c>
      <c r="D23" s="15">
        <v>162.01</v>
      </c>
      <c r="E23" s="15">
        <v>684.28</v>
      </c>
      <c r="F23" s="15">
        <v>2076</v>
      </c>
      <c r="G23" s="15">
        <v>2760.2799999999997</v>
      </c>
      <c r="H23" s="14">
        <f>E23*'Facteurs conversion'!$C$15</f>
        <v>294.18740891632211</v>
      </c>
      <c r="I23" s="14">
        <f>F23*'Facteurs conversion'!$C$15</f>
        <v>892.51923322365815</v>
      </c>
      <c r="J23" s="14">
        <f>G23*'Facteurs conversion'!$C$15</f>
        <v>1186.7066421399802</v>
      </c>
      <c r="M23" s="17">
        <v>3898.6750000000002</v>
      </c>
      <c r="N23" s="15">
        <v>250.4</v>
      </c>
      <c r="O23" s="15" t="e">
        <f>0.00007*($N$23+O4)^2 +2.3123*($N$23+O4) + 2256.3</f>
        <v>#REF!</v>
      </c>
      <c r="P23" s="6"/>
      <c r="Q23" s="6"/>
      <c r="R23" s="6"/>
    </row>
    <row r="24" spans="2:18">
      <c r="B24" s="13">
        <f>C24*'Facteurs conversion'!$C$20</f>
        <v>86.83062464999999</v>
      </c>
      <c r="C24" s="15">
        <v>598.67499999999995</v>
      </c>
      <c r="D24" s="15">
        <v>164.97</v>
      </c>
      <c r="E24" s="15">
        <v>697.22</v>
      </c>
      <c r="F24" s="15">
        <v>2066.3000000000002</v>
      </c>
      <c r="G24" s="15">
        <v>2763.5200000000004</v>
      </c>
      <c r="H24" s="14">
        <f>E24*'Facteurs conversion'!$C$15</f>
        <v>299.75060683439256</v>
      </c>
      <c r="I24" s="14">
        <f>F24*'Facteurs conversion'!$C$15</f>
        <v>888.3489843979022</v>
      </c>
      <c r="J24" s="14">
        <f>G24*'Facteurs conversion'!$C$15</f>
        <v>1188.0995912322949</v>
      </c>
      <c r="M24" s="17">
        <v>4398.6750000000002</v>
      </c>
      <c r="N24" s="15">
        <v>257.49</v>
      </c>
      <c r="O24" s="15" t="e">
        <f>4*10^-5*($N$24+O4)^2+2.3769*($N$24+O4) + 2228.2</f>
        <v>#REF!</v>
      </c>
      <c r="P24" s="6"/>
      <c r="Q24" s="6"/>
      <c r="R24" s="6"/>
    </row>
    <row r="25" spans="2:18">
      <c r="B25" s="13">
        <f>C25*'Facteurs conversion'!$C$20</f>
        <v>94.082524649999996</v>
      </c>
      <c r="C25" s="15">
        <v>648.67499999999995</v>
      </c>
      <c r="D25" s="15">
        <v>167.78</v>
      </c>
      <c r="E25" s="15">
        <v>709.47</v>
      </c>
      <c r="F25" s="15">
        <v>2057</v>
      </c>
      <c r="G25" s="15">
        <v>2766.4700000000003</v>
      </c>
      <c r="H25" s="14">
        <f>E25*'Facteurs conversion'!$C$15</f>
        <v>305.01715818650712</v>
      </c>
      <c r="I25" s="14">
        <f>F25*'Facteurs conversion'!$C$15</f>
        <v>884.3507045958886</v>
      </c>
      <c r="J25" s="14">
        <f>G25*'Facteurs conversion'!$C$15</f>
        <v>1189.3678627823958</v>
      </c>
      <c r="M25" s="17">
        <v>4898.6750000000002</v>
      </c>
      <c r="N25" s="15">
        <v>263.99</v>
      </c>
      <c r="O25" s="15" t="e">
        <f>3*10^-7*($N$25+O4)^2+2.4548*($N$25+O4) + 2186.6</f>
        <v>#REF!</v>
      </c>
      <c r="P25" s="6"/>
      <c r="Q25" s="6"/>
      <c r="R25" s="6"/>
    </row>
    <row r="26" spans="2:18">
      <c r="B26" s="13">
        <f>C26*'Facteurs conversion'!$C$20</f>
        <v>101.33442464999999</v>
      </c>
      <c r="C26" s="15">
        <v>698.67499999999995</v>
      </c>
      <c r="D26" s="15">
        <v>170.43</v>
      </c>
      <c r="E26" s="15">
        <v>721.11</v>
      </c>
      <c r="F26" s="15">
        <v>2048</v>
      </c>
      <c r="G26" s="15">
        <v>2769.11</v>
      </c>
      <c r="H26" s="14">
        <f>E26*'Facteurs conversion'!$C$15</f>
        <v>310.0214567774143</v>
      </c>
      <c r="I26" s="14">
        <f>F26*'Facteurs conversion'!$C$15</f>
        <v>880.48140156168199</v>
      </c>
      <c r="J26" s="14">
        <f>G26*'Facteurs conversion'!$C$15</f>
        <v>1190.5028583390963</v>
      </c>
      <c r="M26" s="17">
        <v>5898.6750000000002</v>
      </c>
      <c r="N26" s="15">
        <v>275.64</v>
      </c>
      <c r="O26" s="15" t="e">
        <f>-5*10^-5*($N$26+O4)^2 + 2.5508*($N$26+O4) + 2137.8</f>
        <v>#REF!</v>
      </c>
      <c r="P26" s="6"/>
      <c r="Q26" s="6"/>
      <c r="R26" s="6"/>
    </row>
    <row r="27" spans="2:18">
      <c r="B27" s="13">
        <f>C27*'Facteurs conversion'!$C$20</f>
        <v>108.58632464999999</v>
      </c>
      <c r="C27" s="15">
        <v>748.67499999999995</v>
      </c>
      <c r="D27" s="15">
        <v>172.96</v>
      </c>
      <c r="E27" s="15">
        <v>732.22</v>
      </c>
      <c r="F27" s="15">
        <v>2039.4</v>
      </c>
      <c r="G27" s="15">
        <v>2771.62</v>
      </c>
      <c r="H27" s="14">
        <f>E27*'Facteurs conversion'!$C$15</f>
        <v>314.79789641186272</v>
      </c>
      <c r="I27" s="14">
        <f>F27*'Facteurs conversion'!$C$15</f>
        <v>876.78406755121796</v>
      </c>
      <c r="J27" s="14">
        <f>G27*'Facteurs conversion'!$C$15</f>
        <v>1191.5819639630806</v>
      </c>
      <c r="M27" s="17">
        <v>6898.6750000000002</v>
      </c>
      <c r="N27" s="15">
        <v>285.88</v>
      </c>
      <c r="O27" s="15" t="e">
        <f>-5*10^-5*($N$27+O4)^2 + 2.568*($N$27+O4) + 2118</f>
        <v>#REF!</v>
      </c>
      <c r="P27" s="6"/>
      <c r="Q27" s="6"/>
      <c r="R27" s="6"/>
    </row>
    <row r="28" spans="2:18">
      <c r="B28" s="13">
        <f>C28*'Facteurs conversion'!$C$20</f>
        <v>115.83822464999999</v>
      </c>
      <c r="C28" s="15">
        <v>798.67499999999995</v>
      </c>
      <c r="D28" s="15">
        <v>175.38</v>
      </c>
      <c r="E28" s="15">
        <v>742.83</v>
      </c>
      <c r="F28" s="15">
        <v>2031.1</v>
      </c>
      <c r="G28" s="15">
        <v>2773.93</v>
      </c>
      <c r="H28" s="14">
        <f>E28*'Facteurs conversion'!$C$15</f>
        <v>319.35937476663293</v>
      </c>
      <c r="I28" s="14">
        <f>F28*'Facteurs conversion'!$C$15</f>
        <v>873.21571030856069</v>
      </c>
      <c r="J28" s="14">
        <f>G28*'Facteurs conversion'!$C$15</f>
        <v>1192.5750850751936</v>
      </c>
      <c r="M28" s="17">
        <v>7898.6750000000002</v>
      </c>
      <c r="N28" s="15">
        <v>295.06</v>
      </c>
      <c r="O28" s="15" t="e">
        <f>-0.0002*($N$28+O4)^2 + 2.8524*($N$28+O4) + 1991.1</f>
        <v>#REF!</v>
      </c>
      <c r="P28" s="6"/>
      <c r="Q28" s="6"/>
      <c r="R28" s="6"/>
    </row>
    <row r="29" spans="2:18">
      <c r="B29" s="13">
        <f>C29*'Facteurs conversion'!$C$20</f>
        <v>123.09012464999999</v>
      </c>
      <c r="C29" s="15">
        <v>848.67499999999995</v>
      </c>
      <c r="D29" s="15">
        <v>177.69</v>
      </c>
      <c r="E29" s="15">
        <v>753.02</v>
      </c>
      <c r="F29" s="15">
        <v>2023.1</v>
      </c>
      <c r="G29" s="15">
        <v>2776.12</v>
      </c>
      <c r="H29" s="14">
        <f>E29*'Facteurs conversion'!$C$15</f>
        <v>323.74028564647352</v>
      </c>
      <c r="I29" s="14">
        <f>F29*'Facteurs conversion'!$C$15</f>
        <v>869.77632983371029</v>
      </c>
      <c r="J29" s="14">
        <f>G29*'Facteurs conversion'!$C$15</f>
        <v>1193.5166154801839</v>
      </c>
      <c r="M29" s="17">
        <v>8898.6749999999993</v>
      </c>
      <c r="N29" s="15">
        <v>303.39999999999998</v>
      </c>
      <c r="O29" s="15" t="e">
        <f>-0.0002*($N$29+O4)^2+2.9162*($N$29+O4)+1952.8</f>
        <v>#REF!</v>
      </c>
      <c r="P29" s="6"/>
      <c r="Q29" s="6"/>
      <c r="R29" s="6"/>
    </row>
    <row r="30" spans="2:18">
      <c r="B30" s="13">
        <f>C30*'Facteurs conversion'!$C$20</f>
        <v>130.34202464999998</v>
      </c>
      <c r="C30" s="15">
        <v>898.67499999999995</v>
      </c>
      <c r="D30" s="15">
        <v>179.91</v>
      </c>
      <c r="E30" s="15">
        <v>762.81</v>
      </c>
      <c r="F30" s="15">
        <v>2015.3</v>
      </c>
      <c r="G30" s="15">
        <v>2778.1099999999997</v>
      </c>
      <c r="H30" s="14">
        <f>E30*'Facteurs conversion'!$C$15</f>
        <v>327.9492275025716</v>
      </c>
      <c r="I30" s="14">
        <f>F30*'Facteurs conversion'!$C$15</f>
        <v>866.4229338707313</v>
      </c>
      <c r="J30" s="14">
        <f>G30*'Facteurs conversion'!$C$15</f>
        <v>1194.3721613733028</v>
      </c>
      <c r="M30" s="17">
        <v>9898.6749999999993</v>
      </c>
      <c r="N30" s="15">
        <v>311.06</v>
      </c>
      <c r="O30" s="15" t="e">
        <f>-0.0003*($N$30+O4)^2 + 3.074*($N$30+O4) + 1875.7</f>
        <v>#REF!</v>
      </c>
      <c r="P30" s="6"/>
      <c r="Q30" s="6"/>
      <c r="R30" s="6"/>
    </row>
    <row r="31" spans="2:18">
      <c r="B31" s="13">
        <f>C31*'Facteurs conversion'!$C$20</f>
        <v>144.84582465</v>
      </c>
      <c r="C31" s="15">
        <v>998.67499999999995</v>
      </c>
      <c r="D31" s="15">
        <v>184.09</v>
      </c>
      <c r="E31" s="15">
        <v>781.34</v>
      </c>
      <c r="F31" s="15">
        <v>2000.4</v>
      </c>
      <c r="G31" s="15">
        <v>2781.7400000000002</v>
      </c>
      <c r="H31" s="14">
        <f>E31*'Facteurs conversion'!$C$15</f>
        <v>335.9156925274437</v>
      </c>
      <c r="I31" s="14">
        <f>F31*'Facteurs conversion'!$C$15</f>
        <v>860.01708773632265</v>
      </c>
      <c r="J31" s="14">
        <f>G31*'Facteurs conversion'!$C$15</f>
        <v>1195.9327802637663</v>
      </c>
      <c r="M31" s="17">
        <v>12398.674999999999</v>
      </c>
      <c r="N31" s="15">
        <v>327.89</v>
      </c>
      <c r="O31" s="15" t="e">
        <f>-0.0005*($N$31+O4)^2+3.3698*($N$31+O4)+1722.7</f>
        <v>#REF!</v>
      </c>
      <c r="P31" s="6"/>
      <c r="Q31" s="6"/>
      <c r="R31" s="6"/>
    </row>
    <row r="32" spans="2:18">
      <c r="B32" s="13">
        <f>C32*'Facteurs conversion'!$C$20</f>
        <v>159.34962464999998</v>
      </c>
      <c r="C32" s="15">
        <v>1098.675</v>
      </c>
      <c r="D32" s="15">
        <v>187.99</v>
      </c>
      <c r="E32" s="15">
        <v>798.65</v>
      </c>
      <c r="F32" s="15">
        <v>1986.2</v>
      </c>
      <c r="G32" s="15">
        <v>2784.85</v>
      </c>
      <c r="H32" s="14">
        <f>E32*'Facteurs conversion'!$C$15</f>
        <v>343.35765202990103</v>
      </c>
      <c r="I32" s="14">
        <f>F32*'Facteurs conversion'!$C$15</f>
        <v>853.91218739346334</v>
      </c>
      <c r="J32" s="14">
        <f>G32*'Facteurs conversion'!$C$15</f>
        <v>1197.2698394233644</v>
      </c>
      <c r="M32" s="17">
        <v>14898.674999999999</v>
      </c>
      <c r="N32" s="15">
        <v>342.24</v>
      </c>
      <c r="O32" s="15" t="e">
        <f>-0.0007*($N$32+O4)^2+3.8402*($N$32+O4)+1495.3</f>
        <v>#REF!</v>
      </c>
      <c r="P32" s="6"/>
      <c r="Q32" s="6"/>
      <c r="R32" s="6"/>
    </row>
    <row r="33" spans="2:24">
      <c r="B33" s="13">
        <f>C33*'Facteurs conversion'!$C$20</f>
        <v>173.85342464999999</v>
      </c>
      <c r="C33" s="15">
        <v>1198.675</v>
      </c>
      <c r="D33" s="15">
        <v>191.64</v>
      </c>
      <c r="E33" s="15">
        <v>814.93</v>
      </c>
      <c r="F33" s="15">
        <v>1972.7</v>
      </c>
      <c r="G33" s="15">
        <v>2787.63</v>
      </c>
      <c r="H33" s="14">
        <f>E33*'Facteurs conversion'!$C$15</f>
        <v>350.35679129622145</v>
      </c>
      <c r="I33" s="14">
        <f>F33*'Facteurs conversion'!$C$15</f>
        <v>848.10823284215337</v>
      </c>
      <c r="J33" s="14">
        <f>G33*'Facteurs conversion'!$C$15</f>
        <v>1198.4650241383749</v>
      </c>
      <c r="M33" s="17">
        <v>17398.674999999999</v>
      </c>
      <c r="N33" s="15">
        <v>354.75</v>
      </c>
      <c r="O33" s="15" t="e">
        <f>0.000003*($N$33+O4)^3 -0.0071*($N$33+O4)^2 + 8.8286*($N$33+O4) +278.47</f>
        <v>#REF!</v>
      </c>
      <c r="P33" s="6"/>
      <c r="Q33" s="6"/>
      <c r="R33" s="6"/>
    </row>
    <row r="34" spans="2:24">
      <c r="B34" s="13">
        <f>C34*'Facteurs conversion'!$C$20</f>
        <v>188.35722465000001</v>
      </c>
      <c r="C34" s="15">
        <v>1298.675</v>
      </c>
      <c r="D34" s="15">
        <v>195.07</v>
      </c>
      <c r="E34" s="15">
        <v>830.3</v>
      </c>
      <c r="F34" s="15">
        <v>1959.7</v>
      </c>
      <c r="G34" s="15">
        <v>2790</v>
      </c>
      <c r="H34" s="14">
        <f>E34*'Facteurs conversion'!$C$15</f>
        <v>356.9647010335276</v>
      </c>
      <c r="I34" s="14">
        <f>F34*'Facteurs conversion'!$C$15</f>
        <v>842.51923957052156</v>
      </c>
      <c r="J34" s="14">
        <f>G34*'Facteurs conversion'!$C$15</f>
        <v>1199.4839406040492</v>
      </c>
      <c r="M34" s="17">
        <v>19898.674999999999</v>
      </c>
      <c r="N34" s="15">
        <v>365.81</v>
      </c>
      <c r="O34" s="15" t="e">
        <f>0.000003*($N$34+O4)^3-0.0092*($N$34+O4)^2+10.813*($N$34+O4)-323.93</f>
        <v>#REF!</v>
      </c>
      <c r="P34" s="6"/>
      <c r="Q34" s="6"/>
      <c r="R34" s="6"/>
    </row>
    <row r="35" spans="2:24">
      <c r="B35" s="13">
        <f>C35*'Facteurs conversion'!$C$20</f>
        <v>202.86102464999999</v>
      </c>
      <c r="C35" s="15">
        <v>1398.675</v>
      </c>
      <c r="D35" s="15">
        <v>198.32</v>
      </c>
      <c r="E35" s="15">
        <v>844.89</v>
      </c>
      <c r="F35" s="15">
        <v>1947.3</v>
      </c>
      <c r="G35" s="15">
        <v>2792.19</v>
      </c>
      <c r="H35" s="14">
        <f>E35*'Facteurs conversion'!$C$15</f>
        <v>363.23727117453586</v>
      </c>
      <c r="I35" s="14">
        <f>F35*'Facteurs conversion'!$C$15</f>
        <v>837.18819983450362</v>
      </c>
      <c r="J35" s="14">
        <f>G35*'Facteurs conversion'!$C$15</f>
        <v>1200.4254710090395</v>
      </c>
      <c r="M35" s="744"/>
      <c r="N35" s="6"/>
      <c r="O35" s="6"/>
      <c r="P35" s="744"/>
      <c r="Q35" s="744"/>
      <c r="R35" s="6"/>
    </row>
    <row r="36" spans="2:24">
      <c r="B36" s="13">
        <f>C36*'Facteurs conversion'!$C$20</f>
        <v>239.12052464999999</v>
      </c>
      <c r="C36" s="15">
        <v>1648.675</v>
      </c>
      <c r="D36" s="15">
        <v>205.76</v>
      </c>
      <c r="E36" s="15">
        <v>878.5</v>
      </c>
      <c r="F36" s="15">
        <v>1917.9</v>
      </c>
      <c r="G36" s="15">
        <v>2796.4</v>
      </c>
      <c r="H36" s="14">
        <f>E36*'Facteurs conversion'!$C$15</f>
        <v>377.68696839450081</v>
      </c>
      <c r="I36" s="14">
        <f>F36*'Facteurs conversion'!$C$15</f>
        <v>824.54847658942867</v>
      </c>
      <c r="J36" s="14">
        <f>G36*'Facteurs conversion'!$C$15</f>
        <v>1202.2354449839295</v>
      </c>
      <c r="M36" s="6"/>
      <c r="N36" s="744"/>
      <c r="O36" s="744"/>
      <c r="P36" s="745"/>
      <c r="Q36" s="745"/>
      <c r="R36" s="745"/>
      <c r="S36" s="745"/>
      <c r="T36" s="745"/>
      <c r="U36" s="745"/>
      <c r="V36" s="745"/>
      <c r="W36" s="18"/>
      <c r="X36" s="18"/>
    </row>
    <row r="37" spans="2:24">
      <c r="B37" s="13">
        <f>C37*'Facteurs conversion'!$C$20</f>
        <v>275.38002465</v>
      </c>
      <c r="C37" s="15">
        <v>1898.675</v>
      </c>
      <c r="D37" s="15">
        <v>212.42</v>
      </c>
      <c r="E37" s="15">
        <v>908.79</v>
      </c>
      <c r="F37" s="15">
        <v>1890.7</v>
      </c>
      <c r="G37" s="15">
        <v>2799.49</v>
      </c>
      <c r="H37" s="14">
        <f>E37*'Facteurs conversion'!$C$15</f>
        <v>390.70932271740281</v>
      </c>
      <c r="I37" s="14">
        <f>F37*'Facteurs conversion'!$C$15</f>
        <v>812.85458297493756</v>
      </c>
      <c r="J37" s="14">
        <f>G37*'Facteurs conversion'!$C$15</f>
        <v>1203.5639056923403</v>
      </c>
      <c r="M37" s="6"/>
      <c r="N37" s="745"/>
      <c r="O37" s="745"/>
      <c r="P37" s="6"/>
      <c r="Q37" s="6"/>
      <c r="R37" s="6"/>
    </row>
    <row r="38" spans="2:24">
      <c r="B38" s="13">
        <f>C38*'Facteurs conversion'!$C$20</f>
        <v>311.63952465000006</v>
      </c>
      <c r="C38" s="15">
        <v>2148.6750000000002</v>
      </c>
      <c r="D38" s="15">
        <v>218.45</v>
      </c>
      <c r="E38" s="15">
        <v>936.49</v>
      </c>
      <c r="F38" s="15">
        <v>1865.2</v>
      </c>
      <c r="G38" s="15">
        <v>2801.69</v>
      </c>
      <c r="H38" s="14">
        <f>E38*'Facteurs conversion'!$C$15</f>
        <v>402.61817761157204</v>
      </c>
      <c r="I38" s="14">
        <f>F38*'Facteurs conversion'!$C$15</f>
        <v>801.89155771135222</v>
      </c>
      <c r="J38" s="14">
        <f>G38*'Facteurs conversion'!$C$15</f>
        <v>1204.5097353229241</v>
      </c>
      <c r="M38" s="6"/>
      <c r="N38" s="6"/>
      <c r="O38" s="6"/>
      <c r="P38" s="6"/>
      <c r="Q38" s="6"/>
      <c r="R38" s="6"/>
      <c r="W38" s="7"/>
    </row>
    <row r="39" spans="2:24">
      <c r="B39" s="13">
        <f>C39*'Facteurs conversion'!$C$20</f>
        <v>347.89902465</v>
      </c>
      <c r="C39" s="15">
        <v>2398.6750000000002</v>
      </c>
      <c r="D39" s="15">
        <v>223.99</v>
      </c>
      <c r="E39" s="15">
        <v>962.11</v>
      </c>
      <c r="F39" s="15">
        <v>1841</v>
      </c>
      <c r="G39" s="15">
        <v>2803.11</v>
      </c>
      <c r="H39" s="14">
        <f>E39*'Facteurs conversion'!$C$15</f>
        <v>413.63279358228021</v>
      </c>
      <c r="I39" s="14">
        <f>F39*'Facteurs conversion'!$C$15</f>
        <v>791.48743177492997</v>
      </c>
      <c r="J39" s="14">
        <f>G39*'Facteurs conversion'!$C$15</f>
        <v>1205.1202253572103</v>
      </c>
      <c r="M39" s="6"/>
      <c r="N39" s="6"/>
      <c r="O39" s="6"/>
      <c r="P39" s="6"/>
      <c r="Q39" s="6"/>
      <c r="R39" s="6"/>
      <c r="W39" s="7"/>
    </row>
    <row r="40" spans="2:24">
      <c r="B40" s="13">
        <f>C40*'Facteurs conversion'!$C$20</f>
        <v>420.41802465000001</v>
      </c>
      <c r="C40" s="15">
        <v>2898.6750000000002</v>
      </c>
      <c r="D40" s="15">
        <v>233.9</v>
      </c>
      <c r="E40" s="15">
        <v>1008.42</v>
      </c>
      <c r="F40" s="15">
        <v>1795.7</v>
      </c>
      <c r="G40" s="15">
        <v>2804.12</v>
      </c>
      <c r="H40" s="14">
        <f>E40*'Facteurs conversion'!$C$15</f>
        <v>433.54250730606998</v>
      </c>
      <c r="I40" s="14">
        <f>F40*'Facteurs conversion'!$C$15</f>
        <v>772.01193983609005</v>
      </c>
      <c r="J40" s="14">
        <f>G40*'Facteurs conversion'!$C$15</f>
        <v>1205.5544471421599</v>
      </c>
      <c r="M40" s="6"/>
      <c r="N40" s="6"/>
      <c r="O40" s="6"/>
      <c r="P40" s="6"/>
      <c r="Q40" s="6"/>
      <c r="R40" s="6"/>
    </row>
    <row r="41" spans="2:24">
      <c r="B41" s="13">
        <f>C41*'Facteurs conversion'!$C$20</f>
        <v>492.93702465000001</v>
      </c>
      <c r="C41" s="15">
        <v>3398.6750000000002</v>
      </c>
      <c r="D41" s="15">
        <v>242.6</v>
      </c>
      <c r="E41" s="15">
        <v>1049.75</v>
      </c>
      <c r="F41" s="15">
        <v>1753.7</v>
      </c>
      <c r="G41" s="15">
        <v>2803.45</v>
      </c>
      <c r="H41" s="14">
        <f>E41*'Facteurs conversion'!$C$15</f>
        <v>451.31120668426547</v>
      </c>
      <c r="I41" s="14">
        <f>F41*'Facteurs conversion'!$C$15</f>
        <v>753.95519234312587</v>
      </c>
      <c r="J41" s="14">
        <f>G41*'Facteurs conversion'!$C$15</f>
        <v>1205.2663990273911</v>
      </c>
      <c r="M41" s="6"/>
      <c r="N41" s="6"/>
      <c r="O41" s="6"/>
      <c r="P41" s="6"/>
      <c r="Q41" s="6"/>
      <c r="R41" s="6"/>
    </row>
    <row r="42" spans="2:24">
      <c r="B42" s="13">
        <f>C42*'Facteurs conversion'!$C$20</f>
        <v>565.45602465000002</v>
      </c>
      <c r="C42" s="15">
        <v>3898.6750000000002</v>
      </c>
      <c r="D42" s="15">
        <v>250.4</v>
      </c>
      <c r="E42" s="15">
        <v>1087.31</v>
      </c>
      <c r="F42" s="15">
        <v>1714.1</v>
      </c>
      <c r="G42" s="15">
        <v>2801.41</v>
      </c>
      <c r="H42" s="14">
        <f>E42*'Facteurs conversion'!$C$15</f>
        <v>467.45909801368771</v>
      </c>
      <c r="I42" s="14">
        <f>F42*'Facteurs conversion'!$C$15</f>
        <v>736.9302589926167</v>
      </c>
      <c r="J42" s="14">
        <f>G42*'Facteurs conversion'!$C$15</f>
        <v>1204.3893570063044</v>
      </c>
      <c r="M42" s="6"/>
      <c r="N42" s="6"/>
      <c r="O42" s="6"/>
      <c r="P42" s="6"/>
      <c r="Q42" s="6"/>
      <c r="R42" s="6"/>
    </row>
    <row r="43" spans="2:24">
      <c r="B43" s="13">
        <f>C43*'Facteurs conversion'!$C$20</f>
        <v>710.49402465000003</v>
      </c>
      <c r="C43" s="15">
        <v>4898.6750000000002</v>
      </c>
      <c r="D43" s="15">
        <v>263.99</v>
      </c>
      <c r="E43" s="15">
        <v>1154.23</v>
      </c>
      <c r="F43" s="15">
        <v>1640.1</v>
      </c>
      <c r="G43" s="15">
        <v>2794.33</v>
      </c>
      <c r="H43" s="14">
        <f>E43*'Facteurs conversion'!$C$15</f>
        <v>496.22951568581067</v>
      </c>
      <c r="I43" s="14">
        <f>F43*'Facteurs conversion'!$C$15</f>
        <v>705.11598960025128</v>
      </c>
      <c r="J43" s="14">
        <f>G43*'Facteurs conversion'!$C$15</f>
        <v>1201.345505286062</v>
      </c>
      <c r="M43" s="6"/>
      <c r="N43" s="6"/>
      <c r="O43" s="6"/>
      <c r="P43" s="6"/>
      <c r="Q43" s="6"/>
      <c r="R43" s="6"/>
    </row>
    <row r="44" spans="2:24">
      <c r="B44" s="13">
        <f>C44*'Facteurs conversion'!$C$20</f>
        <v>855.53202465000004</v>
      </c>
      <c r="C44" s="15">
        <v>5898.6750000000002</v>
      </c>
      <c r="D44" s="15">
        <v>275.64</v>
      </c>
      <c r="E44" s="15">
        <v>1213.3499999999999</v>
      </c>
      <c r="F44" s="15">
        <v>1571</v>
      </c>
      <c r="G44" s="15">
        <v>2784.35</v>
      </c>
      <c r="H44" s="14">
        <f>E44*'Facteurs conversion'!$C$15</f>
        <v>521.64653739495452</v>
      </c>
      <c r="I44" s="14">
        <f>F44*'Facteurs conversion'!$C$15</f>
        <v>675.40834074873169</v>
      </c>
      <c r="J44" s="14">
        <f>G44*'Facteurs conversion'!$C$15</f>
        <v>1197.0548781436862</v>
      </c>
      <c r="M44" s="6"/>
      <c r="N44" s="6"/>
      <c r="O44" s="6"/>
      <c r="P44" s="6"/>
      <c r="Q44" s="6"/>
      <c r="R44" s="6"/>
    </row>
    <row r="45" spans="2:24">
      <c r="B45" s="13">
        <f>C45*'Facteurs conversion'!$C$20</f>
        <v>1000.5700246500001</v>
      </c>
      <c r="C45" s="15">
        <v>6898.6750000000002</v>
      </c>
      <c r="D45" s="15">
        <v>285.88</v>
      </c>
      <c r="E45" s="15">
        <v>1267</v>
      </c>
      <c r="F45" s="15">
        <v>1505.1</v>
      </c>
      <c r="G45" s="15">
        <v>2772.1</v>
      </c>
      <c r="H45" s="14">
        <f>E45*'Facteurs conversion'!$C$15</f>
        <v>544.71188270441951</v>
      </c>
      <c r="I45" s="14">
        <f>F45*'Facteurs conversion'!$C$15</f>
        <v>647.07644408715214</v>
      </c>
      <c r="J45" s="14">
        <f>G45*'Facteurs conversion'!$C$15</f>
        <v>1191.7883267915715</v>
      </c>
      <c r="M45" s="6"/>
      <c r="N45" s="6"/>
      <c r="O45" s="6"/>
      <c r="P45" s="6"/>
      <c r="Q45" s="6"/>
      <c r="R45" s="6"/>
    </row>
    <row r="46" spans="2:24">
      <c r="B46" s="13">
        <f>C46*'Facteurs conversion'!$C$20</f>
        <v>1145.6080246500001</v>
      </c>
      <c r="C46" s="15">
        <v>7898.6750000000002</v>
      </c>
      <c r="D46" s="15">
        <v>295.06</v>
      </c>
      <c r="E46" s="15">
        <v>1316.64</v>
      </c>
      <c r="F46" s="15">
        <v>1441.3</v>
      </c>
      <c r="G46" s="15">
        <v>2757.94</v>
      </c>
      <c r="H46" s="14">
        <f>E46*'Facteurs conversion'!$C$15</f>
        <v>566.05323855086579</v>
      </c>
      <c r="I46" s="14">
        <f>F46*'Facteurs conversion'!$C$15</f>
        <v>619.64738480022083</v>
      </c>
      <c r="J46" s="14">
        <f>G46*'Facteurs conversion'!$C$15</f>
        <v>1185.7006233510865</v>
      </c>
      <c r="M46" s="6"/>
      <c r="N46" s="6"/>
      <c r="O46" s="6"/>
      <c r="P46" s="6"/>
      <c r="Q46" s="6"/>
      <c r="R46" s="6"/>
    </row>
    <row r="47" spans="2:24">
      <c r="B47" s="13">
        <f>C47*'Facteurs conversion'!$C$20</f>
        <v>1290.6460246499998</v>
      </c>
      <c r="C47" s="15">
        <v>8898.6749999999993</v>
      </c>
      <c r="D47" s="15">
        <v>303.39999999999998</v>
      </c>
      <c r="E47" s="15">
        <v>1363.26</v>
      </c>
      <c r="F47" s="15">
        <v>1378.9</v>
      </c>
      <c r="G47" s="15">
        <v>2742.16</v>
      </c>
      <c r="H47" s="14">
        <f>E47*'Facteurs conversion'!$C$15</f>
        <v>586.09622826805594</v>
      </c>
      <c r="I47" s="14">
        <f>F47*'Facteurs conversion'!$C$15</f>
        <v>592.82021709638832</v>
      </c>
      <c r="J47" s="14">
        <f>G47*'Facteurs conversion'!$C$15</f>
        <v>1178.9164453644441</v>
      </c>
      <c r="M47" s="6"/>
      <c r="N47" s="6"/>
      <c r="O47" s="6"/>
      <c r="P47" s="6"/>
      <c r="Q47" s="6"/>
      <c r="R47" s="6"/>
    </row>
    <row r="48" spans="2:24">
      <c r="B48" s="13">
        <f>C48*'Facteurs conversion'!$C$20</f>
        <v>1435.6840246499999</v>
      </c>
      <c r="C48" s="15">
        <v>9898.6749999999993</v>
      </c>
      <c r="D48" s="15">
        <v>311.06</v>
      </c>
      <c r="E48" s="15">
        <v>1407.56</v>
      </c>
      <c r="F48" s="15">
        <v>1317.1</v>
      </c>
      <c r="G48" s="15">
        <v>2724.66</v>
      </c>
      <c r="H48" s="14">
        <f>E48*'Facteurs conversion'!$C$15</f>
        <v>605.14179764753953</v>
      </c>
      <c r="I48" s="14">
        <f>F48*'Facteurs conversion'!$C$15</f>
        <v>566.25100292816956</v>
      </c>
      <c r="J48" s="14">
        <f>G48*'Facteurs conversion'!$C$15</f>
        <v>1171.3928005757091</v>
      </c>
      <c r="M48" s="6"/>
      <c r="N48" s="6"/>
      <c r="O48" s="6"/>
      <c r="P48" s="6"/>
      <c r="Q48" s="6"/>
      <c r="R48" s="6"/>
    </row>
    <row r="49" spans="2:18">
      <c r="B49" s="13">
        <f>C49*'Facteurs conversion'!$C$20</f>
        <v>1580.7220246499999</v>
      </c>
      <c r="C49" s="15">
        <v>10898.674999999999</v>
      </c>
      <c r="D49" s="15">
        <v>318.14999999999998</v>
      </c>
      <c r="E49" s="15">
        <v>1450.1</v>
      </c>
      <c r="F49" s="15">
        <v>1255.5</v>
      </c>
      <c r="G49" s="15">
        <v>2705.6</v>
      </c>
      <c r="H49" s="14">
        <f>E49*'Facteurs conversion'!$C$15</f>
        <v>623.43070332255616</v>
      </c>
      <c r="I49" s="14">
        <f>F49*'Facteurs conversion'!$C$15</f>
        <v>539.76777327182219</v>
      </c>
      <c r="J49" s="14">
        <f>G49*'Facteurs conversion'!$C$15</f>
        <v>1163.1984765943782</v>
      </c>
      <c r="M49" s="6"/>
      <c r="N49" s="6"/>
      <c r="O49" s="6"/>
      <c r="P49" s="6"/>
      <c r="Q49" s="6"/>
      <c r="R49" s="6"/>
    </row>
    <row r="50" spans="2:18">
      <c r="B50" s="13">
        <f>C50*'Facteurs conversion'!$C$20</f>
        <v>1725.7600246499999</v>
      </c>
      <c r="C50" s="15">
        <v>11898.674999999999</v>
      </c>
      <c r="D50" s="15">
        <v>324.75</v>
      </c>
      <c r="E50" s="15">
        <v>1491.3</v>
      </c>
      <c r="F50" s="15">
        <v>1193.5999999999999</v>
      </c>
      <c r="G50" s="15">
        <v>2684.8999999999996</v>
      </c>
      <c r="H50" s="14">
        <f>E50*'Facteurs conversion'!$C$15</f>
        <v>641.14351276803529</v>
      </c>
      <c r="I50" s="14">
        <f>F50*'Facteurs conversion'!$C$15</f>
        <v>513.15556684766773</v>
      </c>
      <c r="J50" s="14">
        <f>G50*'Facteurs conversion'!$C$15</f>
        <v>1154.299079615703</v>
      </c>
      <c r="M50" s="6"/>
      <c r="N50" s="6"/>
      <c r="O50" s="6"/>
      <c r="P50" s="6"/>
      <c r="Q50" s="6"/>
      <c r="R50" s="6"/>
    </row>
    <row r="51" spans="2:18">
      <c r="B51" s="13">
        <f>C51*'Facteurs conversion'!$C$20</f>
        <v>1870.7980246499999</v>
      </c>
      <c r="C51" s="15">
        <v>12898.674999999999</v>
      </c>
      <c r="D51" s="15">
        <v>330.93</v>
      </c>
      <c r="E51" s="15">
        <v>1531.5</v>
      </c>
      <c r="F51" s="15">
        <v>1130.7</v>
      </c>
      <c r="G51" s="15">
        <v>2662.2</v>
      </c>
      <c r="H51" s="14">
        <f>E51*'Facteurs conversion'!$C$15</f>
        <v>658.42639965415822</v>
      </c>
      <c r="I51" s="14">
        <f>F51*'Facteurs conversion'!$C$15</f>
        <v>486.11343786415716</v>
      </c>
      <c r="J51" s="14">
        <f>G51*'Facteurs conversion'!$C$15</f>
        <v>1144.5398375183152</v>
      </c>
      <c r="M51" s="6"/>
      <c r="N51" s="6"/>
      <c r="O51" s="6"/>
      <c r="P51" s="6"/>
      <c r="Q51" s="6"/>
      <c r="R51" s="6"/>
    </row>
    <row r="52" spans="2:18">
      <c r="B52" s="13">
        <f>C52*'Facteurs conversion'!$C$20</f>
        <v>2015.8360246499999</v>
      </c>
      <c r="C52" s="15">
        <v>13898.674999999999</v>
      </c>
      <c r="D52" s="15">
        <v>336.75</v>
      </c>
      <c r="E52" s="15">
        <v>1571.1</v>
      </c>
      <c r="F52" s="15">
        <v>1066.5</v>
      </c>
      <c r="G52" s="15">
        <v>2637.6</v>
      </c>
      <c r="H52" s="14">
        <f>E52*'Facteurs conversion'!$C$15</f>
        <v>675.45133300466728</v>
      </c>
      <c r="I52" s="14">
        <f>F52*'Facteurs conversion'!$C$15</f>
        <v>458.51240955348334</v>
      </c>
      <c r="J52" s="14">
        <f>G52*'Facteurs conversion'!$C$15</f>
        <v>1133.9637425581507</v>
      </c>
      <c r="M52" s="6"/>
      <c r="N52" s="6"/>
      <c r="O52" s="6"/>
      <c r="P52" s="6"/>
      <c r="Q52" s="6"/>
      <c r="R52" s="6"/>
    </row>
    <row r="53" spans="2:18">
      <c r="B53" s="13">
        <f>C53*'Facteurs conversion'!$C$20</f>
        <v>2160.8740246499997</v>
      </c>
      <c r="C53" s="15">
        <v>14898.674999999999</v>
      </c>
      <c r="D53" s="15">
        <v>342.24</v>
      </c>
      <c r="E53" s="15">
        <v>1610.5</v>
      </c>
      <c r="F53" s="15">
        <v>1000</v>
      </c>
      <c r="G53" s="15">
        <v>2610.5</v>
      </c>
      <c r="H53" s="14">
        <f>E53*'Facteurs conversion'!$C$15</f>
        <v>692.39028184330505</v>
      </c>
      <c r="I53" s="14">
        <f>F53*'Facteurs conversion'!$C$15</f>
        <v>429.92255935629004</v>
      </c>
      <c r="J53" s="14">
        <f>G53*'Facteurs conversion'!$C$15</f>
        <v>1122.3128411995951</v>
      </c>
      <c r="M53" s="6"/>
      <c r="N53" s="6"/>
      <c r="O53" s="6"/>
      <c r="P53" s="6"/>
      <c r="Q53" s="6"/>
      <c r="R53" s="6"/>
    </row>
    <row r="54" spans="2:18">
      <c r="B54" s="13">
        <f>C54*'Facteurs conversion'!$C$20</f>
        <v>2305.9120246499997</v>
      </c>
      <c r="C54" s="15">
        <v>15898.674999999999</v>
      </c>
      <c r="D54" s="15">
        <v>347.44</v>
      </c>
      <c r="E54" s="15">
        <v>1650.1</v>
      </c>
      <c r="F54" s="15">
        <v>930.6</v>
      </c>
      <c r="G54" s="15">
        <v>2580.6999999999998</v>
      </c>
      <c r="H54" s="14">
        <f>E54*'Facteurs conversion'!$C$15</f>
        <v>709.41521519381411</v>
      </c>
      <c r="I54" s="14">
        <f>F54*'Facteurs conversion'!$C$15</f>
        <v>400.08593373696351</v>
      </c>
      <c r="J54" s="14">
        <f>G54*'Facteurs conversion'!$C$15</f>
        <v>1109.5011489307776</v>
      </c>
      <c r="M54" s="6"/>
      <c r="N54" s="6"/>
      <c r="O54" s="6"/>
      <c r="P54" s="6"/>
      <c r="Q54" s="6"/>
      <c r="R54" s="6"/>
    </row>
    <row r="55" spans="2:18">
      <c r="B55" s="13">
        <f>C55*'Facteurs conversion'!$C$20</f>
        <v>2450.9500246499997</v>
      </c>
      <c r="C55" s="15">
        <v>16898.674999999999</v>
      </c>
      <c r="D55" s="15">
        <v>352.37</v>
      </c>
      <c r="E55" s="15">
        <v>1690.3</v>
      </c>
      <c r="F55" s="15">
        <v>856.9</v>
      </c>
      <c r="G55" s="15">
        <v>2547.1999999999998</v>
      </c>
      <c r="H55" s="14">
        <f>E55*'Facteurs conversion'!$C$15</f>
        <v>726.69810207993703</v>
      </c>
      <c r="I55" s="14">
        <f>F55*'Facteurs conversion'!$C$15</f>
        <v>368.40064111240491</v>
      </c>
      <c r="J55" s="14">
        <f>G55*'Facteurs conversion'!$C$15</f>
        <v>1095.098743192342</v>
      </c>
      <c r="M55" s="6"/>
      <c r="N55" s="6"/>
      <c r="O55" s="6"/>
      <c r="P55" s="6"/>
      <c r="Q55" s="6"/>
      <c r="R55" s="6"/>
    </row>
    <row r="56" spans="2:18">
      <c r="B56" s="13">
        <f>C56*'Facteurs conversion'!$C$20</f>
        <v>2595.9880246499997</v>
      </c>
      <c r="C56" s="15">
        <v>17898.674999999999</v>
      </c>
      <c r="D56" s="15">
        <v>357.06</v>
      </c>
      <c r="E56" s="15">
        <v>1732</v>
      </c>
      <c r="F56" s="15">
        <v>777.1</v>
      </c>
      <c r="G56" s="15">
        <v>2509.1</v>
      </c>
      <c r="H56" s="14">
        <f>E56*'Facteurs conversion'!$C$15</f>
        <v>744.62587280509433</v>
      </c>
      <c r="I56" s="14">
        <f>F56*'Facteurs conversion'!$C$15</f>
        <v>334.09282087577299</v>
      </c>
      <c r="J56" s="14">
        <f>G56*'Facteurs conversion'!$C$15</f>
        <v>1078.7186936808673</v>
      </c>
      <c r="M56" s="6"/>
      <c r="N56" s="6"/>
      <c r="O56" s="6"/>
      <c r="P56" s="6"/>
      <c r="Q56" s="6"/>
      <c r="R56" s="6"/>
    </row>
    <row r="57" spans="2:18">
      <c r="B57" s="13">
        <f>C57*'Facteurs conversion'!$C$20</f>
        <v>2741.0260246499997</v>
      </c>
      <c r="C57" s="15">
        <v>18898.674999999999</v>
      </c>
      <c r="D57" s="15">
        <v>361.54</v>
      </c>
      <c r="E57" s="15">
        <v>1776.5</v>
      </c>
      <c r="F57" s="15">
        <v>688</v>
      </c>
      <c r="G57" s="15">
        <v>2464.5</v>
      </c>
      <c r="H57" s="14">
        <f>E57*'Facteurs conversion'!$C$15</f>
        <v>763.75742669644922</v>
      </c>
      <c r="I57" s="14">
        <f>F57*'Facteurs conversion'!$C$15</f>
        <v>295.78672083712752</v>
      </c>
      <c r="J57" s="14">
        <f>G57*'Facteurs conversion'!$C$15</f>
        <v>1059.5441475335767</v>
      </c>
      <c r="M57" s="6"/>
      <c r="N57" s="6"/>
      <c r="O57" s="6"/>
      <c r="P57" s="6"/>
      <c r="Q57" s="6"/>
      <c r="R57" s="6"/>
    </row>
    <row r="58" spans="2:18">
      <c r="B58" s="13">
        <f>C58*'Facteurs conversion'!$C$20</f>
        <v>2886.0640246499997</v>
      </c>
      <c r="C58" s="15">
        <v>19898.674999999999</v>
      </c>
      <c r="D58" s="15">
        <v>365.81</v>
      </c>
      <c r="E58" s="15">
        <v>1826.3</v>
      </c>
      <c r="F58" s="15">
        <v>583.4</v>
      </c>
      <c r="G58" s="15">
        <v>2409.6999999999998</v>
      </c>
      <c r="H58" s="14">
        <f>E58*'Facteurs conversion'!$C$15</f>
        <v>785.1675701523925</v>
      </c>
      <c r="I58" s="14">
        <f>F58*'Facteurs conversion'!$C$15</f>
        <v>250.81682112845959</v>
      </c>
      <c r="J58" s="14">
        <f>G58*'Facteurs conversion'!$C$15</f>
        <v>1035.9843912808519</v>
      </c>
      <c r="M58" s="6"/>
      <c r="N58" s="6"/>
      <c r="O58" s="6"/>
      <c r="P58" s="6"/>
      <c r="Q58" s="6"/>
      <c r="R58" s="6"/>
    </row>
    <row r="59" spans="2:18">
      <c r="B59" s="13">
        <f>C59*'Facteurs conversion'!$C$20</f>
        <v>3031.1020246499997</v>
      </c>
      <c r="C59" s="15">
        <v>20898.674999999999</v>
      </c>
      <c r="D59" s="15">
        <v>369.89</v>
      </c>
      <c r="E59" s="15">
        <v>1888.4</v>
      </c>
      <c r="F59" s="15">
        <v>446.2</v>
      </c>
      <c r="G59" s="15">
        <v>2334.6</v>
      </c>
      <c r="H59" s="14">
        <f>E59*'Facteurs conversion'!$C$15</f>
        <v>811.86576108841814</v>
      </c>
      <c r="I59" s="14">
        <f>F59*'Facteurs conversion'!$C$15</f>
        <v>191.83144598477662</v>
      </c>
      <c r="J59" s="14">
        <f>G59*'Facteurs conversion'!$C$15</f>
        <v>1003.6972070731947</v>
      </c>
      <c r="M59" s="6"/>
      <c r="N59" s="6"/>
      <c r="O59" s="6"/>
      <c r="P59" s="6"/>
      <c r="Q59" s="6"/>
      <c r="R59" s="6"/>
    </row>
    <row r="60" spans="2:18">
      <c r="B60" s="13">
        <f>C60*'Facteurs conversion'!$C$20</f>
        <v>3176.1400246499998</v>
      </c>
      <c r="C60" s="15">
        <v>21898.674999999999</v>
      </c>
      <c r="D60" s="15">
        <v>373.8</v>
      </c>
      <c r="E60" s="15">
        <v>2022.2</v>
      </c>
      <c r="F60" s="15">
        <v>143.4</v>
      </c>
      <c r="G60" s="15">
        <v>2165.6</v>
      </c>
      <c r="H60" s="14">
        <f>E60*'Facteurs conversion'!$C$15</f>
        <v>869.38939953028978</v>
      </c>
      <c r="I60" s="14">
        <f>F60*'Facteurs conversion'!$C$15</f>
        <v>61.650895011691993</v>
      </c>
      <c r="J60" s="14">
        <f>G60*'Facteurs conversion'!$C$15</f>
        <v>931.04029454198167</v>
      </c>
      <c r="M60" s="6"/>
      <c r="N60" s="6"/>
      <c r="O60" s="6"/>
      <c r="P60" s="6"/>
      <c r="Q60" s="6"/>
      <c r="R60" s="6"/>
    </row>
    <row r="61" spans="2:18">
      <c r="B61" s="13">
        <f>C61*'Facteurs conversion'!$C$20</f>
        <v>3189.1934446499999</v>
      </c>
      <c r="C61" s="15">
        <v>21988.674999999999</v>
      </c>
      <c r="D61" s="15">
        <v>374.14</v>
      </c>
      <c r="E61" s="15">
        <v>2099.3000000000002</v>
      </c>
      <c r="F61" s="15">
        <v>0</v>
      </c>
      <c r="G61" s="15">
        <v>2099.3000000000002</v>
      </c>
      <c r="H61" s="14">
        <f>E61*'Facteurs conversion'!$C$15</f>
        <v>902.53642885665977</v>
      </c>
      <c r="I61" s="14">
        <f>F61*'Facteurs conversion'!$C$15</f>
        <v>0</v>
      </c>
      <c r="J61" s="14">
        <f>G61*'Facteurs conversion'!$C$15</f>
        <v>902.53642885665977</v>
      </c>
      <c r="M61" s="6"/>
      <c r="N61" s="6"/>
      <c r="O61" s="6"/>
      <c r="P61" s="6"/>
      <c r="Q61" s="6"/>
      <c r="R61" s="6"/>
    </row>
    <row r="62" spans="2:18" s="6" customFormat="1"/>
    <row r="63" spans="2:18" s="6" customFormat="1"/>
    <row r="64" spans="2:18" s="6" customFormat="1"/>
    <row r="65" spans="6:18" s="6" customFormat="1"/>
    <row r="66" spans="6:18" s="6" customFormat="1"/>
    <row r="67" spans="6:18" s="6" customFormat="1"/>
    <row r="68" spans="6:18" s="6" customFormat="1"/>
    <row r="69" spans="6:18" s="6" customFormat="1"/>
    <row r="70" spans="6:18" s="6" customFormat="1">
      <c r="F70" s="405"/>
    </row>
    <row r="71" spans="6:18" s="6" customFormat="1"/>
    <row r="72" spans="6:18" s="6" customFormat="1"/>
    <row r="73" spans="6:18" s="6" customFormat="1"/>
    <row r="74" spans="6:18" s="6" customFormat="1"/>
    <row r="75" spans="6:18" s="6" customFormat="1"/>
    <row r="76" spans="6:18" s="6" customFormat="1"/>
    <row r="77" spans="6:18">
      <c r="M77" s="6"/>
      <c r="N77" s="6"/>
      <c r="O77" s="6"/>
      <c r="P77" s="6"/>
      <c r="Q77" s="6"/>
      <c r="R77" s="6"/>
    </row>
    <row r="78" spans="6:18">
      <c r="M78" s="6"/>
      <c r="N78" s="6"/>
      <c r="O78" s="6"/>
      <c r="P78" s="6"/>
      <c r="Q78" s="6"/>
      <c r="R78" s="6"/>
    </row>
    <row r="79" spans="6:18">
      <c r="M79" s="6"/>
      <c r="N79" s="6"/>
      <c r="O79" s="6"/>
      <c r="P79" s="6"/>
      <c r="Q79" s="6"/>
      <c r="R79" s="6"/>
    </row>
    <row r="80" spans="6:18">
      <c r="M80" s="6"/>
      <c r="N80" s="6"/>
      <c r="O80" s="6"/>
      <c r="P80" s="6"/>
      <c r="Q80" s="6"/>
      <c r="R80" s="6"/>
    </row>
    <row r="81" spans="13:18">
      <c r="M81" s="6"/>
      <c r="N81" s="6"/>
      <c r="O81" s="6"/>
      <c r="P81" s="6"/>
      <c r="Q81" s="6"/>
      <c r="R81" s="6"/>
    </row>
    <row r="82" spans="13:18">
      <c r="M82" s="6"/>
      <c r="N82" s="6"/>
      <c r="O82" s="6"/>
      <c r="P82" s="6"/>
      <c r="Q82" s="6"/>
      <c r="R82" s="6"/>
    </row>
    <row r="83" spans="13:18">
      <c r="M83" s="6"/>
      <c r="N83" s="6"/>
      <c r="O83" s="6"/>
      <c r="P83" s="6"/>
      <c r="Q83" s="6"/>
      <c r="R83" s="6"/>
    </row>
    <row r="84" spans="13:18">
      <c r="M84" s="6"/>
      <c r="N84" s="6"/>
      <c r="O84" s="6"/>
      <c r="P84" s="6"/>
      <c r="Q84" s="6"/>
      <c r="R84" s="6"/>
    </row>
    <row r="85" spans="13:18">
      <c r="M85" s="6"/>
      <c r="N85" s="6"/>
      <c r="O85" s="6"/>
      <c r="P85" s="6"/>
      <c r="Q85" s="6"/>
      <c r="R85" s="6"/>
    </row>
    <row r="86" spans="13:18">
      <c r="M86" s="6"/>
      <c r="N86" s="6"/>
      <c r="O86" s="6"/>
      <c r="P86" s="6"/>
      <c r="Q86" s="6"/>
      <c r="R86" s="6"/>
    </row>
    <row r="87" spans="13:18">
      <c r="M87" s="6"/>
      <c r="N87" s="6"/>
      <c r="O87" s="6"/>
      <c r="P87" s="6"/>
      <c r="Q87" s="6"/>
      <c r="R87" s="6"/>
    </row>
    <row r="88" spans="13:18">
      <c r="M88" s="6"/>
      <c r="N88" s="6"/>
      <c r="O88" s="6"/>
      <c r="P88" s="6"/>
      <c r="Q88" s="6"/>
      <c r="R88" s="6"/>
    </row>
    <row r="89" spans="13:18">
      <c r="M89" s="6"/>
      <c r="N89" s="6"/>
      <c r="O89" s="6"/>
      <c r="P89" s="6"/>
      <c r="Q89" s="6"/>
      <c r="R89" s="6"/>
    </row>
    <row r="90" spans="13:18">
      <c r="M90" s="6"/>
      <c r="N90" s="6"/>
      <c r="O90" s="6"/>
      <c r="P90" s="6"/>
      <c r="Q90" s="6"/>
      <c r="R90" s="6"/>
    </row>
    <row r="91" spans="13:18">
      <c r="M91" s="6"/>
      <c r="N91" s="6"/>
      <c r="O91" s="6"/>
      <c r="P91" s="6"/>
      <c r="Q91" s="6"/>
      <c r="R91" s="6"/>
    </row>
    <row r="92" spans="13:18">
      <c r="M92" s="6"/>
      <c r="N92" s="6"/>
      <c r="O92" s="6"/>
      <c r="P92" s="6"/>
      <c r="Q92" s="6"/>
      <c r="R92" s="6"/>
    </row>
    <row r="93" spans="13:18">
      <c r="M93" s="6"/>
      <c r="N93" s="6"/>
      <c r="O93" s="6"/>
      <c r="P93" s="6"/>
      <c r="Q93" s="6"/>
      <c r="R93" s="6"/>
    </row>
    <row r="94" spans="13:18">
      <c r="M94" s="6"/>
      <c r="N94" s="6"/>
      <c r="O94" s="6"/>
      <c r="P94" s="6"/>
      <c r="Q94" s="6"/>
      <c r="R94" s="6"/>
    </row>
    <row r="95" spans="13:18">
      <c r="M95" s="6"/>
      <c r="N95" s="6"/>
      <c r="O95" s="6"/>
      <c r="P95" s="6"/>
      <c r="Q95" s="6"/>
      <c r="R95" s="6"/>
    </row>
    <row r="96" spans="13:18">
      <c r="M96" s="6"/>
      <c r="N96" s="6"/>
      <c r="O96" s="6"/>
      <c r="P96" s="6"/>
      <c r="Q96" s="6"/>
      <c r="R96" s="6"/>
    </row>
    <row r="97" spans="13:18">
      <c r="M97" s="6"/>
      <c r="N97" s="6"/>
      <c r="O97" s="6"/>
      <c r="P97" s="6"/>
      <c r="Q97" s="6"/>
      <c r="R97" s="6"/>
    </row>
    <row r="103" spans="13:18" ht="16.5" customHeight="1"/>
  </sheetData>
  <mergeCells count="5">
    <mergeCell ref="E3:G3"/>
    <mergeCell ref="M3:N3"/>
    <mergeCell ref="E4:G4"/>
    <mergeCell ref="H3:J3"/>
    <mergeCell ref="H4:J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FBD72-7B93-4A8E-B173-F8FA721D5A56}">
  <sheetPr codeName="Feuil211"/>
  <dimension ref="A1:AK181"/>
  <sheetViews>
    <sheetView workbookViewId="0">
      <selection activeCell="C116" sqref="C116:D116"/>
    </sheetView>
  </sheetViews>
  <sheetFormatPr baseColWidth="10" defaultColWidth="11.44140625" defaultRowHeight="14.4"/>
  <cols>
    <col min="1" max="1" width="4.21875" style="6" customWidth="1"/>
    <col min="2" max="2" width="26.77734375" customWidth="1"/>
    <col min="3" max="3" width="24.77734375" customWidth="1"/>
    <col min="4" max="37" width="11.44140625" style="6"/>
  </cols>
  <sheetData>
    <row r="1" spans="2:6" s="6" customFormat="1"/>
    <row r="2" spans="2:6" s="394" customFormat="1" ht="36.6">
      <c r="B2" s="395" t="s">
        <v>193</v>
      </c>
    </row>
    <row r="3" spans="2:6" s="6" customFormat="1"/>
    <row r="4" spans="2:6">
      <c r="B4" s="133"/>
      <c r="C4" s="8" t="s">
        <v>194</v>
      </c>
    </row>
    <row r="5" spans="2:6">
      <c r="B5" s="11" t="s">
        <v>1179</v>
      </c>
      <c r="C5" s="9">
        <v>0.94781700000000002</v>
      </c>
      <c r="D5" s="6" t="s">
        <v>798</v>
      </c>
    </row>
    <row r="6" spans="2:6">
      <c r="B6" s="11" t="s">
        <v>1178</v>
      </c>
      <c r="C6" s="9">
        <v>3412.1416331</v>
      </c>
      <c r="D6" s="6" t="s">
        <v>798</v>
      </c>
    </row>
    <row r="7" spans="2:6" ht="16.2">
      <c r="B7" s="11" t="s">
        <v>1183</v>
      </c>
      <c r="C7" s="9">
        <f>C27*1000</f>
        <v>37.89</v>
      </c>
      <c r="D7" s="6" t="s">
        <v>1172</v>
      </c>
    </row>
    <row r="8" spans="2:6">
      <c r="B8" s="11" t="s">
        <v>1173</v>
      </c>
      <c r="C8" s="9">
        <f>C7</f>
        <v>37.89</v>
      </c>
      <c r="D8" s="6" t="s">
        <v>1180</v>
      </c>
    </row>
    <row r="9" spans="2:6">
      <c r="B9" s="11" t="s">
        <v>1187</v>
      </c>
      <c r="C9" s="9">
        <f>10^6*1/C6</f>
        <v>293.07107017462215</v>
      </c>
      <c r="D9" s="6" t="s">
        <v>4</v>
      </c>
    </row>
    <row r="10" spans="2:6">
      <c r="B10" s="11" t="s">
        <v>1178</v>
      </c>
      <c r="C10" s="13">
        <f>C6/10^6</f>
        <v>3.4121416331E-3</v>
      </c>
      <c r="D10" s="6" t="s">
        <v>1184</v>
      </c>
    </row>
    <row r="11" spans="2:6">
      <c r="B11" s="11" t="s">
        <v>1188</v>
      </c>
      <c r="C11" s="14">
        <v>35914.691943127968</v>
      </c>
      <c r="D11" s="6" t="s">
        <v>1185</v>
      </c>
    </row>
    <row r="12" spans="2:6">
      <c r="B12" s="11" t="s">
        <v>1186</v>
      </c>
      <c r="C12" s="12">
        <v>0.45359237000000002</v>
      </c>
      <c r="D12" s="6" t="s">
        <v>1181</v>
      </c>
      <c r="F12" s="743"/>
    </row>
    <row r="13" spans="2:6">
      <c r="B13" s="11" t="s">
        <v>1189</v>
      </c>
      <c r="C13" s="12">
        <v>0.101942</v>
      </c>
      <c r="D13" s="6" t="s">
        <v>6</v>
      </c>
    </row>
    <row r="14" spans="2:6">
      <c r="B14" s="11" t="s">
        <v>1191</v>
      </c>
      <c r="C14" s="12">
        <f>C12</f>
        <v>0.45359237000000002</v>
      </c>
      <c r="D14" s="6" t="s">
        <v>1181</v>
      </c>
    </row>
    <row r="15" spans="2:6">
      <c r="B15" s="11" t="s">
        <v>1192</v>
      </c>
      <c r="C15" s="12">
        <f>C12*C5</f>
        <v>0.42992255935629003</v>
      </c>
      <c r="D15" s="6" t="s">
        <v>1190</v>
      </c>
    </row>
    <row r="16" spans="2:6">
      <c r="B16" s="11" t="s">
        <v>1191</v>
      </c>
      <c r="C16" s="9">
        <v>28.731753554502372</v>
      </c>
      <c r="D16" s="6" t="s">
        <v>1182</v>
      </c>
    </row>
    <row r="17" spans="2:4">
      <c r="B17" s="6"/>
      <c r="C17" s="6"/>
    </row>
    <row r="18" spans="2:4">
      <c r="B18" s="458" t="s">
        <v>195</v>
      </c>
      <c r="C18" s="6"/>
    </row>
    <row r="19" spans="2:4">
      <c r="B19" s="11" t="s">
        <v>1175</v>
      </c>
      <c r="C19" s="12">
        <v>6.8947599999999998E-2</v>
      </c>
      <c r="D19" s="6" t="s">
        <v>1174</v>
      </c>
    </row>
    <row r="20" spans="2:4">
      <c r="B20" s="11" t="s">
        <v>1176</v>
      </c>
      <c r="C20" s="9">
        <v>0.145038</v>
      </c>
      <c r="D20" s="6" t="s">
        <v>1177</v>
      </c>
    </row>
    <row r="21" spans="2:4">
      <c r="B21" s="6"/>
      <c r="C21" s="6"/>
    </row>
    <row r="22" spans="2:4">
      <c r="B22" s="458" t="s">
        <v>196</v>
      </c>
      <c r="C22" s="6"/>
    </row>
    <row r="23" spans="2:4">
      <c r="B23" s="11" t="s">
        <v>1171</v>
      </c>
      <c r="C23" s="9">
        <v>3.28084</v>
      </c>
      <c r="D23" s="6" t="s">
        <v>1169</v>
      </c>
    </row>
    <row r="24" spans="2:4">
      <c r="B24" s="11" t="s">
        <v>1170</v>
      </c>
      <c r="C24" s="9">
        <v>2.5399999999999999E-2</v>
      </c>
      <c r="D24" s="6" t="s">
        <v>273</v>
      </c>
    </row>
    <row r="25" spans="2:4">
      <c r="B25" s="6"/>
      <c r="C25" s="6"/>
    </row>
    <row r="26" spans="2:4">
      <c r="B26" s="458" t="s">
        <v>197</v>
      </c>
      <c r="C26" s="6"/>
    </row>
    <row r="27" spans="2:4">
      <c r="B27" s="11" t="s">
        <v>1173</v>
      </c>
      <c r="C27" s="9">
        <v>3.789E-2</v>
      </c>
      <c r="D27" s="6" t="s">
        <v>1172</v>
      </c>
    </row>
    <row r="28" spans="2:4" s="6" customFormat="1"/>
    <row r="29" spans="2:4" s="6" customFormat="1">
      <c r="B29" s="6" t="s">
        <v>1233</v>
      </c>
    </row>
    <row r="30" spans="2:4" s="6" customFormat="1" ht="16.2">
      <c r="B30" s="11" t="s">
        <v>1235</v>
      </c>
      <c r="C30" s="652">
        <f>5.670374419*10^-8</f>
        <v>5.6703744189999999E-8</v>
      </c>
      <c r="D30" s="6" t="s">
        <v>1234</v>
      </c>
    </row>
    <row r="31" spans="2:4" s="6" customFormat="1"/>
    <row r="32" spans="2:4" s="6" customFormat="1"/>
    <row r="33" s="6" customFormat="1"/>
    <row r="34" s="6" customFormat="1"/>
    <row r="35" s="6" customFormat="1"/>
    <row r="36" s="6" customFormat="1"/>
    <row r="37" s="6" customFormat="1"/>
    <row r="38" s="6" customFormat="1"/>
    <row r="39" s="6" customFormat="1"/>
    <row r="40" s="6" customFormat="1"/>
    <row r="41" s="6" customFormat="1"/>
    <row r="42" s="6" customFormat="1"/>
    <row r="43" s="6" customFormat="1"/>
    <row r="44" s="6" customFormat="1"/>
    <row r="45" s="6" customFormat="1"/>
    <row r="46" s="6" customFormat="1"/>
    <row r="47" s="6" customFormat="1"/>
    <row r="48" s="6" customFormat="1"/>
    <row r="49" s="6" customFormat="1"/>
    <row r="50" s="6" customFormat="1"/>
    <row r="51" s="6" customFormat="1"/>
    <row r="52" s="6" customFormat="1"/>
    <row r="53" s="6" customFormat="1"/>
    <row r="54" s="6" customFormat="1"/>
    <row r="55" s="6" customFormat="1"/>
    <row r="56" s="6" customFormat="1"/>
    <row r="57" s="6" customFormat="1"/>
    <row r="58" s="6" customFormat="1"/>
    <row r="59" s="6" customFormat="1"/>
    <row r="60" s="6" customFormat="1"/>
    <row r="61" s="6" customFormat="1"/>
    <row r="62" s="6" customFormat="1"/>
    <row r="63" s="6" customFormat="1"/>
    <row r="64"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4BEA-5B53-41D4-9314-69FA4A558511}">
  <sheetPr codeName="Feuil17"/>
  <dimension ref="A2:Q151"/>
  <sheetViews>
    <sheetView workbookViewId="0">
      <selection activeCell="C116" sqref="C116:D116"/>
    </sheetView>
  </sheetViews>
  <sheetFormatPr baseColWidth="10" defaultColWidth="11.5546875" defaultRowHeight="14.4"/>
  <cols>
    <col min="1" max="1" width="4.44140625" style="6" customWidth="1"/>
    <col min="2" max="2" width="25.5546875" customWidth="1"/>
  </cols>
  <sheetData>
    <row r="2" spans="1:9" ht="36.6">
      <c r="B2" s="736" t="s">
        <v>724</v>
      </c>
    </row>
    <row r="4" spans="1:9">
      <c r="B4" s="553" t="s">
        <v>726</v>
      </c>
      <c r="C4" s="554" t="s">
        <v>725</v>
      </c>
    </row>
    <row r="5" spans="1:9" s="553" customFormat="1" ht="10.199999999999999">
      <c r="A5" s="746"/>
    </row>
    <row r="6" spans="1:9">
      <c r="B6" t="s">
        <v>723</v>
      </c>
      <c r="C6" t="s">
        <v>722</v>
      </c>
      <c r="D6" t="s">
        <v>721</v>
      </c>
      <c r="E6" t="s">
        <v>720</v>
      </c>
      <c r="F6" t="s">
        <v>719</v>
      </c>
      <c r="G6" t="s">
        <v>718</v>
      </c>
      <c r="H6" t="s">
        <v>717</v>
      </c>
      <c r="I6" t="s">
        <v>716</v>
      </c>
    </row>
    <row r="7" spans="1:9">
      <c r="B7" t="s">
        <v>715</v>
      </c>
      <c r="C7" t="s">
        <v>714</v>
      </c>
      <c r="D7" t="s">
        <v>713</v>
      </c>
      <c r="E7" t="s">
        <v>712</v>
      </c>
      <c r="F7" t="s">
        <v>711</v>
      </c>
      <c r="G7" t="s">
        <v>710</v>
      </c>
      <c r="H7" t="s">
        <v>709</v>
      </c>
      <c r="I7" t="s">
        <v>708</v>
      </c>
    </row>
    <row r="8" spans="1:9">
      <c r="B8" s="175" t="s">
        <v>707</v>
      </c>
      <c r="C8" t="s">
        <v>706</v>
      </c>
      <c r="D8" t="s">
        <v>705</v>
      </c>
      <c r="E8" t="s">
        <v>704</v>
      </c>
      <c r="F8" t="s">
        <v>703</v>
      </c>
      <c r="G8">
        <v>7025250</v>
      </c>
      <c r="H8">
        <v>71627</v>
      </c>
      <c r="I8" t="s">
        <v>702</v>
      </c>
    </row>
    <row r="9" spans="1:9">
      <c r="B9" t="s">
        <v>701</v>
      </c>
    </row>
    <row r="11" spans="1:9">
      <c r="B11" t="s">
        <v>700</v>
      </c>
    </row>
    <row r="12" spans="1:9">
      <c r="B12" t="s">
        <v>699</v>
      </c>
    </row>
    <row r="13" spans="1:9">
      <c r="B13" t="s">
        <v>698</v>
      </c>
    </row>
    <row r="14" spans="1:9">
      <c r="B14" t="s">
        <v>697</v>
      </c>
    </row>
    <row r="15" spans="1:9">
      <c r="B15" t="s">
        <v>696</v>
      </c>
    </row>
    <row r="17" spans="1:17">
      <c r="B17" t="s">
        <v>695</v>
      </c>
    </row>
    <row r="18" spans="1:17">
      <c r="B18" t="s">
        <v>511</v>
      </c>
      <c r="C18" t="s">
        <v>694</v>
      </c>
      <c r="D18" t="s">
        <v>693</v>
      </c>
      <c r="E18" t="s">
        <v>692</v>
      </c>
      <c r="F18" t="s">
        <v>691</v>
      </c>
      <c r="G18" t="s">
        <v>690</v>
      </c>
      <c r="H18" t="s">
        <v>689</v>
      </c>
      <c r="I18" t="s">
        <v>688</v>
      </c>
      <c r="J18" t="s">
        <v>687</v>
      </c>
      <c r="K18" t="s">
        <v>686</v>
      </c>
      <c r="L18" t="s">
        <v>685</v>
      </c>
      <c r="M18" t="s">
        <v>684</v>
      </c>
      <c r="N18" t="s">
        <v>683</v>
      </c>
      <c r="O18" t="s">
        <v>682</v>
      </c>
      <c r="P18" t="s">
        <v>681</v>
      </c>
    </row>
    <row r="19" spans="1:17">
      <c r="B19" t="s">
        <v>156</v>
      </c>
    </row>
    <row r="20" spans="1:17" s="175" customFormat="1">
      <c r="A20" s="6"/>
      <c r="B20" s="175" t="s">
        <v>680</v>
      </c>
      <c r="C20" s="175">
        <v>-9.6999999999999993</v>
      </c>
      <c r="D20" s="175">
        <v>-7.7</v>
      </c>
      <c r="E20" s="175">
        <v>-2</v>
      </c>
      <c r="F20" s="175">
        <v>6.4</v>
      </c>
      <c r="G20" s="175">
        <v>13.4</v>
      </c>
      <c r="H20" s="175">
        <v>18.600000000000001</v>
      </c>
      <c r="I20" s="175">
        <v>21.2</v>
      </c>
      <c r="J20" s="175">
        <v>20.100000000000001</v>
      </c>
      <c r="K20" s="175">
        <v>15.5</v>
      </c>
      <c r="L20" s="175">
        <v>8.5</v>
      </c>
      <c r="M20" s="175">
        <v>2.1</v>
      </c>
      <c r="N20" s="175">
        <v>-5.4</v>
      </c>
      <c r="O20" s="175">
        <v>6.8</v>
      </c>
      <c r="P20" s="175" t="s">
        <v>494</v>
      </c>
    </row>
    <row r="21" spans="1:17">
      <c r="B21" t="s">
        <v>679</v>
      </c>
      <c r="C21">
        <v>3.3</v>
      </c>
      <c r="D21">
        <v>2.7</v>
      </c>
      <c r="E21">
        <v>2.1</v>
      </c>
      <c r="F21">
        <v>1.6</v>
      </c>
      <c r="G21">
        <v>1.6</v>
      </c>
      <c r="H21">
        <v>1.3</v>
      </c>
      <c r="I21">
        <v>1</v>
      </c>
      <c r="J21">
        <v>1.2</v>
      </c>
      <c r="K21">
        <v>1.5</v>
      </c>
      <c r="L21">
        <v>1.4</v>
      </c>
      <c r="M21">
        <v>1.6</v>
      </c>
      <c r="N21">
        <v>3</v>
      </c>
      <c r="O21">
        <v>0.9</v>
      </c>
      <c r="P21" t="s">
        <v>494</v>
      </c>
    </row>
    <row r="22" spans="1:17">
      <c r="B22" t="s">
        <v>678</v>
      </c>
      <c r="C22">
        <v>-5.3</v>
      </c>
      <c r="D22">
        <v>-3.2</v>
      </c>
      <c r="E22">
        <v>2.5</v>
      </c>
      <c r="F22">
        <v>11.6</v>
      </c>
      <c r="G22">
        <v>18.899999999999999</v>
      </c>
      <c r="H22">
        <v>23.9</v>
      </c>
      <c r="I22">
        <v>26.3</v>
      </c>
      <c r="J22">
        <v>25.3</v>
      </c>
      <c r="K22">
        <v>20.6</v>
      </c>
      <c r="L22">
        <v>13</v>
      </c>
      <c r="M22">
        <v>5.9</v>
      </c>
      <c r="N22">
        <v>-1.4</v>
      </c>
      <c r="O22">
        <v>11.5</v>
      </c>
      <c r="P22" t="s">
        <v>494</v>
      </c>
    </row>
    <row r="23" spans="1:17">
      <c r="B23" t="s">
        <v>677</v>
      </c>
      <c r="C23">
        <v>-14</v>
      </c>
      <c r="D23">
        <v>-12.2</v>
      </c>
      <c r="E23">
        <v>-6.5</v>
      </c>
      <c r="F23">
        <v>1.2</v>
      </c>
      <c r="G23">
        <v>7.9</v>
      </c>
      <c r="H23">
        <v>13.2</v>
      </c>
      <c r="I23">
        <v>16.100000000000001</v>
      </c>
      <c r="J23">
        <v>14.8</v>
      </c>
      <c r="K23">
        <v>10.3</v>
      </c>
      <c r="L23">
        <v>3.9</v>
      </c>
      <c r="M23">
        <v>-1.7</v>
      </c>
      <c r="N23">
        <v>-9.3000000000000007</v>
      </c>
      <c r="O23">
        <v>2</v>
      </c>
      <c r="P23" t="s">
        <v>494</v>
      </c>
    </row>
    <row r="24" spans="1:17">
      <c r="B24" t="s">
        <v>676</v>
      </c>
      <c r="C24">
        <v>13.9</v>
      </c>
      <c r="D24">
        <v>15</v>
      </c>
      <c r="E24">
        <v>25.6</v>
      </c>
      <c r="F24">
        <v>30</v>
      </c>
      <c r="G24">
        <v>34.700000000000003</v>
      </c>
      <c r="H24">
        <v>35</v>
      </c>
      <c r="I24">
        <v>35.6</v>
      </c>
      <c r="J24">
        <v>37.6</v>
      </c>
      <c r="K24">
        <v>33.5</v>
      </c>
      <c r="L24">
        <v>28.3</v>
      </c>
      <c r="M24">
        <v>21.7</v>
      </c>
      <c r="N24">
        <v>18</v>
      </c>
    </row>
    <row r="25" spans="1:17">
      <c r="B25" t="s">
        <v>521</v>
      </c>
      <c r="C25" t="s">
        <v>520</v>
      </c>
      <c r="D25" t="s">
        <v>675</v>
      </c>
      <c r="E25" t="s">
        <v>554</v>
      </c>
      <c r="F25" t="s">
        <v>674</v>
      </c>
      <c r="G25" t="s">
        <v>673</v>
      </c>
      <c r="H25" t="s">
        <v>551</v>
      </c>
      <c r="I25" t="s">
        <v>672</v>
      </c>
      <c r="J25" t="s">
        <v>671</v>
      </c>
      <c r="K25" s="480">
        <v>27395</v>
      </c>
      <c r="L25" s="480">
        <v>36251</v>
      </c>
      <c r="M25" s="480">
        <v>24869</v>
      </c>
      <c r="N25" s="480">
        <v>17685</v>
      </c>
      <c r="O25" s="480">
        <v>37043</v>
      </c>
      <c r="Q25" t="s">
        <v>511</v>
      </c>
    </row>
    <row r="26" spans="1:17">
      <c r="B26" t="s">
        <v>670</v>
      </c>
      <c r="C26">
        <v>-37.799999999999997</v>
      </c>
      <c r="D26">
        <v>-33.9</v>
      </c>
      <c r="E26">
        <v>-29.4</v>
      </c>
      <c r="F26">
        <v>-15</v>
      </c>
      <c r="G26">
        <v>-4.4000000000000004</v>
      </c>
      <c r="H26">
        <v>0</v>
      </c>
      <c r="I26">
        <v>6.1</v>
      </c>
      <c r="J26">
        <v>3.3</v>
      </c>
      <c r="K26">
        <v>-2.2000000000000002</v>
      </c>
      <c r="L26">
        <v>-7.2</v>
      </c>
      <c r="M26">
        <v>-19.399999999999999</v>
      </c>
      <c r="N26">
        <v>-32.4</v>
      </c>
    </row>
    <row r="27" spans="1:17">
      <c r="B27" t="s">
        <v>521</v>
      </c>
      <c r="C27" t="s">
        <v>520</v>
      </c>
      <c r="D27" t="s">
        <v>669</v>
      </c>
      <c r="E27" t="s">
        <v>668</v>
      </c>
      <c r="F27" s="480">
        <v>18354</v>
      </c>
      <c r="G27" s="480">
        <v>19815</v>
      </c>
      <c r="H27" s="480">
        <v>27061</v>
      </c>
      <c r="I27" s="480">
        <v>34820</v>
      </c>
      <c r="J27" s="480">
        <v>30011</v>
      </c>
      <c r="K27" t="s">
        <v>667</v>
      </c>
      <c r="L27" t="s">
        <v>666</v>
      </c>
      <c r="M27" t="s">
        <v>665</v>
      </c>
      <c r="N27" t="s">
        <v>664</v>
      </c>
      <c r="O27" t="s">
        <v>540</v>
      </c>
      <c r="Q27" t="s">
        <v>511</v>
      </c>
    </row>
    <row r="28" spans="1:17">
      <c r="B28" t="s">
        <v>663</v>
      </c>
    </row>
    <row r="29" spans="1:17">
      <c r="B29" t="s">
        <v>662</v>
      </c>
      <c r="C29">
        <v>27.3</v>
      </c>
      <c r="D29">
        <v>20.9</v>
      </c>
      <c r="E29">
        <v>29.7</v>
      </c>
      <c r="F29">
        <v>67.7</v>
      </c>
      <c r="G29">
        <v>81.2</v>
      </c>
      <c r="H29">
        <v>87</v>
      </c>
      <c r="I29">
        <v>89.3</v>
      </c>
      <c r="J29">
        <v>94.1</v>
      </c>
      <c r="K29">
        <v>83.1</v>
      </c>
      <c r="L29">
        <v>89.1</v>
      </c>
      <c r="M29">
        <v>76.7</v>
      </c>
      <c r="N29">
        <v>38.799999999999997</v>
      </c>
      <c r="O29">
        <v>784.9</v>
      </c>
      <c r="P29" t="s">
        <v>494</v>
      </c>
    </row>
    <row r="30" spans="1:17">
      <c r="B30" t="s">
        <v>661</v>
      </c>
      <c r="C30">
        <v>49.5</v>
      </c>
      <c r="D30">
        <v>41.2</v>
      </c>
      <c r="E30">
        <v>36.200000000000003</v>
      </c>
      <c r="F30">
        <v>12.9</v>
      </c>
      <c r="G30">
        <v>0</v>
      </c>
      <c r="H30">
        <v>0</v>
      </c>
      <c r="I30">
        <v>0</v>
      </c>
      <c r="J30">
        <v>0</v>
      </c>
      <c r="K30">
        <v>0</v>
      </c>
      <c r="L30">
        <v>1.8</v>
      </c>
      <c r="M30">
        <v>19</v>
      </c>
      <c r="N30">
        <v>48.9</v>
      </c>
      <c r="O30">
        <v>209.5</v>
      </c>
      <c r="P30" t="s">
        <v>494</v>
      </c>
    </row>
    <row r="31" spans="1:17">
      <c r="B31" t="s">
        <v>660</v>
      </c>
      <c r="C31">
        <v>77.2</v>
      </c>
      <c r="D31">
        <v>62.7</v>
      </c>
      <c r="E31">
        <v>69.099999999999994</v>
      </c>
      <c r="F31">
        <v>82.2</v>
      </c>
      <c r="G31">
        <v>81.2</v>
      </c>
      <c r="H31">
        <v>87</v>
      </c>
      <c r="I31">
        <v>89.3</v>
      </c>
      <c r="J31">
        <v>94.1</v>
      </c>
      <c r="K31">
        <v>83.1</v>
      </c>
      <c r="L31">
        <v>91.3</v>
      </c>
      <c r="M31">
        <v>96.4</v>
      </c>
      <c r="N31">
        <v>86.8</v>
      </c>
      <c r="O31">
        <v>1000.3</v>
      </c>
      <c r="P31" t="s">
        <v>494</v>
      </c>
    </row>
    <row r="32" spans="1:17">
      <c r="B32" t="s">
        <v>659</v>
      </c>
      <c r="C32">
        <v>11</v>
      </c>
      <c r="D32">
        <v>13</v>
      </c>
      <c r="E32">
        <v>9</v>
      </c>
      <c r="F32">
        <v>1</v>
      </c>
      <c r="G32">
        <v>0</v>
      </c>
      <c r="H32">
        <v>0</v>
      </c>
      <c r="I32">
        <v>0</v>
      </c>
      <c r="J32">
        <v>0</v>
      </c>
      <c r="K32">
        <v>0</v>
      </c>
      <c r="L32">
        <v>0</v>
      </c>
      <c r="M32">
        <v>1</v>
      </c>
      <c r="N32">
        <v>7</v>
      </c>
      <c r="O32">
        <v>4</v>
      </c>
      <c r="P32" t="s">
        <v>494</v>
      </c>
    </row>
    <row r="33" spans="2:17">
      <c r="B33" t="s">
        <v>658</v>
      </c>
      <c r="C33">
        <v>11</v>
      </c>
      <c r="D33">
        <v>13</v>
      </c>
      <c r="E33">
        <v>8</v>
      </c>
      <c r="F33">
        <v>0</v>
      </c>
      <c r="G33">
        <v>0</v>
      </c>
      <c r="H33">
        <v>0</v>
      </c>
      <c r="I33">
        <v>0</v>
      </c>
      <c r="J33">
        <v>0</v>
      </c>
      <c r="K33">
        <v>0</v>
      </c>
      <c r="L33">
        <v>0</v>
      </c>
      <c r="M33">
        <v>0</v>
      </c>
      <c r="N33">
        <v>7</v>
      </c>
      <c r="O33">
        <v>3</v>
      </c>
      <c r="P33" t="s">
        <v>494</v>
      </c>
    </row>
    <row r="34" spans="2:17">
      <c r="B34" t="s">
        <v>657</v>
      </c>
      <c r="C34" t="s">
        <v>656</v>
      </c>
      <c r="D34">
        <v>13</v>
      </c>
      <c r="E34">
        <v>11</v>
      </c>
      <c r="F34">
        <v>3</v>
      </c>
      <c r="G34">
        <v>0</v>
      </c>
      <c r="H34">
        <v>0</v>
      </c>
      <c r="I34">
        <v>0</v>
      </c>
      <c r="J34">
        <v>0</v>
      </c>
      <c r="K34">
        <v>0</v>
      </c>
      <c r="L34">
        <v>0</v>
      </c>
      <c r="M34">
        <v>0</v>
      </c>
      <c r="N34">
        <v>2</v>
      </c>
      <c r="O34">
        <v>10</v>
      </c>
      <c r="P34">
        <v>3</v>
      </c>
      <c r="Q34" t="s">
        <v>494</v>
      </c>
    </row>
    <row r="35" spans="2:17">
      <c r="B35" t="s">
        <v>655</v>
      </c>
      <c r="C35">
        <v>46.6</v>
      </c>
      <c r="D35">
        <v>31.5</v>
      </c>
      <c r="E35">
        <v>32.4</v>
      </c>
      <c r="F35">
        <v>48.2</v>
      </c>
      <c r="G35">
        <v>45.6</v>
      </c>
      <c r="H35">
        <v>66.5</v>
      </c>
      <c r="I35">
        <v>63.6</v>
      </c>
      <c r="J35">
        <v>73.8</v>
      </c>
      <c r="K35">
        <v>81.900000000000006</v>
      </c>
      <c r="L35">
        <v>80.5</v>
      </c>
      <c r="M35">
        <v>93.5</v>
      </c>
      <c r="N35">
        <v>51.2</v>
      </c>
    </row>
    <row r="36" spans="2:17">
      <c r="B36" t="s">
        <v>521</v>
      </c>
      <c r="C36" t="s">
        <v>520</v>
      </c>
      <c r="D36" t="s">
        <v>645</v>
      </c>
      <c r="E36" t="s">
        <v>654</v>
      </c>
      <c r="F36" s="480">
        <v>36039</v>
      </c>
      <c r="G36" t="s">
        <v>643</v>
      </c>
      <c r="H36" t="s">
        <v>642</v>
      </c>
      <c r="I36" t="s">
        <v>641</v>
      </c>
      <c r="J36" s="480">
        <v>38473</v>
      </c>
      <c r="K36" t="s">
        <v>640</v>
      </c>
      <c r="L36" t="s">
        <v>639</v>
      </c>
      <c r="M36" s="480">
        <v>34851</v>
      </c>
      <c r="N36" s="480">
        <v>35278</v>
      </c>
      <c r="O36" s="480">
        <v>37926</v>
      </c>
      <c r="Q36" t="s">
        <v>511</v>
      </c>
    </row>
    <row r="37" spans="2:17">
      <c r="B37" t="s">
        <v>653</v>
      </c>
      <c r="C37">
        <v>35.799999999999997</v>
      </c>
      <c r="D37">
        <v>39.4</v>
      </c>
      <c r="E37">
        <v>43.2</v>
      </c>
      <c r="F37">
        <v>33.9</v>
      </c>
      <c r="G37">
        <v>21.8</v>
      </c>
      <c r="H37">
        <v>0</v>
      </c>
      <c r="I37">
        <v>0</v>
      </c>
      <c r="J37">
        <v>0</v>
      </c>
      <c r="K37">
        <v>6.1</v>
      </c>
      <c r="L37">
        <v>21.2</v>
      </c>
      <c r="M37">
        <v>30.5</v>
      </c>
      <c r="N37">
        <v>41.2</v>
      </c>
    </row>
    <row r="38" spans="2:17">
      <c r="B38" t="s">
        <v>521</v>
      </c>
      <c r="C38" t="s">
        <v>520</v>
      </c>
      <c r="D38" t="s">
        <v>652</v>
      </c>
      <c r="E38" t="s">
        <v>651</v>
      </c>
      <c r="F38" s="480">
        <v>26024</v>
      </c>
      <c r="G38" s="480">
        <v>36770</v>
      </c>
      <c r="H38" s="480">
        <v>23285</v>
      </c>
      <c r="I38" s="480">
        <v>15342</v>
      </c>
      <c r="J38" s="480">
        <v>15342</v>
      </c>
      <c r="K38" s="480">
        <v>15342</v>
      </c>
      <c r="L38" t="s">
        <v>650</v>
      </c>
      <c r="M38" t="s">
        <v>649</v>
      </c>
      <c r="N38" t="s">
        <v>648</v>
      </c>
      <c r="O38" t="s">
        <v>647</v>
      </c>
      <c r="Q38" t="s">
        <v>511</v>
      </c>
    </row>
    <row r="39" spans="2:17">
      <c r="B39" t="s">
        <v>646</v>
      </c>
      <c r="C39">
        <v>47</v>
      </c>
      <c r="D39">
        <v>43.4</v>
      </c>
      <c r="E39">
        <v>42.8</v>
      </c>
      <c r="F39">
        <v>48.2</v>
      </c>
      <c r="G39">
        <v>45.6</v>
      </c>
      <c r="H39">
        <v>66.5</v>
      </c>
      <c r="I39">
        <v>63.6</v>
      </c>
      <c r="J39">
        <v>73.8</v>
      </c>
      <c r="K39">
        <v>81.900000000000006</v>
      </c>
      <c r="L39">
        <v>80.5</v>
      </c>
      <c r="M39">
        <v>93.5</v>
      </c>
      <c r="N39">
        <v>51.4</v>
      </c>
    </row>
    <row r="40" spans="2:17">
      <c r="B40" t="s">
        <v>521</v>
      </c>
      <c r="C40" t="s">
        <v>520</v>
      </c>
      <c r="D40" t="s">
        <v>645</v>
      </c>
      <c r="E40" s="480">
        <v>39448</v>
      </c>
      <c r="F40" t="s">
        <v>644</v>
      </c>
      <c r="G40" t="s">
        <v>643</v>
      </c>
      <c r="H40" t="s">
        <v>642</v>
      </c>
      <c r="I40" t="s">
        <v>641</v>
      </c>
      <c r="J40" s="480">
        <v>38473</v>
      </c>
      <c r="K40" t="s">
        <v>640</v>
      </c>
      <c r="L40" t="s">
        <v>639</v>
      </c>
      <c r="M40" s="480">
        <v>34851</v>
      </c>
      <c r="N40" s="480">
        <v>35278</v>
      </c>
      <c r="O40" s="480">
        <v>37926</v>
      </c>
      <c r="Q40" t="s">
        <v>511</v>
      </c>
    </row>
    <row r="41" spans="2:17">
      <c r="B41" t="s">
        <v>638</v>
      </c>
      <c r="C41">
        <v>61</v>
      </c>
      <c r="D41">
        <v>91</v>
      </c>
      <c r="E41">
        <v>102</v>
      </c>
      <c r="F41">
        <v>44</v>
      </c>
      <c r="G41">
        <v>8</v>
      </c>
      <c r="H41">
        <v>0</v>
      </c>
      <c r="I41">
        <v>0</v>
      </c>
      <c r="J41">
        <v>0</v>
      </c>
      <c r="K41">
        <v>0</v>
      </c>
      <c r="L41">
        <v>15</v>
      </c>
      <c r="M41">
        <v>33</v>
      </c>
      <c r="N41">
        <v>64</v>
      </c>
    </row>
    <row r="42" spans="2:17">
      <c r="B42" t="s">
        <v>521</v>
      </c>
      <c r="C42" t="s">
        <v>520</v>
      </c>
      <c r="D42" t="s">
        <v>637</v>
      </c>
      <c r="E42" t="s">
        <v>636</v>
      </c>
      <c r="F42" s="480">
        <v>26268</v>
      </c>
      <c r="G42" s="480">
        <v>36892</v>
      </c>
      <c r="H42" s="480">
        <v>23316</v>
      </c>
      <c r="I42" s="480">
        <v>20090</v>
      </c>
      <c r="J42" s="480">
        <v>20090</v>
      </c>
      <c r="K42" s="480">
        <v>20090</v>
      </c>
      <c r="L42" s="480">
        <v>20090</v>
      </c>
      <c r="M42" t="s">
        <v>635</v>
      </c>
      <c r="N42" t="s">
        <v>634</v>
      </c>
      <c r="O42" t="s">
        <v>633</v>
      </c>
      <c r="Q42" t="s">
        <v>511</v>
      </c>
    </row>
    <row r="43" spans="2:17">
      <c r="B43" t="s">
        <v>632</v>
      </c>
    </row>
    <row r="44" spans="2:17">
      <c r="B44" t="s">
        <v>624</v>
      </c>
      <c r="C44">
        <v>23.2</v>
      </c>
      <c r="D44">
        <v>19.2</v>
      </c>
      <c r="E44">
        <v>9.9</v>
      </c>
      <c r="F44">
        <v>0.52</v>
      </c>
      <c r="G44">
        <v>0</v>
      </c>
      <c r="H44">
        <v>0</v>
      </c>
      <c r="I44">
        <v>0</v>
      </c>
      <c r="J44">
        <v>0</v>
      </c>
      <c r="K44">
        <v>0</v>
      </c>
      <c r="L44">
        <v>0</v>
      </c>
      <c r="M44">
        <v>4</v>
      </c>
      <c r="N44">
        <v>17.2</v>
      </c>
      <c r="O44">
        <v>74</v>
      </c>
      <c r="P44" t="s">
        <v>494</v>
      </c>
    </row>
    <row r="45" spans="2:17">
      <c r="B45" t="s">
        <v>626</v>
      </c>
      <c r="C45">
        <v>7.8</v>
      </c>
      <c r="D45">
        <v>9</v>
      </c>
      <c r="E45">
        <v>21.1</v>
      </c>
      <c r="F45">
        <v>29.5</v>
      </c>
      <c r="G45">
        <v>31</v>
      </c>
      <c r="H45">
        <v>30</v>
      </c>
      <c r="I45">
        <v>31</v>
      </c>
      <c r="J45">
        <v>31</v>
      </c>
      <c r="K45">
        <v>30</v>
      </c>
      <c r="L45">
        <v>31</v>
      </c>
      <c r="M45">
        <v>26</v>
      </c>
      <c r="N45">
        <v>13.8</v>
      </c>
      <c r="O45">
        <v>291.2</v>
      </c>
      <c r="P45" t="s">
        <v>494</v>
      </c>
    </row>
    <row r="46" spans="2:17">
      <c r="B46" t="s">
        <v>631</v>
      </c>
      <c r="C46">
        <v>0.14000000000000001</v>
      </c>
      <c r="D46">
        <v>0.27</v>
      </c>
      <c r="E46">
        <v>3.4</v>
      </c>
      <c r="F46">
        <v>16.899999999999999</v>
      </c>
      <c r="G46">
        <v>30</v>
      </c>
      <c r="H46">
        <v>30</v>
      </c>
      <c r="I46">
        <v>31</v>
      </c>
      <c r="J46">
        <v>31</v>
      </c>
      <c r="K46">
        <v>29.8</v>
      </c>
      <c r="L46">
        <v>21.6</v>
      </c>
      <c r="M46">
        <v>6.5</v>
      </c>
      <c r="N46">
        <v>0.77</v>
      </c>
      <c r="O46">
        <v>201.3</v>
      </c>
      <c r="P46" t="s">
        <v>494</v>
      </c>
    </row>
    <row r="47" spans="2:17">
      <c r="B47" t="s">
        <v>630</v>
      </c>
      <c r="C47">
        <v>0</v>
      </c>
      <c r="D47">
        <v>0</v>
      </c>
      <c r="E47">
        <v>0.1</v>
      </c>
      <c r="F47">
        <v>2.8</v>
      </c>
      <c r="G47">
        <v>11.9</v>
      </c>
      <c r="H47">
        <v>24</v>
      </c>
      <c r="I47">
        <v>30.1</v>
      </c>
      <c r="J47">
        <v>28.8</v>
      </c>
      <c r="K47">
        <v>16.600000000000001</v>
      </c>
      <c r="L47">
        <v>2.8</v>
      </c>
      <c r="M47">
        <v>0</v>
      </c>
      <c r="N47">
        <v>0</v>
      </c>
      <c r="O47">
        <v>117.1</v>
      </c>
      <c r="P47" t="s">
        <v>494</v>
      </c>
    </row>
    <row r="48" spans="2:17">
      <c r="B48" t="s">
        <v>629</v>
      </c>
      <c r="C48">
        <v>0</v>
      </c>
      <c r="D48">
        <v>0</v>
      </c>
      <c r="E48">
        <v>0</v>
      </c>
      <c r="F48">
        <v>0</v>
      </c>
      <c r="G48">
        <v>0.37</v>
      </c>
      <c r="H48">
        <v>2.2000000000000002</v>
      </c>
      <c r="I48">
        <v>3.6</v>
      </c>
      <c r="J48">
        <v>2.5</v>
      </c>
      <c r="K48">
        <v>0.68</v>
      </c>
      <c r="L48">
        <v>0</v>
      </c>
      <c r="M48">
        <v>0</v>
      </c>
      <c r="N48">
        <v>0</v>
      </c>
      <c r="O48">
        <v>9.3000000000000007</v>
      </c>
      <c r="P48" t="s">
        <v>494</v>
      </c>
    </row>
    <row r="49" spans="2:17">
      <c r="B49" t="s">
        <v>628</v>
      </c>
      <c r="C49">
        <v>0</v>
      </c>
      <c r="D49">
        <v>0</v>
      </c>
      <c r="E49">
        <v>0</v>
      </c>
      <c r="F49">
        <v>0</v>
      </c>
      <c r="G49">
        <v>0</v>
      </c>
      <c r="H49">
        <v>0</v>
      </c>
      <c r="I49">
        <v>0</v>
      </c>
      <c r="J49">
        <v>7.0000000000000007E-2</v>
      </c>
      <c r="K49">
        <v>0</v>
      </c>
      <c r="L49">
        <v>0</v>
      </c>
      <c r="M49">
        <v>0</v>
      </c>
      <c r="N49">
        <v>0</v>
      </c>
      <c r="O49">
        <v>7.0000000000000007E-2</v>
      </c>
      <c r="P49" t="s">
        <v>494</v>
      </c>
    </row>
    <row r="50" spans="2:17">
      <c r="B50" t="s">
        <v>627</v>
      </c>
    </row>
    <row r="51" spans="2:17">
      <c r="B51" t="s">
        <v>626</v>
      </c>
      <c r="C51">
        <v>1.1000000000000001</v>
      </c>
      <c r="D51">
        <v>1.5</v>
      </c>
      <c r="E51">
        <v>5</v>
      </c>
      <c r="F51">
        <v>18.7</v>
      </c>
      <c r="G51">
        <v>30.4</v>
      </c>
      <c r="H51">
        <v>30</v>
      </c>
      <c r="I51">
        <v>31</v>
      </c>
      <c r="J51">
        <v>31</v>
      </c>
      <c r="K51">
        <v>29.8</v>
      </c>
      <c r="L51">
        <v>25</v>
      </c>
      <c r="M51">
        <v>11.4</v>
      </c>
      <c r="N51">
        <v>2.6</v>
      </c>
      <c r="O51">
        <v>217.5</v>
      </c>
      <c r="P51" t="s">
        <v>494</v>
      </c>
    </row>
    <row r="52" spans="2:17">
      <c r="B52" t="s">
        <v>625</v>
      </c>
      <c r="C52">
        <v>30.7</v>
      </c>
      <c r="D52">
        <v>27.8</v>
      </c>
      <c r="E52">
        <v>29.5</v>
      </c>
      <c r="F52">
        <v>17.600000000000001</v>
      </c>
      <c r="G52">
        <v>2.1</v>
      </c>
      <c r="H52">
        <v>0.03</v>
      </c>
      <c r="I52">
        <v>0</v>
      </c>
      <c r="J52">
        <v>0</v>
      </c>
      <c r="K52">
        <v>0.79</v>
      </c>
      <c r="L52">
        <v>11.5</v>
      </c>
      <c r="M52">
        <v>23.4</v>
      </c>
      <c r="N52">
        <v>30.3</v>
      </c>
      <c r="O52">
        <v>173.6</v>
      </c>
      <c r="P52" t="s">
        <v>494</v>
      </c>
    </row>
    <row r="53" spans="2:17">
      <c r="B53" t="s">
        <v>624</v>
      </c>
      <c r="C53">
        <v>29.9</v>
      </c>
      <c r="D53">
        <v>26.7</v>
      </c>
      <c r="E53">
        <v>26</v>
      </c>
      <c r="F53">
        <v>11.3</v>
      </c>
      <c r="G53">
        <v>0.56999999999999995</v>
      </c>
      <c r="H53">
        <v>0</v>
      </c>
      <c r="I53">
        <v>0</v>
      </c>
      <c r="J53">
        <v>0</v>
      </c>
      <c r="K53">
        <v>0.18</v>
      </c>
      <c r="L53">
        <v>6</v>
      </c>
      <c r="M53">
        <v>18.600000000000001</v>
      </c>
      <c r="N53">
        <v>28.4</v>
      </c>
      <c r="O53">
        <v>147.69999999999999</v>
      </c>
      <c r="P53" t="s">
        <v>494</v>
      </c>
    </row>
    <row r="54" spans="2:17">
      <c r="B54" t="s">
        <v>623</v>
      </c>
      <c r="C54">
        <v>28.9</v>
      </c>
      <c r="D54">
        <v>25.4</v>
      </c>
      <c r="E54">
        <v>21.9</v>
      </c>
      <c r="F54">
        <v>6.3</v>
      </c>
      <c r="G54">
        <v>0.11</v>
      </c>
      <c r="H54">
        <v>0</v>
      </c>
      <c r="I54">
        <v>0</v>
      </c>
      <c r="J54">
        <v>0</v>
      </c>
      <c r="K54">
        <v>0</v>
      </c>
      <c r="L54">
        <v>2.2999999999999998</v>
      </c>
      <c r="M54">
        <v>13.4</v>
      </c>
      <c r="N54">
        <v>26</v>
      </c>
      <c r="O54">
        <v>124.3</v>
      </c>
      <c r="P54" t="s">
        <v>494</v>
      </c>
    </row>
    <row r="55" spans="2:17">
      <c r="B55" t="s">
        <v>622</v>
      </c>
      <c r="C55">
        <v>21.5</v>
      </c>
      <c r="D55">
        <v>17.399999999999999</v>
      </c>
      <c r="E55">
        <v>8.9</v>
      </c>
      <c r="F55">
        <v>0.28000000000000003</v>
      </c>
      <c r="G55">
        <v>0</v>
      </c>
      <c r="H55">
        <v>0</v>
      </c>
      <c r="I55">
        <v>0</v>
      </c>
      <c r="J55">
        <v>0</v>
      </c>
      <c r="K55">
        <v>0</v>
      </c>
      <c r="L55">
        <v>0</v>
      </c>
      <c r="M55">
        <v>1.4</v>
      </c>
      <c r="N55">
        <v>13.5</v>
      </c>
      <c r="O55">
        <v>62.9</v>
      </c>
      <c r="P55" t="s">
        <v>494</v>
      </c>
    </row>
    <row r="56" spans="2:17">
      <c r="B56" t="s">
        <v>621</v>
      </c>
      <c r="C56">
        <v>7.6</v>
      </c>
      <c r="D56">
        <v>3.6</v>
      </c>
      <c r="E56">
        <v>0.83</v>
      </c>
      <c r="F56">
        <v>0</v>
      </c>
      <c r="G56">
        <v>0</v>
      </c>
      <c r="H56">
        <v>0</v>
      </c>
      <c r="I56">
        <v>0</v>
      </c>
      <c r="J56">
        <v>0</v>
      </c>
      <c r="K56">
        <v>0</v>
      </c>
      <c r="L56">
        <v>0</v>
      </c>
      <c r="M56">
        <v>0</v>
      </c>
      <c r="N56">
        <v>2.2999999999999998</v>
      </c>
      <c r="O56">
        <v>14.3</v>
      </c>
      <c r="P56" t="s">
        <v>494</v>
      </c>
    </row>
    <row r="57" spans="2:17">
      <c r="B57" t="s">
        <v>620</v>
      </c>
      <c r="C57">
        <v>0.17</v>
      </c>
      <c r="D57">
        <v>7.0000000000000007E-2</v>
      </c>
      <c r="E57">
        <v>0</v>
      </c>
      <c r="F57">
        <v>0</v>
      </c>
      <c r="G57">
        <v>0</v>
      </c>
      <c r="H57">
        <v>0</v>
      </c>
      <c r="I57">
        <v>0</v>
      </c>
      <c r="J57">
        <v>0</v>
      </c>
      <c r="K57">
        <v>0</v>
      </c>
      <c r="L57">
        <v>0</v>
      </c>
      <c r="M57">
        <v>0</v>
      </c>
      <c r="N57">
        <v>0.03</v>
      </c>
      <c r="O57">
        <v>0.27</v>
      </c>
      <c r="P57" t="s">
        <v>494</v>
      </c>
    </row>
    <row r="58" spans="2:17">
      <c r="B58" t="s">
        <v>619</v>
      </c>
    </row>
    <row r="59" spans="2:17">
      <c r="B59" t="s">
        <v>614</v>
      </c>
      <c r="C59" t="s">
        <v>613</v>
      </c>
      <c r="D59">
        <v>4.2</v>
      </c>
      <c r="E59">
        <v>4</v>
      </c>
      <c r="F59">
        <v>6.9</v>
      </c>
      <c r="G59">
        <v>11.6</v>
      </c>
      <c r="H59">
        <v>13.6</v>
      </c>
      <c r="I59">
        <v>13.3</v>
      </c>
      <c r="J59">
        <v>12.3</v>
      </c>
      <c r="K59">
        <v>11.6</v>
      </c>
      <c r="L59">
        <v>11.1</v>
      </c>
      <c r="M59">
        <v>13</v>
      </c>
      <c r="N59">
        <v>11.7</v>
      </c>
      <c r="O59">
        <v>5.9</v>
      </c>
      <c r="P59">
        <v>119.1</v>
      </c>
      <c r="Q59" t="s">
        <v>494</v>
      </c>
    </row>
    <row r="60" spans="2:17">
      <c r="B60" t="s">
        <v>612</v>
      </c>
      <c r="C60">
        <v>1.7</v>
      </c>
      <c r="D60">
        <v>1.2</v>
      </c>
      <c r="E60">
        <v>2</v>
      </c>
      <c r="F60">
        <v>4.5</v>
      </c>
      <c r="G60">
        <v>5.0999999999999996</v>
      </c>
      <c r="H60">
        <v>5</v>
      </c>
      <c r="I60">
        <v>5.2</v>
      </c>
      <c r="J60">
        <v>5.4</v>
      </c>
      <c r="K60">
        <v>4.9000000000000004</v>
      </c>
      <c r="L60">
        <v>4.9000000000000004</v>
      </c>
      <c r="M60">
        <v>4.8</v>
      </c>
      <c r="N60">
        <v>2.4</v>
      </c>
      <c r="O60">
        <v>46.9</v>
      </c>
      <c r="P60" t="s">
        <v>494</v>
      </c>
    </row>
    <row r="61" spans="2:17">
      <c r="B61" t="s">
        <v>611</v>
      </c>
      <c r="C61">
        <v>0.97</v>
      </c>
      <c r="D61">
        <v>0.73</v>
      </c>
      <c r="E61">
        <v>0.87</v>
      </c>
      <c r="F61">
        <v>2.2000000000000002</v>
      </c>
      <c r="G61">
        <v>2.8</v>
      </c>
      <c r="H61">
        <v>2.9</v>
      </c>
      <c r="I61">
        <v>2.8</v>
      </c>
      <c r="J61">
        <v>3.4</v>
      </c>
      <c r="K61">
        <v>2.6</v>
      </c>
      <c r="L61">
        <v>2.8</v>
      </c>
      <c r="M61">
        <v>2.2999999999999998</v>
      </c>
      <c r="N61">
        <v>1.4</v>
      </c>
      <c r="O61">
        <v>25.8</v>
      </c>
      <c r="P61" t="s">
        <v>494</v>
      </c>
    </row>
    <row r="62" spans="2:17">
      <c r="B62" t="s">
        <v>610</v>
      </c>
      <c r="C62">
        <v>0.2</v>
      </c>
      <c r="D62">
        <v>0.03</v>
      </c>
      <c r="E62">
        <v>0.03</v>
      </c>
      <c r="F62">
        <v>0.34</v>
      </c>
      <c r="G62">
        <v>0.47</v>
      </c>
      <c r="H62">
        <v>0.73</v>
      </c>
      <c r="I62">
        <v>0.79</v>
      </c>
      <c r="J62">
        <v>0.8</v>
      </c>
      <c r="K62">
        <v>0.83</v>
      </c>
      <c r="L62">
        <v>0.63</v>
      </c>
      <c r="M62">
        <v>0.56999999999999995</v>
      </c>
      <c r="N62">
        <v>0.17</v>
      </c>
      <c r="O62">
        <v>5.6</v>
      </c>
      <c r="P62" t="s">
        <v>494</v>
      </c>
    </row>
    <row r="63" spans="2:17">
      <c r="B63" t="s">
        <v>618</v>
      </c>
    </row>
    <row r="64" spans="2:17">
      <c r="B64" t="s">
        <v>614</v>
      </c>
      <c r="C64" t="s">
        <v>617</v>
      </c>
      <c r="D64">
        <v>15.3</v>
      </c>
      <c r="E64">
        <v>12.1</v>
      </c>
      <c r="F64">
        <v>9.1</v>
      </c>
      <c r="G64">
        <v>3.2</v>
      </c>
      <c r="H64">
        <v>7.0000000000000007E-2</v>
      </c>
      <c r="I64">
        <v>0</v>
      </c>
      <c r="J64">
        <v>0</v>
      </c>
      <c r="K64">
        <v>0</v>
      </c>
      <c r="L64">
        <v>0</v>
      </c>
      <c r="M64">
        <v>0.72</v>
      </c>
      <c r="N64">
        <v>5.4</v>
      </c>
      <c r="O64">
        <v>13</v>
      </c>
      <c r="P64">
        <v>58.9</v>
      </c>
      <c r="Q64" t="s">
        <v>494</v>
      </c>
    </row>
    <row r="65" spans="2:17">
      <c r="B65" t="s">
        <v>607</v>
      </c>
      <c r="C65">
        <v>3.2</v>
      </c>
      <c r="D65">
        <v>2.6</v>
      </c>
      <c r="E65">
        <v>2.2000000000000002</v>
      </c>
      <c r="F65">
        <v>0.9</v>
      </c>
      <c r="G65">
        <v>0</v>
      </c>
      <c r="H65">
        <v>0</v>
      </c>
      <c r="I65">
        <v>0</v>
      </c>
      <c r="J65">
        <v>0</v>
      </c>
      <c r="K65">
        <v>0</v>
      </c>
      <c r="L65">
        <v>0.1</v>
      </c>
      <c r="M65">
        <v>1.3</v>
      </c>
      <c r="N65">
        <v>3.3</v>
      </c>
      <c r="O65">
        <v>13.6</v>
      </c>
      <c r="P65" t="s">
        <v>494</v>
      </c>
    </row>
    <row r="66" spans="2:17">
      <c r="B66" t="s">
        <v>606</v>
      </c>
      <c r="C66">
        <v>1.1000000000000001</v>
      </c>
      <c r="D66">
        <v>1</v>
      </c>
      <c r="E66">
        <v>0.93</v>
      </c>
      <c r="F66">
        <v>0.33</v>
      </c>
      <c r="G66">
        <v>0</v>
      </c>
      <c r="H66">
        <v>0</v>
      </c>
      <c r="I66">
        <v>0</v>
      </c>
      <c r="J66">
        <v>0</v>
      </c>
      <c r="K66">
        <v>0</v>
      </c>
      <c r="L66">
        <v>0.03</v>
      </c>
      <c r="M66">
        <v>0.56999999999999995</v>
      </c>
      <c r="N66">
        <v>1.3</v>
      </c>
      <c r="O66">
        <v>5.4</v>
      </c>
      <c r="P66" t="s">
        <v>494</v>
      </c>
    </row>
    <row r="67" spans="2:17">
      <c r="B67" t="s">
        <v>616</v>
      </c>
      <c r="C67">
        <v>0.03</v>
      </c>
      <c r="D67">
        <v>0.1</v>
      </c>
      <c r="E67">
        <v>0.13</v>
      </c>
      <c r="F67">
        <v>0.1</v>
      </c>
      <c r="G67">
        <v>0</v>
      </c>
      <c r="H67">
        <v>0</v>
      </c>
      <c r="I67">
        <v>0</v>
      </c>
      <c r="J67">
        <v>0</v>
      </c>
      <c r="K67">
        <v>0</v>
      </c>
      <c r="L67">
        <v>0</v>
      </c>
      <c r="M67">
        <v>0</v>
      </c>
      <c r="N67">
        <v>0.17</v>
      </c>
      <c r="O67">
        <v>0.53</v>
      </c>
      <c r="P67" t="s">
        <v>494</v>
      </c>
    </row>
    <row r="68" spans="2:17">
      <c r="B68" t="s">
        <v>615</v>
      </c>
    </row>
    <row r="69" spans="2:17">
      <c r="B69" t="s">
        <v>614</v>
      </c>
      <c r="C69" t="s">
        <v>613</v>
      </c>
      <c r="D69">
        <v>16.7</v>
      </c>
      <c r="E69">
        <v>13.7</v>
      </c>
      <c r="F69">
        <v>13.6</v>
      </c>
      <c r="G69">
        <v>12.9</v>
      </c>
      <c r="H69">
        <v>13.6</v>
      </c>
      <c r="I69">
        <v>13.3</v>
      </c>
      <c r="J69">
        <v>12.3</v>
      </c>
      <c r="K69">
        <v>11.6</v>
      </c>
      <c r="L69">
        <v>11.1</v>
      </c>
      <c r="M69">
        <v>13.3</v>
      </c>
      <c r="N69">
        <v>14.8</v>
      </c>
      <c r="O69">
        <v>16.3</v>
      </c>
      <c r="P69">
        <v>163.30000000000001</v>
      </c>
      <c r="Q69" t="s">
        <v>494</v>
      </c>
    </row>
    <row r="70" spans="2:17">
      <c r="B70" t="s">
        <v>612</v>
      </c>
      <c r="C70">
        <v>4.5999999999999996</v>
      </c>
      <c r="D70">
        <v>3.8</v>
      </c>
      <c r="E70">
        <v>4.5</v>
      </c>
      <c r="F70">
        <v>5.3</v>
      </c>
      <c r="G70">
        <v>5.0999999999999996</v>
      </c>
      <c r="H70">
        <v>5</v>
      </c>
      <c r="I70">
        <v>5.2</v>
      </c>
      <c r="J70">
        <v>5.4</v>
      </c>
      <c r="K70">
        <v>4.9000000000000004</v>
      </c>
      <c r="L70">
        <v>5</v>
      </c>
      <c r="M70">
        <v>5.9</v>
      </c>
      <c r="N70">
        <v>5.3</v>
      </c>
      <c r="O70">
        <v>59.9</v>
      </c>
      <c r="P70" t="s">
        <v>494</v>
      </c>
    </row>
    <row r="71" spans="2:17">
      <c r="B71" t="s">
        <v>611</v>
      </c>
      <c r="C71">
        <v>2.4</v>
      </c>
      <c r="D71">
        <v>2.2000000000000002</v>
      </c>
      <c r="E71">
        <v>2.2000000000000002</v>
      </c>
      <c r="F71">
        <v>2.7</v>
      </c>
      <c r="G71">
        <v>2.8</v>
      </c>
      <c r="H71">
        <v>2.9</v>
      </c>
      <c r="I71">
        <v>2.8</v>
      </c>
      <c r="J71">
        <v>3.4</v>
      </c>
      <c r="K71">
        <v>2.6</v>
      </c>
      <c r="L71">
        <v>2.8</v>
      </c>
      <c r="M71">
        <v>3.1</v>
      </c>
      <c r="N71">
        <v>3</v>
      </c>
      <c r="O71">
        <v>32.9</v>
      </c>
      <c r="P71" t="s">
        <v>494</v>
      </c>
    </row>
    <row r="72" spans="2:17">
      <c r="B72" t="s">
        <v>610</v>
      </c>
      <c r="C72">
        <v>0.43</v>
      </c>
      <c r="D72">
        <v>0.1</v>
      </c>
      <c r="E72">
        <v>0.3</v>
      </c>
      <c r="F72">
        <v>0.52</v>
      </c>
      <c r="G72">
        <v>0.47</v>
      </c>
      <c r="H72">
        <v>0.73</v>
      </c>
      <c r="I72">
        <v>0.77</v>
      </c>
      <c r="J72">
        <v>0.8</v>
      </c>
      <c r="K72">
        <v>0.83</v>
      </c>
      <c r="L72">
        <v>0.73</v>
      </c>
      <c r="M72">
        <v>0.73</v>
      </c>
      <c r="N72">
        <v>0.5</v>
      </c>
      <c r="O72">
        <v>6.9</v>
      </c>
      <c r="P72" t="s">
        <v>494</v>
      </c>
    </row>
    <row r="73" spans="2:17">
      <c r="B73" t="s">
        <v>609</v>
      </c>
    </row>
    <row r="74" spans="2:17">
      <c r="B74" t="s">
        <v>608</v>
      </c>
      <c r="C74">
        <v>28.7</v>
      </c>
      <c r="D74">
        <v>26.4</v>
      </c>
      <c r="E74">
        <v>20</v>
      </c>
      <c r="F74">
        <v>2.6</v>
      </c>
      <c r="G74">
        <v>0</v>
      </c>
      <c r="H74">
        <v>0</v>
      </c>
      <c r="I74">
        <v>0</v>
      </c>
      <c r="J74">
        <v>0</v>
      </c>
      <c r="K74">
        <v>0</v>
      </c>
      <c r="L74">
        <v>0.13</v>
      </c>
      <c r="M74">
        <v>5</v>
      </c>
      <c r="N74">
        <v>21.2</v>
      </c>
      <c r="O74">
        <v>104.1</v>
      </c>
      <c r="P74" t="s">
        <v>494</v>
      </c>
    </row>
    <row r="75" spans="2:17">
      <c r="B75" t="s">
        <v>607</v>
      </c>
      <c r="C75">
        <v>23.6</v>
      </c>
      <c r="D75">
        <v>20.9</v>
      </c>
      <c r="E75">
        <v>15</v>
      </c>
      <c r="F75">
        <v>1.3</v>
      </c>
      <c r="G75">
        <v>0</v>
      </c>
      <c r="H75">
        <v>0</v>
      </c>
      <c r="I75">
        <v>0</v>
      </c>
      <c r="J75">
        <v>0</v>
      </c>
      <c r="K75">
        <v>0</v>
      </c>
      <c r="L75">
        <v>0</v>
      </c>
      <c r="M75">
        <v>2.2000000000000002</v>
      </c>
      <c r="N75">
        <v>16.5</v>
      </c>
      <c r="O75">
        <v>79.599999999999994</v>
      </c>
      <c r="P75" t="s">
        <v>494</v>
      </c>
    </row>
    <row r="76" spans="2:17">
      <c r="B76" t="s">
        <v>606</v>
      </c>
      <c r="C76">
        <v>15.5</v>
      </c>
      <c r="D76">
        <v>14.1</v>
      </c>
      <c r="E76">
        <v>11.2</v>
      </c>
      <c r="F76">
        <v>0.8</v>
      </c>
      <c r="G76">
        <v>0</v>
      </c>
      <c r="H76">
        <v>0</v>
      </c>
      <c r="I76">
        <v>0</v>
      </c>
      <c r="J76">
        <v>0</v>
      </c>
      <c r="K76">
        <v>0</v>
      </c>
      <c r="L76">
        <v>0</v>
      </c>
      <c r="M76">
        <v>0.67</v>
      </c>
      <c r="N76">
        <v>10.3</v>
      </c>
      <c r="O76">
        <v>52.5</v>
      </c>
      <c r="P76" t="s">
        <v>494</v>
      </c>
    </row>
    <row r="77" spans="2:17">
      <c r="B77" t="s">
        <v>605</v>
      </c>
      <c r="C77">
        <v>5.2</v>
      </c>
      <c r="D77">
        <v>7.4</v>
      </c>
      <c r="E77">
        <v>6</v>
      </c>
      <c r="F77">
        <v>0.27</v>
      </c>
      <c r="G77">
        <v>0</v>
      </c>
      <c r="H77">
        <v>0</v>
      </c>
      <c r="I77">
        <v>0</v>
      </c>
      <c r="J77">
        <v>0</v>
      </c>
      <c r="K77">
        <v>0</v>
      </c>
      <c r="L77">
        <v>0</v>
      </c>
      <c r="M77">
        <v>0.1</v>
      </c>
      <c r="N77">
        <v>2.4</v>
      </c>
      <c r="O77">
        <v>21.3</v>
      </c>
      <c r="P77" t="s">
        <v>494</v>
      </c>
    </row>
    <row r="78" spans="2:17">
      <c r="B78" t="s">
        <v>604</v>
      </c>
    </row>
    <row r="79" spans="2:17">
      <c r="B79" t="s">
        <v>603</v>
      </c>
      <c r="C79">
        <v>16</v>
      </c>
      <c r="D79">
        <v>15.5</v>
      </c>
      <c r="E79">
        <v>15.6</v>
      </c>
      <c r="F79">
        <v>15.9</v>
      </c>
      <c r="G79">
        <v>14.6</v>
      </c>
      <c r="H79">
        <v>13.2</v>
      </c>
      <c r="I79">
        <v>12.4</v>
      </c>
      <c r="J79">
        <v>11.8</v>
      </c>
      <c r="K79">
        <v>12.6</v>
      </c>
      <c r="L79">
        <v>14.2</v>
      </c>
      <c r="M79">
        <v>15.3</v>
      </c>
      <c r="N79">
        <v>15.6</v>
      </c>
      <c r="O79">
        <v>14.4</v>
      </c>
      <c r="P79" t="s">
        <v>494</v>
      </c>
    </row>
    <row r="80" spans="2:17">
      <c r="B80" t="s">
        <v>602</v>
      </c>
      <c r="C80" t="s">
        <v>584</v>
      </c>
      <c r="D80" t="s">
        <v>584</v>
      </c>
      <c r="E80" t="s">
        <v>584</v>
      </c>
      <c r="F80" t="s">
        <v>584</v>
      </c>
      <c r="G80" t="s">
        <v>585</v>
      </c>
      <c r="H80" t="s">
        <v>585</v>
      </c>
      <c r="I80" t="s">
        <v>585</v>
      </c>
      <c r="J80" t="s">
        <v>585</v>
      </c>
      <c r="K80" t="s">
        <v>584</v>
      </c>
      <c r="L80" t="s">
        <v>584</v>
      </c>
      <c r="M80" t="s">
        <v>584</v>
      </c>
      <c r="N80" t="s">
        <v>584</v>
      </c>
      <c r="O80" t="s">
        <v>584</v>
      </c>
      <c r="P80" t="s">
        <v>494</v>
      </c>
    </row>
    <row r="81" spans="2:17">
      <c r="B81" t="s">
        <v>601</v>
      </c>
      <c r="C81">
        <v>90</v>
      </c>
      <c r="D81">
        <v>80</v>
      </c>
      <c r="E81">
        <v>74</v>
      </c>
      <c r="F81">
        <v>70</v>
      </c>
      <c r="G81">
        <v>72</v>
      </c>
      <c r="H81">
        <v>66</v>
      </c>
      <c r="I81">
        <v>58</v>
      </c>
      <c r="J81">
        <v>55</v>
      </c>
      <c r="K81">
        <v>65</v>
      </c>
      <c r="L81">
        <v>72</v>
      </c>
      <c r="M81">
        <v>76</v>
      </c>
      <c r="N81">
        <v>72</v>
      </c>
      <c r="O81">
        <v>90</v>
      </c>
    </row>
    <row r="82" spans="2:17">
      <c r="B82" t="s">
        <v>521</v>
      </c>
      <c r="C82" t="s">
        <v>520</v>
      </c>
      <c r="D82" t="s">
        <v>592</v>
      </c>
      <c r="E82" t="s">
        <v>600</v>
      </c>
      <c r="F82" s="480">
        <v>26024</v>
      </c>
      <c r="G82" s="480">
        <v>28185</v>
      </c>
      <c r="H82" s="480">
        <v>23621</v>
      </c>
      <c r="I82" t="s">
        <v>599</v>
      </c>
      <c r="J82" s="480">
        <v>20760</v>
      </c>
      <c r="K82" s="480">
        <v>23894</v>
      </c>
      <c r="L82" t="s">
        <v>598</v>
      </c>
      <c r="M82" s="480">
        <v>29007</v>
      </c>
      <c r="N82" s="480">
        <v>27668</v>
      </c>
      <c r="O82" t="s">
        <v>597</v>
      </c>
      <c r="P82" t="s">
        <v>592</v>
      </c>
      <c r="Q82" t="s">
        <v>511</v>
      </c>
    </row>
    <row r="83" spans="2:17">
      <c r="B83" t="s">
        <v>596</v>
      </c>
      <c r="C83" t="s">
        <v>585</v>
      </c>
      <c r="D83" t="s">
        <v>594</v>
      </c>
      <c r="E83" t="s">
        <v>595</v>
      </c>
      <c r="F83" t="s">
        <v>584</v>
      </c>
      <c r="G83" t="s">
        <v>584</v>
      </c>
      <c r="H83" t="s">
        <v>595</v>
      </c>
      <c r="I83" t="s">
        <v>584</v>
      </c>
      <c r="J83" t="s">
        <v>594</v>
      </c>
      <c r="K83" t="s">
        <v>585</v>
      </c>
      <c r="L83" t="s">
        <v>585</v>
      </c>
      <c r="M83" t="s">
        <v>584</v>
      </c>
      <c r="N83" t="s">
        <v>584</v>
      </c>
      <c r="O83" t="s">
        <v>585</v>
      </c>
    </row>
    <row r="84" spans="2:17">
      <c r="B84" t="s">
        <v>593</v>
      </c>
      <c r="C84">
        <v>117</v>
      </c>
      <c r="D84">
        <v>138</v>
      </c>
      <c r="E84">
        <v>161</v>
      </c>
      <c r="F84">
        <v>106</v>
      </c>
      <c r="G84">
        <v>103</v>
      </c>
      <c r="H84">
        <v>111</v>
      </c>
      <c r="I84">
        <v>126</v>
      </c>
      <c r="J84">
        <v>105</v>
      </c>
      <c r="K84">
        <v>97</v>
      </c>
      <c r="L84">
        <v>117</v>
      </c>
      <c r="M84">
        <v>113</v>
      </c>
      <c r="N84">
        <v>103</v>
      </c>
      <c r="O84">
        <v>161</v>
      </c>
    </row>
    <row r="85" spans="2:17">
      <c r="B85" t="s">
        <v>521</v>
      </c>
      <c r="C85" t="s">
        <v>520</v>
      </c>
      <c r="D85" t="s">
        <v>592</v>
      </c>
      <c r="E85" t="s">
        <v>591</v>
      </c>
      <c r="F85" s="480">
        <v>23498</v>
      </c>
      <c r="G85" t="s">
        <v>590</v>
      </c>
      <c r="H85" t="s">
        <v>589</v>
      </c>
      <c r="I85" t="s">
        <v>588</v>
      </c>
      <c r="J85" s="480">
        <v>27426</v>
      </c>
      <c r="K85" s="480">
        <v>24351</v>
      </c>
      <c r="L85" s="480">
        <v>20607</v>
      </c>
      <c r="M85" s="480">
        <v>29007</v>
      </c>
      <c r="N85" t="s">
        <v>587</v>
      </c>
      <c r="O85" s="480">
        <v>26238</v>
      </c>
      <c r="P85" s="480">
        <v>23498</v>
      </c>
      <c r="Q85" t="s">
        <v>511</v>
      </c>
    </row>
    <row r="86" spans="2:17">
      <c r="B86" t="s">
        <v>586</v>
      </c>
      <c r="C86" t="s">
        <v>585</v>
      </c>
      <c r="D86" t="s">
        <v>584</v>
      </c>
      <c r="E86" t="s">
        <v>583</v>
      </c>
      <c r="F86" t="s">
        <v>584</v>
      </c>
      <c r="G86" t="s">
        <v>584</v>
      </c>
      <c r="H86" t="s">
        <v>583</v>
      </c>
      <c r="I86" t="s">
        <v>584</v>
      </c>
      <c r="J86" t="s">
        <v>583</v>
      </c>
      <c r="K86" t="s">
        <v>584</v>
      </c>
      <c r="L86" t="s">
        <v>585</v>
      </c>
      <c r="M86" t="s">
        <v>583</v>
      </c>
      <c r="N86" t="s">
        <v>584</v>
      </c>
      <c r="O86" t="s">
        <v>583</v>
      </c>
    </row>
    <row r="87" spans="2:17">
      <c r="B87" t="s">
        <v>582</v>
      </c>
    </row>
    <row r="88" spans="2:17">
      <c r="B88" t="s">
        <v>581</v>
      </c>
      <c r="C88">
        <v>0</v>
      </c>
      <c r="D88">
        <v>0</v>
      </c>
      <c r="E88">
        <v>0</v>
      </c>
      <c r="F88">
        <v>0</v>
      </c>
      <c r="G88">
        <v>0.2</v>
      </c>
      <c r="H88">
        <v>3.4</v>
      </c>
      <c r="I88">
        <v>7.9</v>
      </c>
      <c r="J88">
        <v>5</v>
      </c>
      <c r="K88">
        <v>1.1000000000000001</v>
      </c>
      <c r="L88">
        <v>0</v>
      </c>
      <c r="M88">
        <v>0</v>
      </c>
      <c r="N88">
        <v>0</v>
      </c>
      <c r="O88">
        <v>17.600000000000001</v>
      </c>
      <c r="P88" t="s">
        <v>494</v>
      </c>
    </row>
    <row r="89" spans="2:17">
      <c r="B89" t="s">
        <v>580</v>
      </c>
      <c r="C89">
        <v>0</v>
      </c>
      <c r="D89">
        <v>0</v>
      </c>
      <c r="E89">
        <v>0</v>
      </c>
      <c r="F89">
        <v>0.6</v>
      </c>
      <c r="G89">
        <v>10</v>
      </c>
      <c r="H89">
        <v>52.8</v>
      </c>
      <c r="I89">
        <v>104.3</v>
      </c>
      <c r="J89">
        <v>81.2</v>
      </c>
      <c r="K89">
        <v>21.4</v>
      </c>
      <c r="L89">
        <v>0.8</v>
      </c>
      <c r="M89">
        <v>0</v>
      </c>
      <c r="N89">
        <v>0</v>
      </c>
      <c r="O89">
        <v>271.2</v>
      </c>
      <c r="P89" t="s">
        <v>494</v>
      </c>
    </row>
    <row r="90" spans="2:17">
      <c r="B90" t="s">
        <v>579</v>
      </c>
      <c r="C90">
        <v>0</v>
      </c>
      <c r="D90">
        <v>0</v>
      </c>
      <c r="E90">
        <v>0</v>
      </c>
      <c r="F90">
        <v>2.8</v>
      </c>
      <c r="G90">
        <v>30.9</v>
      </c>
      <c r="H90">
        <v>115</v>
      </c>
      <c r="I90">
        <v>191.7</v>
      </c>
      <c r="J90">
        <v>159.4</v>
      </c>
      <c r="K90">
        <v>58.8</v>
      </c>
      <c r="L90">
        <v>4.9000000000000004</v>
      </c>
      <c r="M90">
        <v>0</v>
      </c>
      <c r="N90">
        <v>0</v>
      </c>
      <c r="O90">
        <v>563.5</v>
      </c>
      <c r="P90" t="s">
        <v>494</v>
      </c>
    </row>
    <row r="91" spans="2:17">
      <c r="B91" t="s">
        <v>578</v>
      </c>
      <c r="C91">
        <v>0</v>
      </c>
      <c r="D91">
        <v>0</v>
      </c>
      <c r="E91">
        <v>0.5</v>
      </c>
      <c r="F91">
        <v>19.600000000000001</v>
      </c>
      <c r="G91">
        <v>116.8</v>
      </c>
      <c r="H91">
        <v>255.6</v>
      </c>
      <c r="I91">
        <v>346.3</v>
      </c>
      <c r="J91">
        <v>311.89999999999998</v>
      </c>
      <c r="K91">
        <v>171.5</v>
      </c>
      <c r="L91">
        <v>35.1</v>
      </c>
      <c r="M91">
        <v>2.7</v>
      </c>
      <c r="N91">
        <v>0.1</v>
      </c>
      <c r="O91">
        <v>1260</v>
      </c>
      <c r="P91" t="s">
        <v>494</v>
      </c>
    </row>
    <row r="92" spans="2:17">
      <c r="B92" t="s">
        <v>577</v>
      </c>
      <c r="C92">
        <v>0.5</v>
      </c>
      <c r="D92">
        <v>0.9</v>
      </c>
      <c r="E92">
        <v>7.3</v>
      </c>
      <c r="F92">
        <v>79.5</v>
      </c>
      <c r="G92">
        <v>258.3</v>
      </c>
      <c r="H92">
        <v>405.4</v>
      </c>
      <c r="I92">
        <v>501.3</v>
      </c>
      <c r="J92">
        <v>466.9</v>
      </c>
      <c r="K92">
        <v>317.10000000000002</v>
      </c>
      <c r="L92">
        <v>121.2</v>
      </c>
      <c r="M92">
        <v>24.4</v>
      </c>
      <c r="N92">
        <v>1.8</v>
      </c>
      <c r="O92">
        <v>2184.5</v>
      </c>
      <c r="P92" t="s">
        <v>494</v>
      </c>
    </row>
    <row r="93" spans="2:17">
      <c r="B93" t="s">
        <v>576</v>
      </c>
      <c r="C93">
        <v>6.6</v>
      </c>
      <c r="D93">
        <v>9.3000000000000007</v>
      </c>
      <c r="E93">
        <v>45.9</v>
      </c>
      <c r="F93">
        <v>198.2</v>
      </c>
      <c r="G93">
        <v>412.8</v>
      </c>
      <c r="H93">
        <v>555.4</v>
      </c>
      <c r="I93">
        <v>656.3</v>
      </c>
      <c r="J93">
        <v>621.9</v>
      </c>
      <c r="K93">
        <v>467</v>
      </c>
      <c r="L93">
        <v>263.10000000000002</v>
      </c>
      <c r="M93">
        <v>96</v>
      </c>
      <c r="N93">
        <v>16.7</v>
      </c>
      <c r="O93">
        <v>3349.3</v>
      </c>
      <c r="P93" t="s">
        <v>494</v>
      </c>
    </row>
    <row r="94" spans="2:17">
      <c r="B94" t="s">
        <v>575</v>
      </c>
      <c r="C94">
        <v>310.3</v>
      </c>
      <c r="D94">
        <v>226.7</v>
      </c>
      <c r="E94">
        <v>108.6</v>
      </c>
      <c r="F94">
        <v>5.4</v>
      </c>
      <c r="G94">
        <v>0</v>
      </c>
      <c r="H94">
        <v>0</v>
      </c>
      <c r="I94">
        <v>0</v>
      </c>
      <c r="J94">
        <v>0</v>
      </c>
      <c r="K94">
        <v>0</v>
      </c>
      <c r="L94">
        <v>0.2</v>
      </c>
      <c r="M94">
        <v>32.200000000000003</v>
      </c>
      <c r="N94">
        <v>183.4</v>
      </c>
      <c r="O94">
        <v>866.8</v>
      </c>
      <c r="P94" t="s">
        <v>494</v>
      </c>
    </row>
    <row r="95" spans="2:17">
      <c r="B95" t="s">
        <v>574</v>
      </c>
      <c r="C95">
        <v>459.1</v>
      </c>
      <c r="D95">
        <v>359.4</v>
      </c>
      <c r="E95">
        <v>225</v>
      </c>
      <c r="F95">
        <v>36.799999999999997</v>
      </c>
      <c r="G95">
        <v>0.5</v>
      </c>
      <c r="H95">
        <v>0</v>
      </c>
      <c r="I95">
        <v>0</v>
      </c>
      <c r="J95">
        <v>0</v>
      </c>
      <c r="K95">
        <v>0.1</v>
      </c>
      <c r="L95">
        <v>13.3</v>
      </c>
      <c r="M95">
        <v>110.6</v>
      </c>
      <c r="N95">
        <v>323.39999999999998</v>
      </c>
      <c r="O95">
        <v>1528.3</v>
      </c>
      <c r="P95" t="s">
        <v>494</v>
      </c>
    </row>
    <row r="96" spans="2:17">
      <c r="B96" t="s">
        <v>573</v>
      </c>
      <c r="C96">
        <v>613.70000000000005</v>
      </c>
      <c r="D96">
        <v>499.7</v>
      </c>
      <c r="E96">
        <v>373.2</v>
      </c>
      <c r="F96">
        <v>126.9</v>
      </c>
      <c r="G96">
        <v>14</v>
      </c>
      <c r="H96">
        <v>0.2</v>
      </c>
      <c r="I96">
        <v>0</v>
      </c>
      <c r="J96">
        <v>0</v>
      </c>
      <c r="K96">
        <v>4.5</v>
      </c>
      <c r="L96">
        <v>82.1</v>
      </c>
      <c r="M96">
        <v>239</v>
      </c>
      <c r="N96">
        <v>476.7</v>
      </c>
      <c r="O96">
        <v>2430</v>
      </c>
      <c r="P96" t="s">
        <v>494</v>
      </c>
    </row>
    <row r="97" spans="2:17">
      <c r="B97" t="s">
        <v>572</v>
      </c>
      <c r="C97">
        <v>768.7</v>
      </c>
      <c r="D97">
        <v>640.9</v>
      </c>
      <c r="E97">
        <v>527.70000000000005</v>
      </c>
      <c r="F97">
        <v>260</v>
      </c>
      <c r="G97">
        <v>83.1</v>
      </c>
      <c r="H97">
        <v>9.6</v>
      </c>
      <c r="I97">
        <v>0.4</v>
      </c>
      <c r="J97">
        <v>2.5</v>
      </c>
      <c r="K97">
        <v>41.8</v>
      </c>
      <c r="L97">
        <v>207</v>
      </c>
      <c r="M97">
        <v>386.2</v>
      </c>
      <c r="N97">
        <v>631.70000000000005</v>
      </c>
      <c r="O97">
        <v>3559.6</v>
      </c>
      <c r="P97" t="s">
        <v>494</v>
      </c>
    </row>
    <row r="98" spans="2:17">
      <c r="B98" t="s">
        <v>571</v>
      </c>
      <c r="C98">
        <v>861.7</v>
      </c>
      <c r="D98">
        <v>725.6</v>
      </c>
      <c r="E98">
        <v>620.70000000000005</v>
      </c>
      <c r="F98">
        <v>347.9</v>
      </c>
      <c r="G98">
        <v>155.19999999999999</v>
      </c>
      <c r="H98">
        <v>37.4</v>
      </c>
      <c r="I98">
        <v>6</v>
      </c>
      <c r="J98">
        <v>17.399999999999999</v>
      </c>
      <c r="K98">
        <v>94.4</v>
      </c>
      <c r="L98">
        <v>295.89999999999998</v>
      </c>
      <c r="M98">
        <v>476.2</v>
      </c>
      <c r="N98">
        <v>724.7</v>
      </c>
      <c r="O98">
        <v>4363</v>
      </c>
      <c r="P98" t="s">
        <v>494</v>
      </c>
    </row>
    <row r="99" spans="2:17">
      <c r="B99" t="s">
        <v>570</v>
      </c>
    </row>
    <row r="100" spans="2:17">
      <c r="B100" t="s">
        <v>569</v>
      </c>
      <c r="G100">
        <v>4.2</v>
      </c>
      <c r="H100">
        <v>4.5999999999999996</v>
      </c>
      <c r="I100">
        <v>4.5999999999999996</v>
      </c>
      <c r="J100">
        <v>3.8</v>
      </c>
      <c r="K100">
        <v>2.6</v>
      </c>
      <c r="L100">
        <v>1.7</v>
      </c>
    </row>
    <row r="101" spans="2:17">
      <c r="B101" t="s">
        <v>568</v>
      </c>
    </row>
    <row r="102" spans="2:17">
      <c r="B102" t="s">
        <v>567</v>
      </c>
      <c r="C102">
        <v>101.2</v>
      </c>
      <c r="D102">
        <v>127.8</v>
      </c>
      <c r="E102">
        <v>164.3</v>
      </c>
      <c r="F102">
        <v>178.3</v>
      </c>
      <c r="G102">
        <v>228.9</v>
      </c>
      <c r="H102">
        <v>240.3</v>
      </c>
      <c r="I102">
        <v>271.5</v>
      </c>
      <c r="J102">
        <v>246.3</v>
      </c>
      <c r="K102">
        <v>182.2</v>
      </c>
      <c r="L102">
        <v>143.5</v>
      </c>
      <c r="M102">
        <v>83.6</v>
      </c>
      <c r="N102">
        <v>83.6</v>
      </c>
      <c r="O102">
        <v>2051.3000000000002</v>
      </c>
      <c r="P102" t="s">
        <v>564</v>
      </c>
    </row>
    <row r="103" spans="2:17">
      <c r="B103" t="s">
        <v>566</v>
      </c>
      <c r="C103">
        <v>21.2</v>
      </c>
      <c r="D103">
        <v>21.8</v>
      </c>
      <c r="E103">
        <v>25.6</v>
      </c>
      <c r="F103">
        <v>25.3</v>
      </c>
      <c r="G103">
        <v>28.3</v>
      </c>
      <c r="H103">
        <v>28.2</v>
      </c>
      <c r="I103">
        <v>30</v>
      </c>
      <c r="J103">
        <v>29.6</v>
      </c>
      <c r="K103">
        <v>26.8</v>
      </c>
      <c r="L103">
        <v>26.5</v>
      </c>
      <c r="M103">
        <v>21</v>
      </c>
      <c r="N103">
        <v>20.9</v>
      </c>
      <c r="O103">
        <v>305.2</v>
      </c>
      <c r="P103" t="s">
        <v>564</v>
      </c>
    </row>
    <row r="104" spans="2:17">
      <c r="B104" t="s">
        <v>565</v>
      </c>
      <c r="C104">
        <v>35.700000000000003</v>
      </c>
      <c r="D104">
        <v>43.7</v>
      </c>
      <c r="E104">
        <v>44.6</v>
      </c>
      <c r="F104">
        <v>44</v>
      </c>
      <c r="G104">
        <v>49.6</v>
      </c>
      <c r="H104">
        <v>51.3</v>
      </c>
      <c r="I104">
        <v>57.3</v>
      </c>
      <c r="J104">
        <v>56.3</v>
      </c>
      <c r="K104">
        <v>48.3</v>
      </c>
      <c r="L104">
        <v>42.2</v>
      </c>
      <c r="M104">
        <v>29.2</v>
      </c>
      <c r="N104">
        <v>30.7</v>
      </c>
      <c r="O104">
        <v>44.4</v>
      </c>
      <c r="P104" t="s">
        <v>564</v>
      </c>
    </row>
    <row r="105" spans="2:17">
      <c r="B105" t="s">
        <v>563</v>
      </c>
      <c r="C105">
        <v>9.3000000000000007</v>
      </c>
      <c r="D105">
        <v>10.7</v>
      </c>
      <c r="E105">
        <v>11.8</v>
      </c>
      <c r="F105">
        <v>13.6</v>
      </c>
      <c r="G105">
        <v>14.6</v>
      </c>
      <c r="H105">
        <v>14.9</v>
      </c>
      <c r="I105">
        <v>14.8</v>
      </c>
      <c r="J105">
        <v>14.2</v>
      </c>
      <c r="K105">
        <v>12.7</v>
      </c>
      <c r="L105">
        <v>10.9</v>
      </c>
      <c r="M105">
        <v>9.8000000000000007</v>
      </c>
      <c r="N105">
        <v>8.6</v>
      </c>
    </row>
    <row r="106" spans="2:17">
      <c r="B106" t="s">
        <v>521</v>
      </c>
      <c r="C106" t="s">
        <v>520</v>
      </c>
      <c r="D106" t="s">
        <v>562</v>
      </c>
      <c r="E106" t="s">
        <v>561</v>
      </c>
      <c r="F106" t="s">
        <v>560</v>
      </c>
      <c r="G106" t="s">
        <v>559</v>
      </c>
      <c r="H106" t="s">
        <v>558</v>
      </c>
      <c r="I106" s="480">
        <v>25903</v>
      </c>
      <c r="J106" s="480">
        <v>34639</v>
      </c>
      <c r="K106" s="480">
        <v>31778</v>
      </c>
      <c r="L106" s="480">
        <v>31413</v>
      </c>
      <c r="M106" s="480">
        <v>30590</v>
      </c>
      <c r="N106" s="480">
        <v>31809</v>
      </c>
      <c r="O106" s="480">
        <v>36161</v>
      </c>
      <c r="Q106" t="s">
        <v>511</v>
      </c>
    </row>
    <row r="107" spans="2:17">
      <c r="B107" t="s">
        <v>557</v>
      </c>
    </row>
    <row r="108" spans="2:17">
      <c r="B108" t="s">
        <v>556</v>
      </c>
      <c r="C108">
        <v>13.5</v>
      </c>
      <c r="D108">
        <v>14.7</v>
      </c>
      <c r="E108">
        <v>23.2</v>
      </c>
      <c r="F108">
        <v>33.799999999999997</v>
      </c>
      <c r="G108">
        <v>39.700000000000003</v>
      </c>
      <c r="H108">
        <v>45</v>
      </c>
      <c r="I108">
        <v>45.8</v>
      </c>
      <c r="J108">
        <v>46.8</v>
      </c>
      <c r="K108">
        <v>42.8</v>
      </c>
      <c r="L108">
        <v>33.5</v>
      </c>
      <c r="M108">
        <v>24.6</v>
      </c>
      <c r="N108">
        <v>18.100000000000001</v>
      </c>
    </row>
    <row r="109" spans="2:17">
      <c r="B109" t="s">
        <v>521</v>
      </c>
      <c r="C109" t="s">
        <v>520</v>
      </c>
      <c r="D109" t="s">
        <v>555</v>
      </c>
      <c r="E109" t="s">
        <v>554</v>
      </c>
      <c r="F109" t="s">
        <v>553</v>
      </c>
      <c r="G109" t="s">
        <v>552</v>
      </c>
      <c r="H109" t="s">
        <v>551</v>
      </c>
      <c r="I109" t="s">
        <v>550</v>
      </c>
      <c r="J109" s="480">
        <v>37288</v>
      </c>
      <c r="K109" s="480">
        <v>27395</v>
      </c>
      <c r="L109" s="480">
        <v>19450</v>
      </c>
      <c r="M109" s="480">
        <v>24532</v>
      </c>
      <c r="N109" s="480">
        <v>25965</v>
      </c>
      <c r="O109" s="480">
        <v>30042</v>
      </c>
      <c r="Q109" t="s">
        <v>511</v>
      </c>
    </row>
    <row r="110" spans="2:17">
      <c r="B110" t="s">
        <v>549</v>
      </c>
      <c r="C110">
        <v>0</v>
      </c>
      <c r="D110">
        <v>0</v>
      </c>
      <c r="E110">
        <v>0</v>
      </c>
      <c r="F110">
        <v>0.1</v>
      </c>
      <c r="G110">
        <v>1.8</v>
      </c>
      <c r="H110">
        <v>8.8000000000000007</v>
      </c>
      <c r="I110">
        <v>17</v>
      </c>
      <c r="J110">
        <v>13.7</v>
      </c>
      <c r="K110">
        <v>4.4000000000000004</v>
      </c>
      <c r="L110">
        <v>0.3</v>
      </c>
      <c r="M110">
        <v>0</v>
      </c>
      <c r="N110">
        <v>0</v>
      </c>
      <c r="O110">
        <v>46.1</v>
      </c>
      <c r="P110" t="s">
        <v>494</v>
      </c>
    </row>
    <row r="111" spans="2:17">
      <c r="B111" t="s">
        <v>548</v>
      </c>
      <c r="C111">
        <v>0</v>
      </c>
      <c r="D111">
        <v>0</v>
      </c>
      <c r="E111">
        <v>0</v>
      </c>
      <c r="F111">
        <v>0</v>
      </c>
      <c r="G111">
        <v>0.4</v>
      </c>
      <c r="H111">
        <v>3</v>
      </c>
      <c r="I111">
        <v>6.1</v>
      </c>
      <c r="J111">
        <v>4.7</v>
      </c>
      <c r="K111">
        <v>1</v>
      </c>
      <c r="L111">
        <v>0</v>
      </c>
      <c r="M111">
        <v>0</v>
      </c>
      <c r="N111">
        <v>0</v>
      </c>
      <c r="O111">
        <v>15.1</v>
      </c>
      <c r="P111" t="s">
        <v>494</v>
      </c>
    </row>
    <row r="112" spans="2:17">
      <c r="B112" t="s">
        <v>547</v>
      </c>
      <c r="C112">
        <v>0</v>
      </c>
      <c r="D112">
        <v>0</v>
      </c>
      <c r="E112">
        <v>0</v>
      </c>
      <c r="F112">
        <v>0</v>
      </c>
      <c r="G112">
        <v>0</v>
      </c>
      <c r="H112">
        <v>0.5</v>
      </c>
      <c r="I112">
        <v>1.4</v>
      </c>
      <c r="J112">
        <v>0.6</v>
      </c>
      <c r="K112">
        <v>0</v>
      </c>
      <c r="L112">
        <v>0</v>
      </c>
      <c r="M112">
        <v>0</v>
      </c>
      <c r="N112">
        <v>0</v>
      </c>
      <c r="O112">
        <v>2.5</v>
      </c>
      <c r="P112" t="s">
        <v>494</v>
      </c>
    </row>
    <row r="113" spans="2:17">
      <c r="B113" t="s">
        <v>546</v>
      </c>
    </row>
    <row r="114" spans="2:17">
      <c r="B114" t="s">
        <v>545</v>
      </c>
      <c r="C114">
        <v>-49.1</v>
      </c>
      <c r="D114">
        <v>-46</v>
      </c>
      <c r="E114">
        <v>-42.9</v>
      </c>
      <c r="F114">
        <v>-26.3</v>
      </c>
      <c r="G114">
        <v>-9.9</v>
      </c>
      <c r="H114">
        <v>0</v>
      </c>
      <c r="I114">
        <v>0</v>
      </c>
      <c r="J114">
        <v>0</v>
      </c>
      <c r="K114">
        <v>-4.8</v>
      </c>
      <c r="L114">
        <v>-10.9</v>
      </c>
      <c r="M114">
        <v>-30.7</v>
      </c>
      <c r="N114">
        <v>-46</v>
      </c>
    </row>
    <row r="115" spans="2:17">
      <c r="B115" t="s">
        <v>521</v>
      </c>
      <c r="C115" t="s">
        <v>520</v>
      </c>
      <c r="D115" t="s">
        <v>544</v>
      </c>
      <c r="E115" s="480">
        <v>24807</v>
      </c>
      <c r="F115" s="480">
        <v>37681</v>
      </c>
      <c r="G115" s="480">
        <v>34820</v>
      </c>
      <c r="H115" s="480">
        <v>28491</v>
      </c>
      <c r="I115" s="480">
        <v>19360</v>
      </c>
      <c r="J115" s="480">
        <v>19360</v>
      </c>
      <c r="K115" s="480">
        <v>19360</v>
      </c>
      <c r="L115" t="s">
        <v>543</v>
      </c>
      <c r="M115" t="s">
        <v>542</v>
      </c>
      <c r="N115" t="s">
        <v>541</v>
      </c>
      <c r="O115" t="s">
        <v>540</v>
      </c>
      <c r="Q115" t="s">
        <v>511</v>
      </c>
    </row>
    <row r="116" spans="2:17">
      <c r="B116" t="s">
        <v>539</v>
      </c>
      <c r="C116">
        <v>16.7</v>
      </c>
      <c r="D116">
        <v>12.2</v>
      </c>
      <c r="E116">
        <v>4.8</v>
      </c>
      <c r="F116">
        <v>0.1</v>
      </c>
      <c r="G116">
        <v>0</v>
      </c>
      <c r="H116">
        <v>0</v>
      </c>
      <c r="I116">
        <v>0</v>
      </c>
      <c r="J116">
        <v>0</v>
      </c>
      <c r="K116">
        <v>0</v>
      </c>
      <c r="L116">
        <v>0</v>
      </c>
      <c r="M116">
        <v>0.2</v>
      </c>
      <c r="N116">
        <v>8.3000000000000007</v>
      </c>
      <c r="O116">
        <v>42.2</v>
      </c>
      <c r="P116" t="s">
        <v>494</v>
      </c>
    </row>
    <row r="117" spans="2:17">
      <c r="B117" t="s">
        <v>538</v>
      </c>
      <c r="C117">
        <v>5.3</v>
      </c>
      <c r="D117">
        <v>1.7</v>
      </c>
      <c r="E117">
        <v>0.5</v>
      </c>
      <c r="F117">
        <v>0</v>
      </c>
      <c r="G117">
        <v>0</v>
      </c>
      <c r="H117">
        <v>0</v>
      </c>
      <c r="I117">
        <v>0</v>
      </c>
      <c r="J117">
        <v>0</v>
      </c>
      <c r="K117">
        <v>0</v>
      </c>
      <c r="L117">
        <v>0</v>
      </c>
      <c r="M117">
        <v>0</v>
      </c>
      <c r="N117">
        <v>1.4</v>
      </c>
      <c r="O117">
        <v>8.8000000000000007</v>
      </c>
      <c r="P117" t="s">
        <v>494</v>
      </c>
    </row>
    <row r="118" spans="2:17">
      <c r="B118" t="s">
        <v>537</v>
      </c>
      <c r="C118">
        <v>0.6</v>
      </c>
      <c r="D118">
        <v>0</v>
      </c>
      <c r="E118">
        <v>0</v>
      </c>
      <c r="F118">
        <v>0</v>
      </c>
      <c r="G118">
        <v>0</v>
      </c>
      <c r="H118">
        <v>0</v>
      </c>
      <c r="I118">
        <v>0</v>
      </c>
      <c r="J118">
        <v>0</v>
      </c>
      <c r="K118">
        <v>0</v>
      </c>
      <c r="L118">
        <v>0</v>
      </c>
      <c r="M118">
        <v>0</v>
      </c>
      <c r="N118">
        <v>0.1</v>
      </c>
      <c r="O118">
        <v>0.7</v>
      </c>
      <c r="P118" t="s">
        <v>494</v>
      </c>
    </row>
    <row r="119" spans="2:17">
      <c r="B119" t="s">
        <v>147</v>
      </c>
    </row>
    <row r="120" spans="2:17">
      <c r="B120" t="s">
        <v>536</v>
      </c>
      <c r="C120">
        <v>0.3</v>
      </c>
      <c r="D120">
        <v>0.3</v>
      </c>
      <c r="E120">
        <v>0.4</v>
      </c>
      <c r="F120">
        <v>0.6</v>
      </c>
      <c r="G120">
        <v>1</v>
      </c>
      <c r="H120">
        <v>1.5</v>
      </c>
      <c r="I120">
        <v>1.8</v>
      </c>
      <c r="J120">
        <v>1.7</v>
      </c>
      <c r="K120">
        <v>1.4</v>
      </c>
      <c r="L120">
        <v>0.9</v>
      </c>
      <c r="M120">
        <v>0.6</v>
      </c>
      <c r="N120">
        <v>0.4</v>
      </c>
      <c r="O120">
        <v>0.9</v>
      </c>
      <c r="P120" t="s">
        <v>494</v>
      </c>
    </row>
    <row r="121" spans="2:17">
      <c r="B121" t="s">
        <v>535</v>
      </c>
      <c r="C121">
        <v>74.599999999999994</v>
      </c>
      <c r="D121">
        <v>73.5</v>
      </c>
      <c r="E121">
        <v>73.099999999999994</v>
      </c>
      <c r="F121">
        <v>72.400000000000006</v>
      </c>
      <c r="G121">
        <v>73.599999999999994</v>
      </c>
      <c r="H121">
        <v>78</v>
      </c>
      <c r="I121">
        <v>81</v>
      </c>
      <c r="J121">
        <v>84.7</v>
      </c>
      <c r="K121">
        <v>86.3</v>
      </c>
      <c r="L121">
        <v>83.7</v>
      </c>
      <c r="M121">
        <v>80.8</v>
      </c>
      <c r="N121">
        <v>79.3</v>
      </c>
      <c r="O121">
        <v>78.400000000000006</v>
      </c>
      <c r="P121" t="s">
        <v>494</v>
      </c>
    </row>
    <row r="122" spans="2:17">
      <c r="B122" t="s">
        <v>534</v>
      </c>
      <c r="C122">
        <v>68.099999999999994</v>
      </c>
      <c r="D122">
        <v>63.4</v>
      </c>
      <c r="E122">
        <v>58.3</v>
      </c>
      <c r="F122">
        <v>51.9</v>
      </c>
      <c r="G122">
        <v>51.4</v>
      </c>
      <c r="H122">
        <v>55.3</v>
      </c>
      <c r="I122">
        <v>56.1</v>
      </c>
      <c r="J122">
        <v>56.8</v>
      </c>
      <c r="K122">
        <v>59.7</v>
      </c>
      <c r="L122">
        <v>62</v>
      </c>
      <c r="M122">
        <v>68</v>
      </c>
      <c r="N122">
        <v>71.400000000000006</v>
      </c>
      <c r="O122">
        <v>60.2</v>
      </c>
      <c r="P122" t="s">
        <v>494</v>
      </c>
    </row>
    <row r="123" spans="2:17">
      <c r="B123" t="s">
        <v>533</v>
      </c>
    </row>
    <row r="124" spans="2:17">
      <c r="B124" t="s">
        <v>532</v>
      </c>
      <c r="C124">
        <v>101.2</v>
      </c>
      <c r="D124">
        <v>101.3</v>
      </c>
      <c r="E124">
        <v>101.2</v>
      </c>
      <c r="F124">
        <v>101</v>
      </c>
      <c r="G124">
        <v>101</v>
      </c>
      <c r="H124">
        <v>100.8</v>
      </c>
      <c r="I124">
        <v>100.9</v>
      </c>
      <c r="J124">
        <v>101.1</v>
      </c>
      <c r="K124">
        <v>101.2</v>
      </c>
      <c r="L124">
        <v>101.3</v>
      </c>
      <c r="M124">
        <v>101.2</v>
      </c>
      <c r="N124">
        <v>101.2</v>
      </c>
      <c r="O124">
        <v>101.1</v>
      </c>
      <c r="P124" t="s">
        <v>494</v>
      </c>
    </row>
    <row r="125" spans="2:17">
      <c r="B125" t="s">
        <v>531</v>
      </c>
      <c r="C125">
        <v>101.7</v>
      </c>
      <c r="D125">
        <v>101.7</v>
      </c>
      <c r="E125">
        <v>101.6</v>
      </c>
      <c r="F125">
        <v>101.4</v>
      </c>
      <c r="G125">
        <v>101.4</v>
      </c>
      <c r="H125">
        <v>101.3</v>
      </c>
      <c r="I125">
        <v>101.3</v>
      </c>
      <c r="J125">
        <v>101.5</v>
      </c>
      <c r="K125">
        <v>101.7</v>
      </c>
      <c r="L125">
        <v>101.7</v>
      </c>
      <c r="M125">
        <v>101.7</v>
      </c>
      <c r="N125">
        <v>101.7</v>
      </c>
      <c r="O125">
        <v>101.6</v>
      </c>
      <c r="P125" t="s">
        <v>494</v>
      </c>
    </row>
    <row r="126" spans="2:17">
      <c r="B126" t="s">
        <v>530</v>
      </c>
    </row>
    <row r="127" spans="2:17">
      <c r="B127" t="s">
        <v>529</v>
      </c>
      <c r="C127">
        <v>94</v>
      </c>
      <c r="D127">
        <v>130.4</v>
      </c>
      <c r="E127">
        <v>187.9</v>
      </c>
      <c r="H127">
        <v>267.2</v>
      </c>
      <c r="J127">
        <v>230.7</v>
      </c>
      <c r="K127">
        <v>165</v>
      </c>
      <c r="L127">
        <v>124.7</v>
      </c>
      <c r="M127">
        <v>89</v>
      </c>
      <c r="N127">
        <v>72.400000000000006</v>
      </c>
    </row>
    <row r="128" spans="2:17">
      <c r="B128" t="s">
        <v>528</v>
      </c>
      <c r="C128">
        <v>11.2</v>
      </c>
      <c r="D128">
        <v>16.8</v>
      </c>
      <c r="E128">
        <v>22.9</v>
      </c>
      <c r="F128">
        <v>27.7</v>
      </c>
      <c r="G128">
        <v>31.1</v>
      </c>
      <c r="H128">
        <v>31.7</v>
      </c>
      <c r="I128">
        <v>30.5</v>
      </c>
      <c r="J128">
        <v>27.3</v>
      </c>
      <c r="K128">
        <v>23.4</v>
      </c>
      <c r="L128">
        <v>17.7</v>
      </c>
      <c r="M128">
        <v>11.9</v>
      </c>
      <c r="N128">
        <v>8.3000000000000007</v>
      </c>
    </row>
    <row r="129" spans="2:17">
      <c r="B129" t="s">
        <v>521</v>
      </c>
      <c r="C129" t="s">
        <v>520</v>
      </c>
      <c r="D129" t="s">
        <v>527</v>
      </c>
      <c r="E129" t="s">
        <v>526</v>
      </c>
      <c r="F129" t="s">
        <v>525</v>
      </c>
      <c r="G129" t="s">
        <v>524</v>
      </c>
      <c r="H129" t="s">
        <v>523</v>
      </c>
      <c r="I129" s="480">
        <v>34608</v>
      </c>
      <c r="J129" s="480">
        <v>33970</v>
      </c>
      <c r="K129" s="480">
        <v>34912</v>
      </c>
      <c r="L129" s="480">
        <v>33635</v>
      </c>
      <c r="M129" s="480">
        <v>34700</v>
      </c>
      <c r="N129" s="480">
        <v>34001</v>
      </c>
      <c r="O129" s="480">
        <v>32509</v>
      </c>
      <c r="Q129" t="s">
        <v>511</v>
      </c>
    </row>
    <row r="130" spans="2:17">
      <c r="B130" t="s">
        <v>522</v>
      </c>
      <c r="C130">
        <v>6</v>
      </c>
      <c r="D130">
        <v>8.6</v>
      </c>
      <c r="E130">
        <v>13</v>
      </c>
      <c r="F130">
        <v>14.5</v>
      </c>
      <c r="G130">
        <v>13.7</v>
      </c>
      <c r="H130">
        <v>14.5</v>
      </c>
      <c r="I130">
        <v>15</v>
      </c>
      <c r="J130">
        <v>12.6</v>
      </c>
      <c r="K130">
        <v>10.7</v>
      </c>
      <c r="L130">
        <v>8.1</v>
      </c>
      <c r="M130">
        <v>5.2</v>
      </c>
      <c r="N130">
        <v>4.3</v>
      </c>
    </row>
    <row r="131" spans="2:17">
      <c r="B131" t="s">
        <v>521</v>
      </c>
      <c r="C131" t="s">
        <v>520</v>
      </c>
      <c r="D131" t="s">
        <v>519</v>
      </c>
      <c r="E131" t="s">
        <v>518</v>
      </c>
      <c r="F131" t="s">
        <v>517</v>
      </c>
      <c r="G131" t="s">
        <v>516</v>
      </c>
      <c r="H131" t="s">
        <v>515</v>
      </c>
      <c r="I131" s="480">
        <v>33725</v>
      </c>
      <c r="J131" s="480">
        <v>34090</v>
      </c>
      <c r="K131" s="480">
        <v>32813</v>
      </c>
      <c r="L131" t="s">
        <v>514</v>
      </c>
      <c r="M131" s="480">
        <v>34090</v>
      </c>
      <c r="N131" t="s">
        <v>513</v>
      </c>
      <c r="O131" t="s">
        <v>512</v>
      </c>
      <c r="Q131" t="s">
        <v>511</v>
      </c>
    </row>
    <row r="132" spans="2:17">
      <c r="B132" t="s">
        <v>510</v>
      </c>
    </row>
    <row r="133" spans="2:17">
      <c r="B133" t="s">
        <v>509</v>
      </c>
      <c r="C133">
        <v>7.6</v>
      </c>
      <c r="D133">
        <v>6.8</v>
      </c>
      <c r="E133">
        <v>9.1</v>
      </c>
      <c r="F133">
        <v>3.3</v>
      </c>
      <c r="G133">
        <v>1.3</v>
      </c>
      <c r="H133">
        <v>0.8</v>
      </c>
      <c r="I133">
        <v>0.2</v>
      </c>
      <c r="J133">
        <v>0.8</v>
      </c>
      <c r="K133">
        <v>1.8</v>
      </c>
      <c r="L133">
        <v>4.9000000000000004</v>
      </c>
      <c r="M133">
        <v>4.3</v>
      </c>
      <c r="N133">
        <v>7.1</v>
      </c>
      <c r="O133">
        <v>47.9</v>
      </c>
      <c r="P133" t="s">
        <v>502</v>
      </c>
    </row>
    <row r="134" spans="2:17">
      <c r="B134" t="s">
        <v>508</v>
      </c>
      <c r="C134">
        <v>145.69999999999999</v>
      </c>
      <c r="D134">
        <v>113.7</v>
      </c>
      <c r="E134">
        <v>90.7</v>
      </c>
      <c r="F134">
        <v>56.8</v>
      </c>
      <c r="G134">
        <v>36.5</v>
      </c>
      <c r="H134">
        <v>39.5</v>
      </c>
      <c r="I134">
        <v>36.5</v>
      </c>
      <c r="J134">
        <v>49.2</v>
      </c>
      <c r="K134">
        <v>42.4</v>
      </c>
      <c r="L134">
        <v>60.1</v>
      </c>
      <c r="M134">
        <v>98.5</v>
      </c>
      <c r="N134">
        <v>136.6</v>
      </c>
      <c r="O134">
        <v>906.3</v>
      </c>
      <c r="P134" t="s">
        <v>502</v>
      </c>
    </row>
    <row r="135" spans="2:17">
      <c r="B135" t="s">
        <v>507</v>
      </c>
      <c r="C135">
        <v>590.70000000000005</v>
      </c>
      <c r="D135">
        <v>556.29999999999995</v>
      </c>
      <c r="E135">
        <v>644.29999999999995</v>
      </c>
      <c r="F135">
        <v>659.9</v>
      </c>
      <c r="G135">
        <v>706.2</v>
      </c>
      <c r="H135">
        <v>679.7</v>
      </c>
      <c r="I135">
        <v>707.3</v>
      </c>
      <c r="J135">
        <v>694</v>
      </c>
      <c r="K135">
        <v>675.8</v>
      </c>
      <c r="L135">
        <v>679</v>
      </c>
      <c r="M135">
        <v>617.29999999999995</v>
      </c>
      <c r="N135">
        <v>600.29999999999995</v>
      </c>
      <c r="O135">
        <v>7810.6</v>
      </c>
      <c r="P135" t="s">
        <v>502</v>
      </c>
    </row>
    <row r="136" spans="2:17">
      <c r="B136" t="s">
        <v>506</v>
      </c>
    </row>
    <row r="137" spans="2:17">
      <c r="B137" t="s">
        <v>505</v>
      </c>
      <c r="C137">
        <v>182.3</v>
      </c>
      <c r="D137">
        <v>194</v>
      </c>
      <c r="E137">
        <v>220</v>
      </c>
      <c r="F137">
        <v>181.7</v>
      </c>
      <c r="G137">
        <v>181.4</v>
      </c>
      <c r="H137">
        <v>180.4</v>
      </c>
      <c r="I137">
        <v>196.9</v>
      </c>
      <c r="J137">
        <v>209.1</v>
      </c>
      <c r="K137">
        <v>219.4</v>
      </c>
      <c r="L137">
        <v>188.3</v>
      </c>
      <c r="M137">
        <v>130.30000000000001</v>
      </c>
      <c r="N137">
        <v>155.19999999999999</v>
      </c>
      <c r="O137">
        <v>2239.1</v>
      </c>
      <c r="P137" t="s">
        <v>502</v>
      </c>
    </row>
    <row r="138" spans="2:17">
      <c r="B138" t="s">
        <v>504</v>
      </c>
      <c r="C138">
        <v>94.4</v>
      </c>
      <c r="D138">
        <v>96.1</v>
      </c>
      <c r="E138">
        <v>103.4</v>
      </c>
      <c r="F138">
        <v>121.1</v>
      </c>
      <c r="G138">
        <v>152.80000000000001</v>
      </c>
      <c r="H138">
        <v>178.7</v>
      </c>
      <c r="I138">
        <v>205.3</v>
      </c>
      <c r="J138">
        <v>204.7</v>
      </c>
      <c r="K138">
        <v>158.19999999999999</v>
      </c>
      <c r="L138">
        <v>125.5</v>
      </c>
      <c r="M138">
        <v>102.7</v>
      </c>
      <c r="N138">
        <v>97</v>
      </c>
      <c r="O138">
        <v>1639.9</v>
      </c>
      <c r="P138" t="s">
        <v>502</v>
      </c>
    </row>
    <row r="139" spans="2:17">
      <c r="B139" t="s">
        <v>503</v>
      </c>
      <c r="C139">
        <v>467.3</v>
      </c>
      <c r="D139">
        <v>386.7</v>
      </c>
      <c r="E139">
        <v>420.6</v>
      </c>
      <c r="F139">
        <v>417.2</v>
      </c>
      <c r="G139">
        <v>409.8</v>
      </c>
      <c r="H139">
        <v>360.9</v>
      </c>
      <c r="I139">
        <v>341.9</v>
      </c>
      <c r="J139">
        <v>330.2</v>
      </c>
      <c r="K139">
        <v>342.5</v>
      </c>
      <c r="L139">
        <v>430.1</v>
      </c>
      <c r="M139">
        <v>487</v>
      </c>
      <c r="N139">
        <v>491.8</v>
      </c>
      <c r="O139">
        <v>4885.8999999999996</v>
      </c>
      <c r="P139" t="s">
        <v>502</v>
      </c>
    </row>
    <row r="141" spans="2:17">
      <c r="B141" t="s">
        <v>501</v>
      </c>
    </row>
    <row r="142" spans="2:17">
      <c r="C142" t="s">
        <v>500</v>
      </c>
      <c r="D142" t="s">
        <v>499</v>
      </c>
    </row>
    <row r="143" spans="2:17">
      <c r="B143" t="s">
        <v>498</v>
      </c>
      <c r="C143" s="479">
        <v>45045</v>
      </c>
      <c r="D143" t="s">
        <v>494</v>
      </c>
    </row>
    <row r="144" spans="2:17">
      <c r="B144" t="s">
        <v>497</v>
      </c>
      <c r="C144" s="479">
        <v>45211</v>
      </c>
      <c r="D144" t="s">
        <v>494</v>
      </c>
    </row>
    <row r="145" spans="2:10">
      <c r="B145" t="s">
        <v>496</v>
      </c>
      <c r="C145" t="s">
        <v>495</v>
      </c>
      <c r="D145" t="s">
        <v>494</v>
      </c>
    </row>
    <row r="146" spans="2:10">
      <c r="B146" t="s">
        <v>493</v>
      </c>
      <c r="C146" s="478">
        <v>0.1</v>
      </c>
      <c r="D146" s="478">
        <v>0.25</v>
      </c>
      <c r="E146" s="478">
        <v>0.33</v>
      </c>
      <c r="F146" s="478">
        <v>0.5</v>
      </c>
      <c r="G146" s="478">
        <v>0.66</v>
      </c>
      <c r="H146" s="478">
        <v>0.75</v>
      </c>
      <c r="I146" s="478">
        <v>0.9</v>
      </c>
    </row>
    <row r="147" spans="2:10">
      <c r="B147" t="s">
        <v>487</v>
      </c>
      <c r="C147" s="479">
        <v>45061</v>
      </c>
      <c r="D147" s="479">
        <v>45054</v>
      </c>
      <c r="E147" s="479">
        <v>45052</v>
      </c>
      <c r="F147" t="s">
        <v>492</v>
      </c>
      <c r="G147" t="s">
        <v>491</v>
      </c>
      <c r="H147" t="s">
        <v>490</v>
      </c>
      <c r="I147" t="s">
        <v>489</v>
      </c>
    </row>
    <row r="148" spans="2:10">
      <c r="B148" t="s">
        <v>488</v>
      </c>
      <c r="C148" s="478">
        <v>0.1</v>
      </c>
      <c r="D148" s="478">
        <v>0.25</v>
      </c>
      <c r="E148" s="478">
        <v>0.33</v>
      </c>
      <c r="F148" s="478">
        <v>0.5</v>
      </c>
      <c r="G148" s="478">
        <v>0.66</v>
      </c>
      <c r="H148" s="478">
        <v>0.75</v>
      </c>
      <c r="I148" s="478">
        <v>0.9</v>
      </c>
    </row>
    <row r="149" spans="2:10">
      <c r="B149" t="s">
        <v>487</v>
      </c>
      <c r="C149" t="s">
        <v>486</v>
      </c>
      <c r="D149" t="s">
        <v>485</v>
      </c>
      <c r="E149" t="s">
        <v>484</v>
      </c>
      <c r="F149" t="s">
        <v>483</v>
      </c>
      <c r="G149" t="s">
        <v>482</v>
      </c>
      <c r="H149" t="s">
        <v>481</v>
      </c>
      <c r="I149" t="s">
        <v>480</v>
      </c>
    </row>
    <row r="150" spans="2:10">
      <c r="B150" t="s">
        <v>479</v>
      </c>
      <c r="C150" t="s">
        <v>478</v>
      </c>
      <c r="D150" s="478">
        <v>0.1</v>
      </c>
      <c r="E150" s="478">
        <v>0.25</v>
      </c>
      <c r="F150" s="478">
        <v>0.33</v>
      </c>
      <c r="G150" s="478">
        <v>0.5</v>
      </c>
      <c r="H150" s="478">
        <v>0.66</v>
      </c>
      <c r="I150" s="478">
        <v>0.75</v>
      </c>
      <c r="J150" s="478">
        <v>0.9</v>
      </c>
    </row>
    <row r="151" spans="2:10">
      <c r="B151" t="s">
        <v>477</v>
      </c>
      <c r="C151">
        <v>139</v>
      </c>
      <c r="D151">
        <v>152</v>
      </c>
      <c r="E151">
        <v>155</v>
      </c>
      <c r="F151">
        <v>160</v>
      </c>
      <c r="G151">
        <v>165</v>
      </c>
      <c r="H151">
        <v>169</v>
      </c>
      <c r="I151">
        <v>177</v>
      </c>
    </row>
  </sheetData>
  <hyperlinks>
    <hyperlink ref="C4" r:id="rId1" xr:uid="{EA8412FD-DE3E-4806-903A-5911D1309F4A}"/>
  </hyperlinks>
  <pageMargins left="0.7" right="0.7" top="0.75" bottom="0.75" header="0.3" footer="0.3"/>
  <pageSetup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0256-C127-4834-8380-56ABDA0EC180}">
  <dimension ref="B2:Q9056"/>
  <sheetViews>
    <sheetView workbookViewId="0">
      <selection activeCell="C116" sqref="C116:D116"/>
    </sheetView>
  </sheetViews>
  <sheetFormatPr baseColWidth="10" defaultColWidth="11.5546875" defaultRowHeight="14.4"/>
  <cols>
    <col min="1" max="1" width="4.77734375" customWidth="1"/>
    <col min="2" max="2" width="10.21875" bestFit="1" customWidth="1"/>
    <col min="3" max="3" width="10.21875" customWidth="1"/>
    <col min="4" max="4" width="16.77734375" style="195" bestFit="1" customWidth="1"/>
    <col min="5" max="5" width="21.77734375" bestFit="1" customWidth="1"/>
    <col min="14" max="14" width="12.21875" bestFit="1" customWidth="1"/>
    <col min="15" max="15" width="14.77734375" style="195" bestFit="1" customWidth="1"/>
    <col min="16" max="16" width="15.5546875" bestFit="1" customWidth="1"/>
  </cols>
  <sheetData>
    <row r="2" spans="2:16" ht="21">
      <c r="B2" s="940" t="s">
        <v>1405</v>
      </c>
      <c r="C2" s="940"/>
    </row>
    <row r="3" spans="2:16">
      <c r="B3" s="196" t="s">
        <v>1406</v>
      </c>
      <c r="C3" s="196"/>
      <c r="D3" s="941" t="s">
        <v>1407</v>
      </c>
      <c r="E3" s="196"/>
    </row>
    <row r="4" spans="2:16">
      <c r="B4" s="196"/>
      <c r="C4" s="196"/>
      <c r="D4" s="941"/>
      <c r="E4" s="196"/>
    </row>
    <row r="5" spans="2:16" ht="28.5" customHeight="1">
      <c r="B5" s="1973" t="s">
        <v>1408</v>
      </c>
      <c r="C5" s="1974"/>
      <c r="D5" s="1974"/>
      <c r="E5" s="1974"/>
      <c r="F5" s="1974"/>
      <c r="G5" s="1974"/>
      <c r="H5" s="1974"/>
      <c r="I5" s="1974"/>
      <c r="J5" s="1975"/>
    </row>
    <row r="6" spans="2:16" ht="28.5" customHeight="1">
      <c r="B6" s="1976"/>
      <c r="C6" s="1977"/>
      <c r="D6" s="1977"/>
      <c r="E6" s="1977"/>
      <c r="F6" s="1977"/>
      <c r="G6" s="1977"/>
      <c r="H6" s="1977"/>
      <c r="I6" s="1977"/>
      <c r="J6" s="1978"/>
    </row>
    <row r="7" spans="2:16">
      <c r="D7" s="554"/>
    </row>
    <row r="8" spans="2:16" ht="16.2" customHeight="1">
      <c r="B8" s="388" t="s">
        <v>487</v>
      </c>
      <c r="C8" s="388" t="s">
        <v>1409</v>
      </c>
      <c r="D8" s="942" t="s">
        <v>1410</v>
      </c>
      <c r="E8" s="942" t="s">
        <v>1411</v>
      </c>
      <c r="N8" s="1979" t="s">
        <v>1412</v>
      </c>
      <c r="O8" s="1980"/>
      <c r="P8" s="942" t="s">
        <v>1411</v>
      </c>
    </row>
    <row r="9" spans="2:16">
      <c r="B9" s="943">
        <v>44927</v>
      </c>
      <c r="C9" s="195">
        <f>MONTH(B9)</f>
        <v>1</v>
      </c>
      <c r="D9" s="195">
        <v>44.8</v>
      </c>
      <c r="E9" s="705">
        <f>CONVERT(D9,"F","C")</f>
        <v>7.1111111111111089</v>
      </c>
      <c r="N9" t="s">
        <v>1413</v>
      </c>
      <c r="O9" s="944">
        <v>1</v>
      </c>
      <c r="P9" s="705">
        <f>AVERAGEIF($C$9:$C$8960,O9,$E$9:$E$8960)</f>
        <v>4.8354241338112312</v>
      </c>
    </row>
    <row r="10" spans="2:16">
      <c r="B10" s="943">
        <v>44927</v>
      </c>
      <c r="C10" s="195">
        <f t="shared" ref="C10:C73" si="0">MONTH(B10)</f>
        <v>1</v>
      </c>
      <c r="D10" s="195">
        <v>45.1</v>
      </c>
      <c r="E10" s="705">
        <f t="shared" ref="E10:E73" si="1">CONVERT(D10,"F","C")</f>
        <v>7.2777777777777786</v>
      </c>
      <c r="N10" t="s">
        <v>1414</v>
      </c>
      <c r="O10" s="944">
        <v>2</v>
      </c>
      <c r="P10" s="705">
        <f t="shared" ref="P10:P20" si="2">AVERAGEIF($C$9:$C$8960,O10,$E$9:$E$8960)</f>
        <v>4.0925649942043343</v>
      </c>
    </row>
    <row r="11" spans="2:16">
      <c r="B11" s="943">
        <v>44927</v>
      </c>
      <c r="C11" s="195">
        <f t="shared" si="0"/>
        <v>1</v>
      </c>
      <c r="D11" s="195">
        <v>44.6</v>
      </c>
      <c r="E11" s="705">
        <f t="shared" si="1"/>
        <v>7.0000000000000009</v>
      </c>
      <c r="N11" t="s">
        <v>1415</v>
      </c>
      <c r="O11" s="944">
        <v>3</v>
      </c>
      <c r="P11" s="705">
        <f t="shared" si="2"/>
        <v>4.1695788530465903</v>
      </c>
    </row>
    <row r="12" spans="2:16">
      <c r="B12" s="943">
        <v>44927</v>
      </c>
      <c r="C12" s="195">
        <f t="shared" si="0"/>
        <v>1</v>
      </c>
      <c r="D12" s="195">
        <v>44.6</v>
      </c>
      <c r="E12" s="705">
        <f t="shared" si="1"/>
        <v>7.0000000000000009</v>
      </c>
      <c r="N12" t="s">
        <v>1416</v>
      </c>
      <c r="O12" s="944">
        <v>4</v>
      </c>
      <c r="P12" s="705">
        <f t="shared" si="2"/>
        <v>7.3585920479302782</v>
      </c>
    </row>
    <row r="13" spans="2:16">
      <c r="B13" s="943">
        <v>44927</v>
      </c>
      <c r="C13" s="195">
        <f t="shared" si="0"/>
        <v>1</v>
      </c>
      <c r="D13" s="195">
        <v>43.7</v>
      </c>
      <c r="E13" s="705">
        <f t="shared" si="1"/>
        <v>6.5000000000000018</v>
      </c>
      <c r="N13" t="s">
        <v>1417</v>
      </c>
      <c r="O13" s="944">
        <v>5</v>
      </c>
      <c r="P13" s="705">
        <f t="shared" si="2"/>
        <v>10.853276353276362</v>
      </c>
    </row>
    <row r="14" spans="2:16">
      <c r="B14" s="943">
        <v>44927</v>
      </c>
      <c r="C14" s="195">
        <f t="shared" si="0"/>
        <v>1</v>
      </c>
      <c r="D14" s="195">
        <v>42.1</v>
      </c>
      <c r="E14" s="705">
        <f t="shared" si="1"/>
        <v>5.6111111111111116</v>
      </c>
      <c r="N14" t="s">
        <v>1418</v>
      </c>
      <c r="O14" s="944">
        <v>6</v>
      </c>
      <c r="P14" s="705">
        <f t="shared" si="2"/>
        <v>15.13395061728396</v>
      </c>
    </row>
    <row r="15" spans="2:16">
      <c r="B15" s="943">
        <v>44927</v>
      </c>
      <c r="C15" s="195">
        <f t="shared" si="0"/>
        <v>1</v>
      </c>
      <c r="D15" s="195">
        <v>40.799999999999997</v>
      </c>
      <c r="E15" s="705">
        <f t="shared" si="1"/>
        <v>4.8888888888888875</v>
      </c>
      <c r="N15" t="s">
        <v>1419</v>
      </c>
      <c r="O15" s="944">
        <v>7</v>
      </c>
      <c r="P15" s="705">
        <f t="shared" si="2"/>
        <v>17.649394347240921</v>
      </c>
    </row>
    <row r="16" spans="2:16">
      <c r="B16" s="943">
        <v>44927</v>
      </c>
      <c r="C16" s="195">
        <f t="shared" si="0"/>
        <v>1</v>
      </c>
      <c r="D16" s="195">
        <v>40.299999999999997</v>
      </c>
      <c r="E16" s="705">
        <f t="shared" si="1"/>
        <v>4.6111111111111098</v>
      </c>
      <c r="N16" t="s">
        <v>1420</v>
      </c>
      <c r="O16" s="944">
        <v>8</v>
      </c>
      <c r="P16" s="705">
        <f t="shared" si="2"/>
        <v>16.91450119474311</v>
      </c>
    </row>
    <row r="17" spans="2:17">
      <c r="B17" s="943">
        <v>44927</v>
      </c>
      <c r="C17" s="195">
        <f t="shared" si="0"/>
        <v>1</v>
      </c>
      <c r="D17" s="195">
        <v>40.799999999999997</v>
      </c>
      <c r="E17" s="705">
        <f t="shared" si="1"/>
        <v>4.8888888888888875</v>
      </c>
      <c r="N17" t="s">
        <v>1421</v>
      </c>
      <c r="O17" s="944">
        <v>9</v>
      </c>
      <c r="P17" s="705">
        <f t="shared" si="2"/>
        <v>17.841435185185166</v>
      </c>
    </row>
    <row r="18" spans="2:17">
      <c r="B18" s="943">
        <v>44927</v>
      </c>
      <c r="C18" s="195">
        <f t="shared" si="0"/>
        <v>1</v>
      </c>
      <c r="D18" s="195">
        <v>41.9</v>
      </c>
      <c r="E18" s="705">
        <f t="shared" si="1"/>
        <v>5.4999999999999991</v>
      </c>
      <c r="N18" t="s">
        <v>1422</v>
      </c>
      <c r="O18" s="944">
        <v>10</v>
      </c>
      <c r="P18" s="705">
        <f t="shared" si="2"/>
        <v>14.65322580645161</v>
      </c>
    </row>
    <row r="19" spans="2:17">
      <c r="B19" s="943">
        <v>44927</v>
      </c>
      <c r="C19" s="195">
        <f t="shared" si="0"/>
        <v>1</v>
      </c>
      <c r="D19" s="195">
        <v>43.7</v>
      </c>
      <c r="E19" s="705">
        <f t="shared" si="1"/>
        <v>6.5000000000000018</v>
      </c>
      <c r="N19" t="s">
        <v>1423</v>
      </c>
      <c r="O19" s="944">
        <v>11</v>
      </c>
      <c r="P19" s="705">
        <f t="shared" si="2"/>
        <v>10.16211419753088</v>
      </c>
    </row>
    <row r="20" spans="2:17">
      <c r="B20" s="943">
        <v>44927</v>
      </c>
      <c r="C20" s="195">
        <f t="shared" si="0"/>
        <v>1</v>
      </c>
      <c r="D20" s="195">
        <v>44.4</v>
      </c>
      <c r="E20" s="705">
        <f t="shared" si="1"/>
        <v>6.8888888888888875</v>
      </c>
      <c r="N20" t="s">
        <v>1424</v>
      </c>
      <c r="O20" s="944">
        <v>12</v>
      </c>
      <c r="P20" s="705">
        <f t="shared" si="2"/>
        <v>7.0049283154121769</v>
      </c>
    </row>
    <row r="21" spans="2:17">
      <c r="B21" s="943">
        <v>44927</v>
      </c>
      <c r="C21" s="195">
        <f t="shared" si="0"/>
        <v>1</v>
      </c>
      <c r="D21" s="195" t="s">
        <v>1425</v>
      </c>
      <c r="E21" s="705">
        <f t="shared" si="1"/>
        <v>7.2222222222222223</v>
      </c>
    </row>
    <row r="22" spans="2:17">
      <c r="B22" s="943">
        <v>44927</v>
      </c>
      <c r="C22" s="195">
        <f t="shared" si="0"/>
        <v>1</v>
      </c>
      <c r="D22" s="195">
        <v>45.1</v>
      </c>
      <c r="E22" s="705">
        <f t="shared" si="1"/>
        <v>7.2777777777777786</v>
      </c>
      <c r="N22" t="s">
        <v>394</v>
      </c>
      <c r="O22" s="195" t="s">
        <v>1426</v>
      </c>
      <c r="P22" s="945">
        <f>AVERAGE(P19:P20, P9:P13)</f>
        <v>6.9252112707445503</v>
      </c>
      <c r="Q22" t="s">
        <v>13</v>
      </c>
    </row>
    <row r="23" spans="2:17">
      <c r="B23" s="943">
        <v>44927</v>
      </c>
      <c r="C23" s="195">
        <f t="shared" si="0"/>
        <v>1</v>
      </c>
      <c r="D23" s="195">
        <v>45.3</v>
      </c>
      <c r="E23" s="705">
        <f t="shared" si="1"/>
        <v>7.3888888888888875</v>
      </c>
      <c r="N23" t="s">
        <v>1427</v>
      </c>
      <c r="O23" s="195" t="s">
        <v>1428</v>
      </c>
      <c r="P23" s="945">
        <f>AVERAGE(P9:P20)</f>
        <v>10.889082170509718</v>
      </c>
      <c r="Q23" t="s">
        <v>13</v>
      </c>
    </row>
    <row r="24" spans="2:17">
      <c r="B24" s="943">
        <v>44927</v>
      </c>
      <c r="C24" s="195">
        <f t="shared" si="0"/>
        <v>1</v>
      </c>
      <c r="D24" s="195">
        <v>45.1</v>
      </c>
      <c r="E24" s="705">
        <f t="shared" si="1"/>
        <v>7.2777777777777786</v>
      </c>
    </row>
    <row r="25" spans="2:17">
      <c r="B25" s="943">
        <v>44927</v>
      </c>
      <c r="C25" s="195">
        <f t="shared" si="0"/>
        <v>1</v>
      </c>
      <c r="D25" s="195">
        <v>44.6</v>
      </c>
      <c r="E25" s="705">
        <f t="shared" si="1"/>
        <v>7.0000000000000009</v>
      </c>
    </row>
    <row r="26" spans="2:17">
      <c r="B26" s="943">
        <v>44927</v>
      </c>
      <c r="C26" s="195">
        <f t="shared" si="0"/>
        <v>1</v>
      </c>
      <c r="D26" s="195">
        <v>43.2</v>
      </c>
      <c r="E26" s="705">
        <f t="shared" si="1"/>
        <v>6.2222222222222232</v>
      </c>
    </row>
    <row r="27" spans="2:17">
      <c r="B27" s="943">
        <v>44927</v>
      </c>
      <c r="C27" s="195">
        <f t="shared" si="0"/>
        <v>1</v>
      </c>
      <c r="D27" s="195">
        <v>41.9</v>
      </c>
      <c r="E27" s="705">
        <f t="shared" si="1"/>
        <v>5.4999999999999991</v>
      </c>
    </row>
    <row r="28" spans="2:17">
      <c r="B28" s="943">
        <v>44927</v>
      </c>
      <c r="C28" s="195">
        <f t="shared" si="0"/>
        <v>1</v>
      </c>
      <c r="D28" s="195">
        <v>41.2</v>
      </c>
      <c r="E28" s="705">
        <f t="shared" si="1"/>
        <v>5.1111111111111125</v>
      </c>
    </row>
    <row r="29" spans="2:17">
      <c r="B29" s="943">
        <v>44927</v>
      </c>
      <c r="C29" s="195">
        <f t="shared" si="0"/>
        <v>1</v>
      </c>
      <c r="D29" s="195">
        <v>40.6</v>
      </c>
      <c r="E29" s="705">
        <f t="shared" si="1"/>
        <v>4.7777777777777786</v>
      </c>
    </row>
    <row r="30" spans="2:17">
      <c r="B30" s="943">
        <v>44927</v>
      </c>
      <c r="C30" s="195">
        <f t="shared" si="0"/>
        <v>1</v>
      </c>
      <c r="D30" s="195" t="s">
        <v>1429</v>
      </c>
      <c r="E30" s="705">
        <f t="shared" si="1"/>
        <v>5</v>
      </c>
    </row>
    <row r="31" spans="2:17">
      <c r="B31" s="943">
        <v>44927</v>
      </c>
      <c r="C31" s="195">
        <f t="shared" si="0"/>
        <v>1</v>
      </c>
      <c r="D31" s="195">
        <v>42.3</v>
      </c>
      <c r="E31" s="705">
        <f t="shared" si="1"/>
        <v>5.7222222222222205</v>
      </c>
    </row>
    <row r="32" spans="2:17">
      <c r="B32" s="943">
        <v>44927</v>
      </c>
      <c r="C32" s="195">
        <f t="shared" si="0"/>
        <v>1</v>
      </c>
      <c r="D32" s="195">
        <v>44.1</v>
      </c>
      <c r="E32" s="705">
        <f t="shared" si="1"/>
        <v>6.7222222222222232</v>
      </c>
    </row>
    <row r="33" spans="2:7">
      <c r="B33" s="943">
        <v>44928</v>
      </c>
      <c r="C33" s="195">
        <f t="shared" si="0"/>
        <v>1</v>
      </c>
      <c r="D33" s="195">
        <v>44.4</v>
      </c>
      <c r="E33" s="705">
        <f t="shared" si="1"/>
        <v>6.8888888888888875</v>
      </c>
    </row>
    <row r="34" spans="2:7">
      <c r="B34" s="943">
        <v>44928</v>
      </c>
      <c r="C34" s="195">
        <f t="shared" si="0"/>
        <v>1</v>
      </c>
      <c r="D34" s="195">
        <v>44.6</v>
      </c>
      <c r="E34" s="705">
        <f t="shared" si="1"/>
        <v>7.0000000000000009</v>
      </c>
    </row>
    <row r="35" spans="2:7">
      <c r="B35" s="943">
        <v>44928</v>
      </c>
      <c r="C35" s="195">
        <f t="shared" si="0"/>
        <v>1</v>
      </c>
      <c r="D35" s="195" t="s">
        <v>1425</v>
      </c>
      <c r="E35" s="705">
        <f t="shared" si="1"/>
        <v>7.2222222222222223</v>
      </c>
      <c r="G35" s="593"/>
    </row>
    <row r="36" spans="2:7">
      <c r="B36" s="943">
        <v>44928</v>
      </c>
      <c r="C36" s="195">
        <f t="shared" si="0"/>
        <v>1</v>
      </c>
      <c r="D36" s="195">
        <v>44.6</v>
      </c>
      <c r="E36" s="705">
        <f t="shared" si="1"/>
        <v>7.0000000000000009</v>
      </c>
    </row>
    <row r="37" spans="2:7">
      <c r="B37" s="943">
        <v>44928</v>
      </c>
      <c r="C37" s="195">
        <f t="shared" si="0"/>
        <v>1</v>
      </c>
      <c r="D37" s="195">
        <v>44.4</v>
      </c>
      <c r="E37" s="705">
        <f t="shared" si="1"/>
        <v>6.8888888888888875</v>
      </c>
    </row>
    <row r="38" spans="2:7">
      <c r="B38" s="943">
        <v>44928</v>
      </c>
      <c r="C38" s="195">
        <f t="shared" si="0"/>
        <v>1</v>
      </c>
      <c r="D38" s="195">
        <v>43.5</v>
      </c>
      <c r="E38" s="705">
        <f t="shared" si="1"/>
        <v>6.3888888888888884</v>
      </c>
    </row>
    <row r="39" spans="2:7">
      <c r="B39" s="943">
        <v>44928</v>
      </c>
      <c r="C39" s="195">
        <f t="shared" si="0"/>
        <v>1</v>
      </c>
      <c r="D39" s="195">
        <v>42.1</v>
      </c>
      <c r="E39" s="705">
        <f t="shared" si="1"/>
        <v>5.6111111111111116</v>
      </c>
    </row>
    <row r="40" spans="2:7">
      <c r="B40" s="943">
        <v>44928</v>
      </c>
      <c r="C40" s="195">
        <f t="shared" si="0"/>
        <v>1</v>
      </c>
      <c r="D40" s="195">
        <v>41.2</v>
      </c>
      <c r="E40" s="705">
        <f t="shared" si="1"/>
        <v>5.1111111111111125</v>
      </c>
    </row>
    <row r="41" spans="2:7">
      <c r="B41" s="943">
        <v>44928</v>
      </c>
      <c r="C41" s="195">
        <f t="shared" si="0"/>
        <v>1</v>
      </c>
      <c r="D41" s="195">
        <v>40.799999999999997</v>
      </c>
      <c r="E41" s="705">
        <f t="shared" si="1"/>
        <v>4.8888888888888875</v>
      </c>
    </row>
    <row r="42" spans="2:7">
      <c r="B42" s="943">
        <v>44928</v>
      </c>
      <c r="C42" s="195">
        <f t="shared" si="0"/>
        <v>1</v>
      </c>
      <c r="D42" s="195" t="s">
        <v>1429</v>
      </c>
      <c r="E42" s="705">
        <f t="shared" si="1"/>
        <v>5</v>
      </c>
    </row>
    <row r="43" spans="2:7">
      <c r="B43" s="943">
        <v>44928</v>
      </c>
      <c r="C43" s="195">
        <f t="shared" si="0"/>
        <v>1</v>
      </c>
      <c r="D43" s="195">
        <v>42.6</v>
      </c>
      <c r="E43" s="705">
        <f t="shared" si="1"/>
        <v>5.8888888888888893</v>
      </c>
    </row>
    <row r="44" spans="2:7">
      <c r="B44" s="943">
        <v>44928</v>
      </c>
      <c r="C44" s="195">
        <f t="shared" si="0"/>
        <v>1</v>
      </c>
      <c r="D44" s="195">
        <v>43.3</v>
      </c>
      <c r="E44" s="705">
        <f t="shared" si="1"/>
        <v>6.2777777777777759</v>
      </c>
    </row>
    <row r="45" spans="2:7">
      <c r="B45" s="943">
        <v>44928</v>
      </c>
      <c r="C45" s="195">
        <f t="shared" si="0"/>
        <v>1</v>
      </c>
      <c r="D45" s="195">
        <v>43.9</v>
      </c>
      <c r="E45" s="705">
        <f t="shared" si="1"/>
        <v>6.6111111111111098</v>
      </c>
    </row>
    <row r="46" spans="2:7">
      <c r="B46" s="943">
        <v>44928</v>
      </c>
      <c r="C46" s="195">
        <f t="shared" si="0"/>
        <v>1</v>
      </c>
      <c r="D46" s="195">
        <v>44.2</v>
      </c>
      <c r="E46" s="705">
        <f t="shared" si="1"/>
        <v>6.7777777777777795</v>
      </c>
    </row>
    <row r="47" spans="2:7">
      <c r="B47" s="943">
        <v>44928</v>
      </c>
      <c r="C47" s="195">
        <f t="shared" si="0"/>
        <v>1</v>
      </c>
      <c r="D47" s="195">
        <v>44.4</v>
      </c>
      <c r="E47" s="705">
        <f t="shared" si="1"/>
        <v>6.8888888888888875</v>
      </c>
    </row>
    <row r="48" spans="2:7">
      <c r="B48" s="943">
        <v>44928</v>
      </c>
      <c r="C48" s="195">
        <f t="shared" si="0"/>
        <v>1</v>
      </c>
      <c r="D48" s="195">
        <v>44.2</v>
      </c>
      <c r="E48" s="705">
        <f t="shared" si="1"/>
        <v>6.7777777777777795</v>
      </c>
    </row>
    <row r="49" spans="2:5">
      <c r="B49" s="943">
        <v>44928</v>
      </c>
      <c r="C49" s="195">
        <f t="shared" si="0"/>
        <v>1</v>
      </c>
      <c r="D49" s="195">
        <v>44.4</v>
      </c>
      <c r="E49" s="705">
        <f t="shared" si="1"/>
        <v>6.8888888888888875</v>
      </c>
    </row>
    <row r="50" spans="2:5">
      <c r="B50" s="943">
        <v>44928</v>
      </c>
      <c r="C50" s="195">
        <f t="shared" si="0"/>
        <v>1</v>
      </c>
      <c r="D50" s="195">
        <v>43.9</v>
      </c>
      <c r="E50" s="705">
        <f t="shared" si="1"/>
        <v>6.6111111111111098</v>
      </c>
    </row>
    <row r="51" spans="2:5">
      <c r="B51" s="943">
        <v>44928</v>
      </c>
      <c r="C51" s="195">
        <f t="shared" si="0"/>
        <v>1</v>
      </c>
      <c r="D51" s="195">
        <v>42.8</v>
      </c>
      <c r="E51" s="705">
        <f t="shared" si="1"/>
        <v>5.9999999999999982</v>
      </c>
    </row>
    <row r="52" spans="2:5">
      <c r="B52" s="943">
        <v>44928</v>
      </c>
      <c r="C52" s="195">
        <f t="shared" si="0"/>
        <v>1</v>
      </c>
      <c r="D52" s="195">
        <v>41.9</v>
      </c>
      <c r="E52" s="705">
        <f t="shared" si="1"/>
        <v>5.4999999999999991</v>
      </c>
    </row>
    <row r="53" spans="2:5">
      <c r="B53" s="943">
        <v>44928</v>
      </c>
      <c r="C53" s="195">
        <f t="shared" si="0"/>
        <v>1</v>
      </c>
      <c r="D53" s="195">
        <v>41.2</v>
      </c>
      <c r="E53" s="705">
        <f t="shared" si="1"/>
        <v>5.1111111111111125</v>
      </c>
    </row>
    <row r="54" spans="2:5">
      <c r="B54" s="943">
        <v>44928</v>
      </c>
      <c r="C54" s="195">
        <f t="shared" si="0"/>
        <v>1</v>
      </c>
      <c r="D54" s="195">
        <v>40.799999999999997</v>
      </c>
      <c r="E54" s="705">
        <f t="shared" si="1"/>
        <v>4.8888888888888875</v>
      </c>
    </row>
    <row r="55" spans="2:5">
      <c r="B55" s="943">
        <v>44928</v>
      </c>
      <c r="C55" s="195">
        <f t="shared" si="0"/>
        <v>1</v>
      </c>
      <c r="D55" s="195">
        <v>41.2</v>
      </c>
      <c r="E55" s="705">
        <f t="shared" si="1"/>
        <v>5.1111111111111125</v>
      </c>
    </row>
    <row r="56" spans="2:5">
      <c r="B56" s="943">
        <v>44928</v>
      </c>
      <c r="C56" s="195">
        <f t="shared" si="0"/>
        <v>1</v>
      </c>
      <c r="D56" s="195">
        <v>42.4</v>
      </c>
      <c r="E56" s="705">
        <f t="shared" si="1"/>
        <v>5.7777777777777768</v>
      </c>
    </row>
    <row r="57" spans="2:5">
      <c r="B57" s="943">
        <v>44929</v>
      </c>
      <c r="C57" s="195">
        <f t="shared" si="0"/>
        <v>1</v>
      </c>
      <c r="D57" s="195" t="s">
        <v>1430</v>
      </c>
      <c r="E57" s="705">
        <f t="shared" si="1"/>
        <v>6.1111111111111107</v>
      </c>
    </row>
    <row r="58" spans="2:5">
      <c r="B58" s="943">
        <v>44929</v>
      </c>
      <c r="C58" s="195">
        <f t="shared" si="0"/>
        <v>1</v>
      </c>
      <c r="D58" s="195">
        <v>43.7</v>
      </c>
      <c r="E58" s="705">
        <f t="shared" si="1"/>
        <v>6.5000000000000018</v>
      </c>
    </row>
    <row r="59" spans="2:5">
      <c r="B59" s="943">
        <v>44929</v>
      </c>
      <c r="C59" s="195">
        <f t="shared" si="0"/>
        <v>1</v>
      </c>
      <c r="D59" s="195">
        <v>44.1</v>
      </c>
      <c r="E59" s="705">
        <f t="shared" si="1"/>
        <v>6.7222222222222232</v>
      </c>
    </row>
    <row r="60" spans="2:5">
      <c r="B60" s="943">
        <v>44929</v>
      </c>
      <c r="C60" s="195">
        <f t="shared" si="0"/>
        <v>1</v>
      </c>
      <c r="D60" s="195">
        <v>44.4</v>
      </c>
      <c r="E60" s="705">
        <f t="shared" si="1"/>
        <v>6.8888888888888875</v>
      </c>
    </row>
    <row r="61" spans="2:5">
      <c r="B61" s="943">
        <v>44929</v>
      </c>
      <c r="C61" s="195">
        <f t="shared" si="0"/>
        <v>1</v>
      </c>
      <c r="D61" s="195">
        <v>43.9</v>
      </c>
      <c r="E61" s="705">
        <f t="shared" si="1"/>
        <v>6.6111111111111098</v>
      </c>
    </row>
    <row r="62" spans="2:5">
      <c r="B62" s="943">
        <v>44929</v>
      </c>
      <c r="C62" s="195">
        <f t="shared" si="0"/>
        <v>1</v>
      </c>
      <c r="D62" s="195">
        <v>43.7</v>
      </c>
      <c r="E62" s="705">
        <f t="shared" si="1"/>
        <v>6.5000000000000018</v>
      </c>
    </row>
    <row r="63" spans="2:5">
      <c r="B63" s="943">
        <v>44929</v>
      </c>
      <c r="C63" s="195">
        <f t="shared" si="0"/>
        <v>1</v>
      </c>
      <c r="D63" s="195">
        <v>43.2</v>
      </c>
      <c r="E63" s="705">
        <f t="shared" si="1"/>
        <v>6.2222222222222232</v>
      </c>
    </row>
    <row r="64" spans="2:5">
      <c r="B64" s="943">
        <v>44929</v>
      </c>
      <c r="C64" s="195">
        <f t="shared" si="0"/>
        <v>1</v>
      </c>
      <c r="D64" s="195">
        <v>41.9</v>
      </c>
      <c r="E64" s="705">
        <f t="shared" si="1"/>
        <v>5.4999999999999991</v>
      </c>
    </row>
    <row r="65" spans="2:5">
      <c r="B65" s="943">
        <v>44929</v>
      </c>
      <c r="C65" s="195">
        <f t="shared" si="0"/>
        <v>1</v>
      </c>
      <c r="D65" s="195">
        <v>41.2</v>
      </c>
      <c r="E65" s="705">
        <f t="shared" si="1"/>
        <v>5.1111111111111125</v>
      </c>
    </row>
    <row r="66" spans="2:5">
      <c r="B66" s="943">
        <v>44929</v>
      </c>
      <c r="C66" s="195">
        <f t="shared" si="0"/>
        <v>1</v>
      </c>
      <c r="D66" s="195">
        <v>40.799999999999997</v>
      </c>
      <c r="E66" s="705">
        <f t="shared" si="1"/>
        <v>4.8888888888888875</v>
      </c>
    </row>
    <row r="67" spans="2:5">
      <c r="B67" s="943">
        <v>44929</v>
      </c>
      <c r="C67" s="195">
        <f t="shared" si="0"/>
        <v>1</v>
      </c>
      <c r="D67" s="195" t="s">
        <v>1429</v>
      </c>
      <c r="E67" s="705">
        <f t="shared" si="1"/>
        <v>5</v>
      </c>
    </row>
    <row r="68" spans="2:5">
      <c r="B68" s="943">
        <v>44929</v>
      </c>
      <c r="C68" s="195">
        <f t="shared" si="0"/>
        <v>1</v>
      </c>
      <c r="D68" s="195">
        <v>42.4</v>
      </c>
      <c r="E68" s="705">
        <f t="shared" si="1"/>
        <v>5.7777777777777768</v>
      </c>
    </row>
    <row r="69" spans="2:5">
      <c r="B69" s="943">
        <v>44929</v>
      </c>
      <c r="C69" s="195">
        <f t="shared" si="0"/>
        <v>1</v>
      </c>
      <c r="D69" s="195">
        <v>43.2</v>
      </c>
      <c r="E69" s="705">
        <f t="shared" si="1"/>
        <v>6.2222222222222232</v>
      </c>
    </row>
    <row r="70" spans="2:5">
      <c r="B70" s="943">
        <v>44929</v>
      </c>
      <c r="C70" s="195">
        <f t="shared" si="0"/>
        <v>1</v>
      </c>
      <c r="D70" s="195">
        <v>43.7</v>
      </c>
      <c r="E70" s="705">
        <f t="shared" si="1"/>
        <v>6.5000000000000018</v>
      </c>
    </row>
    <row r="71" spans="2:5">
      <c r="B71" s="943">
        <v>44929</v>
      </c>
      <c r="C71" s="195">
        <f t="shared" si="0"/>
        <v>1</v>
      </c>
      <c r="D71" s="195">
        <v>44.4</v>
      </c>
      <c r="E71" s="705">
        <f t="shared" si="1"/>
        <v>6.8888888888888875</v>
      </c>
    </row>
    <row r="72" spans="2:5">
      <c r="B72" s="943">
        <v>44929</v>
      </c>
      <c r="C72" s="195">
        <f t="shared" si="0"/>
        <v>1</v>
      </c>
      <c r="D72" s="195">
        <v>44.8</v>
      </c>
      <c r="E72" s="705">
        <f t="shared" si="1"/>
        <v>7.1111111111111089</v>
      </c>
    </row>
    <row r="73" spans="2:5">
      <c r="B73" s="943">
        <v>44929</v>
      </c>
      <c r="C73" s="195">
        <f t="shared" si="0"/>
        <v>1</v>
      </c>
      <c r="D73" s="195">
        <v>44.6</v>
      </c>
      <c r="E73" s="705">
        <f t="shared" si="1"/>
        <v>7.0000000000000009</v>
      </c>
    </row>
    <row r="74" spans="2:5">
      <c r="B74" s="943">
        <v>44929</v>
      </c>
      <c r="C74" s="195">
        <f t="shared" ref="C74:C137" si="3">MONTH(B74)</f>
        <v>1</v>
      </c>
      <c r="D74" s="195">
        <v>44.6</v>
      </c>
      <c r="E74" s="705">
        <f t="shared" ref="E74:E137" si="4">CONVERT(D74,"F","C")</f>
        <v>7.0000000000000009</v>
      </c>
    </row>
    <row r="75" spans="2:5">
      <c r="B75" s="943">
        <v>44929</v>
      </c>
      <c r="C75" s="195">
        <f t="shared" si="3"/>
        <v>1</v>
      </c>
      <c r="D75" s="195">
        <v>43.9</v>
      </c>
      <c r="E75" s="705">
        <f t="shared" si="4"/>
        <v>6.6111111111111098</v>
      </c>
    </row>
    <row r="76" spans="2:5">
      <c r="B76" s="943">
        <v>44929</v>
      </c>
      <c r="C76" s="195">
        <f t="shared" si="3"/>
        <v>1</v>
      </c>
      <c r="D76" s="195">
        <v>42.4</v>
      </c>
      <c r="E76" s="705">
        <f t="shared" si="4"/>
        <v>5.7777777777777768</v>
      </c>
    </row>
    <row r="77" spans="2:5">
      <c r="B77" s="943">
        <v>44929</v>
      </c>
      <c r="C77" s="195">
        <f t="shared" si="3"/>
        <v>1</v>
      </c>
      <c r="D77" s="195">
        <v>41.5</v>
      </c>
      <c r="E77" s="705">
        <f t="shared" si="4"/>
        <v>5.2777777777777777</v>
      </c>
    </row>
    <row r="78" spans="2:5">
      <c r="B78" s="943">
        <v>44929</v>
      </c>
      <c r="C78" s="195">
        <f t="shared" si="3"/>
        <v>1</v>
      </c>
      <c r="D78" s="195" t="s">
        <v>1429</v>
      </c>
      <c r="E78" s="705">
        <f t="shared" si="4"/>
        <v>5</v>
      </c>
    </row>
    <row r="79" spans="2:5">
      <c r="B79" s="943">
        <v>44929</v>
      </c>
      <c r="C79" s="195">
        <f t="shared" si="3"/>
        <v>1</v>
      </c>
      <c r="D79" s="195">
        <v>40.6</v>
      </c>
      <c r="E79" s="705">
        <f t="shared" si="4"/>
        <v>4.7777777777777786</v>
      </c>
    </row>
    <row r="80" spans="2:5">
      <c r="B80" s="943">
        <v>44929</v>
      </c>
      <c r="C80" s="195">
        <f t="shared" si="3"/>
        <v>1</v>
      </c>
      <c r="D80" s="195">
        <v>41.2</v>
      </c>
      <c r="E80" s="705">
        <f t="shared" si="4"/>
        <v>5.1111111111111125</v>
      </c>
    </row>
    <row r="81" spans="2:5">
      <c r="B81" s="943">
        <v>44930</v>
      </c>
      <c r="C81" s="195">
        <f t="shared" si="3"/>
        <v>1</v>
      </c>
      <c r="D81" s="195">
        <v>42.4</v>
      </c>
      <c r="E81" s="705">
        <f t="shared" si="4"/>
        <v>5.7777777777777768</v>
      </c>
    </row>
    <row r="82" spans="2:5">
      <c r="B82" s="943">
        <v>44930</v>
      </c>
      <c r="C82" s="195">
        <f t="shared" si="3"/>
        <v>1</v>
      </c>
      <c r="D82" s="195">
        <v>43.3</v>
      </c>
      <c r="E82" s="705">
        <f t="shared" si="4"/>
        <v>6.2777777777777759</v>
      </c>
    </row>
    <row r="83" spans="2:5">
      <c r="B83" s="943">
        <v>44930</v>
      </c>
      <c r="C83" s="195">
        <f t="shared" si="3"/>
        <v>1</v>
      </c>
      <c r="D83" s="195">
        <v>44.2</v>
      </c>
      <c r="E83" s="705">
        <f t="shared" si="4"/>
        <v>6.7777777777777795</v>
      </c>
    </row>
    <row r="84" spans="2:5">
      <c r="B84" s="943">
        <v>44930</v>
      </c>
      <c r="C84" s="195">
        <f t="shared" si="3"/>
        <v>1</v>
      </c>
      <c r="D84" s="195">
        <v>44.6</v>
      </c>
      <c r="E84" s="705">
        <f t="shared" si="4"/>
        <v>7.0000000000000009</v>
      </c>
    </row>
    <row r="85" spans="2:5">
      <c r="B85" s="943">
        <v>44930</v>
      </c>
      <c r="C85" s="195">
        <f t="shared" si="3"/>
        <v>1</v>
      </c>
      <c r="D85" s="195">
        <v>45.1</v>
      </c>
      <c r="E85" s="705">
        <f t="shared" si="4"/>
        <v>7.2777777777777786</v>
      </c>
    </row>
    <row r="86" spans="2:5">
      <c r="B86" s="943">
        <v>44930</v>
      </c>
      <c r="C86" s="195">
        <f t="shared" si="3"/>
        <v>1</v>
      </c>
      <c r="D86" s="195">
        <v>44.4</v>
      </c>
      <c r="E86" s="705">
        <f t="shared" si="4"/>
        <v>6.8888888888888875</v>
      </c>
    </row>
    <row r="87" spans="2:5">
      <c r="B87" s="943">
        <v>44930</v>
      </c>
      <c r="C87" s="195">
        <f t="shared" si="3"/>
        <v>1</v>
      </c>
      <c r="D87" s="195">
        <v>44.1</v>
      </c>
      <c r="E87" s="705">
        <f t="shared" si="4"/>
        <v>6.7222222222222232</v>
      </c>
    </row>
    <row r="88" spans="2:5">
      <c r="B88" s="943">
        <v>44930</v>
      </c>
      <c r="C88" s="195">
        <f t="shared" si="3"/>
        <v>1</v>
      </c>
      <c r="D88" s="195">
        <v>43.2</v>
      </c>
      <c r="E88" s="705">
        <f t="shared" si="4"/>
        <v>6.2222222222222232</v>
      </c>
    </row>
    <row r="89" spans="2:5">
      <c r="B89" s="943">
        <v>44930</v>
      </c>
      <c r="C89" s="195">
        <f t="shared" si="3"/>
        <v>1</v>
      </c>
      <c r="D89" s="195">
        <v>42.1</v>
      </c>
      <c r="E89" s="705">
        <f t="shared" si="4"/>
        <v>5.6111111111111116</v>
      </c>
    </row>
    <row r="90" spans="2:5">
      <c r="B90" s="943">
        <v>44930</v>
      </c>
      <c r="C90" s="195">
        <f t="shared" si="3"/>
        <v>1</v>
      </c>
      <c r="D90" s="195">
        <v>41.4</v>
      </c>
      <c r="E90" s="705">
        <f t="shared" si="4"/>
        <v>5.2222222222222214</v>
      </c>
    </row>
    <row r="91" spans="2:5">
      <c r="B91" s="943">
        <v>44930</v>
      </c>
      <c r="C91" s="195">
        <f t="shared" si="3"/>
        <v>1</v>
      </c>
      <c r="D91" s="195" t="s">
        <v>1429</v>
      </c>
      <c r="E91" s="705">
        <f t="shared" si="4"/>
        <v>5</v>
      </c>
    </row>
    <row r="92" spans="2:5">
      <c r="B92" s="943">
        <v>44930</v>
      </c>
      <c r="C92" s="195">
        <f t="shared" si="3"/>
        <v>1</v>
      </c>
      <c r="D92" s="195">
        <v>41.7</v>
      </c>
      <c r="E92" s="705">
        <f t="shared" si="4"/>
        <v>5.3888888888888902</v>
      </c>
    </row>
    <row r="93" spans="2:5">
      <c r="B93" s="943">
        <v>44930</v>
      </c>
      <c r="C93" s="195">
        <f t="shared" si="3"/>
        <v>1</v>
      </c>
      <c r="D93" s="195" t="s">
        <v>1430</v>
      </c>
      <c r="E93" s="705">
        <f t="shared" si="4"/>
        <v>6.1111111111111107</v>
      </c>
    </row>
    <row r="94" spans="2:5">
      <c r="B94" s="943">
        <v>44930</v>
      </c>
      <c r="C94" s="195">
        <f t="shared" si="3"/>
        <v>1</v>
      </c>
      <c r="D94" s="195">
        <v>43.7</v>
      </c>
      <c r="E94" s="705">
        <f t="shared" si="4"/>
        <v>6.5000000000000018</v>
      </c>
    </row>
    <row r="95" spans="2:5">
      <c r="B95" s="943">
        <v>44930</v>
      </c>
      <c r="C95" s="195">
        <f t="shared" si="3"/>
        <v>1</v>
      </c>
      <c r="D95" s="195">
        <v>44.2</v>
      </c>
      <c r="E95" s="705">
        <f t="shared" si="4"/>
        <v>6.7777777777777795</v>
      </c>
    </row>
    <row r="96" spans="2:5">
      <c r="B96" s="943">
        <v>44930</v>
      </c>
      <c r="C96" s="195">
        <f t="shared" si="3"/>
        <v>1</v>
      </c>
      <c r="D96" s="195">
        <v>44.8</v>
      </c>
      <c r="E96" s="705">
        <f t="shared" si="4"/>
        <v>7.1111111111111089</v>
      </c>
    </row>
    <row r="97" spans="2:5">
      <c r="B97" s="943">
        <v>44930</v>
      </c>
      <c r="C97" s="195">
        <f t="shared" si="3"/>
        <v>1</v>
      </c>
      <c r="D97" s="195">
        <v>44.8</v>
      </c>
      <c r="E97" s="705">
        <f t="shared" si="4"/>
        <v>7.1111111111111089</v>
      </c>
    </row>
    <row r="98" spans="2:5">
      <c r="B98" s="943">
        <v>44930</v>
      </c>
      <c r="C98" s="195">
        <f t="shared" si="3"/>
        <v>1</v>
      </c>
      <c r="D98" s="195">
        <v>44.8</v>
      </c>
      <c r="E98" s="705">
        <f t="shared" si="4"/>
        <v>7.1111111111111089</v>
      </c>
    </row>
    <row r="99" spans="2:5">
      <c r="B99" s="943">
        <v>44930</v>
      </c>
      <c r="C99" s="195">
        <f t="shared" si="3"/>
        <v>1</v>
      </c>
      <c r="D99" s="195">
        <v>44.4</v>
      </c>
      <c r="E99" s="705">
        <f t="shared" si="4"/>
        <v>6.8888888888888875</v>
      </c>
    </row>
    <row r="100" spans="2:5">
      <c r="B100" s="943">
        <v>44930</v>
      </c>
      <c r="C100" s="195">
        <f t="shared" si="3"/>
        <v>1</v>
      </c>
      <c r="D100" s="195">
        <v>43.7</v>
      </c>
      <c r="E100" s="705">
        <f t="shared" si="4"/>
        <v>6.5000000000000018</v>
      </c>
    </row>
    <row r="101" spans="2:5">
      <c r="B101" s="943">
        <v>44930</v>
      </c>
      <c r="C101" s="195">
        <f t="shared" si="3"/>
        <v>1</v>
      </c>
      <c r="D101" s="195">
        <v>42.6</v>
      </c>
      <c r="E101" s="705">
        <f t="shared" si="4"/>
        <v>5.8888888888888893</v>
      </c>
    </row>
    <row r="102" spans="2:5">
      <c r="B102" s="943">
        <v>44930</v>
      </c>
      <c r="C102" s="195">
        <f t="shared" si="3"/>
        <v>1</v>
      </c>
      <c r="D102" s="195">
        <v>41.9</v>
      </c>
      <c r="E102" s="705">
        <f t="shared" si="4"/>
        <v>5.4999999999999991</v>
      </c>
    </row>
    <row r="103" spans="2:5">
      <c r="B103" s="943">
        <v>44930</v>
      </c>
      <c r="C103" s="195">
        <f t="shared" si="3"/>
        <v>1</v>
      </c>
      <c r="D103" s="195">
        <v>41.2</v>
      </c>
      <c r="E103" s="705">
        <f t="shared" si="4"/>
        <v>5.1111111111111125</v>
      </c>
    </row>
    <row r="104" spans="2:5">
      <c r="B104" s="943">
        <v>44930</v>
      </c>
      <c r="C104" s="195">
        <f t="shared" si="3"/>
        <v>1</v>
      </c>
      <c r="D104" s="195" t="s">
        <v>1429</v>
      </c>
      <c r="E104" s="705">
        <f t="shared" si="4"/>
        <v>5</v>
      </c>
    </row>
    <row r="105" spans="2:5">
      <c r="B105" s="943">
        <v>44931</v>
      </c>
      <c r="C105" s="195">
        <f t="shared" si="3"/>
        <v>1</v>
      </c>
      <c r="D105" s="195">
        <v>41.4</v>
      </c>
      <c r="E105" s="705">
        <f t="shared" si="4"/>
        <v>5.2222222222222214</v>
      </c>
    </row>
    <row r="106" spans="2:5">
      <c r="B106" s="943">
        <v>44931</v>
      </c>
      <c r="C106" s="195">
        <f t="shared" si="3"/>
        <v>1</v>
      </c>
      <c r="D106" s="195" t="s">
        <v>1430</v>
      </c>
      <c r="E106" s="705">
        <f t="shared" si="4"/>
        <v>6.1111111111111107</v>
      </c>
    </row>
    <row r="107" spans="2:5">
      <c r="B107" s="943">
        <v>44931</v>
      </c>
      <c r="C107" s="195">
        <f t="shared" si="3"/>
        <v>1</v>
      </c>
      <c r="D107" s="195">
        <v>43.3</v>
      </c>
      <c r="E107" s="705">
        <f t="shared" si="4"/>
        <v>6.2777777777777759</v>
      </c>
    </row>
    <row r="108" spans="2:5">
      <c r="B108" s="943">
        <v>44931</v>
      </c>
      <c r="C108" s="195">
        <f t="shared" si="3"/>
        <v>1</v>
      </c>
      <c r="D108" s="195">
        <v>44.1</v>
      </c>
      <c r="E108" s="705">
        <f t="shared" si="4"/>
        <v>6.7222222222222232</v>
      </c>
    </row>
    <row r="109" spans="2:5">
      <c r="B109" s="943">
        <v>44931</v>
      </c>
      <c r="C109" s="195">
        <f t="shared" si="3"/>
        <v>1</v>
      </c>
      <c r="D109" s="195">
        <v>44.6</v>
      </c>
      <c r="E109" s="705">
        <f t="shared" si="4"/>
        <v>7.0000000000000009</v>
      </c>
    </row>
    <row r="110" spans="2:5">
      <c r="B110" s="943">
        <v>44931</v>
      </c>
      <c r="C110" s="195">
        <f t="shared" si="3"/>
        <v>1</v>
      </c>
      <c r="D110" s="195">
        <v>44.8</v>
      </c>
      <c r="E110" s="705">
        <f t="shared" si="4"/>
        <v>7.1111111111111089</v>
      </c>
    </row>
    <row r="111" spans="2:5">
      <c r="B111" s="943">
        <v>44931</v>
      </c>
      <c r="C111" s="195">
        <f t="shared" si="3"/>
        <v>1</v>
      </c>
      <c r="D111" s="195">
        <v>44.4</v>
      </c>
      <c r="E111" s="705">
        <f t="shared" si="4"/>
        <v>6.8888888888888875</v>
      </c>
    </row>
    <row r="112" spans="2:5">
      <c r="B112" s="943">
        <v>44931</v>
      </c>
      <c r="C112" s="195">
        <f t="shared" si="3"/>
        <v>1</v>
      </c>
      <c r="D112" s="195">
        <v>44.1</v>
      </c>
      <c r="E112" s="705">
        <f t="shared" si="4"/>
        <v>6.7222222222222232</v>
      </c>
    </row>
    <row r="113" spans="2:5">
      <c r="B113" s="943">
        <v>44931</v>
      </c>
      <c r="C113" s="195">
        <f t="shared" si="3"/>
        <v>1</v>
      </c>
      <c r="D113" s="195">
        <v>43.3</v>
      </c>
      <c r="E113" s="705">
        <f t="shared" si="4"/>
        <v>6.2777777777777759</v>
      </c>
    </row>
    <row r="114" spans="2:5">
      <c r="B114" s="943">
        <v>44931</v>
      </c>
      <c r="C114" s="195">
        <f t="shared" si="3"/>
        <v>1</v>
      </c>
      <c r="D114" s="195">
        <v>42.4</v>
      </c>
      <c r="E114" s="705">
        <f t="shared" si="4"/>
        <v>5.7777777777777768</v>
      </c>
    </row>
    <row r="115" spans="2:5">
      <c r="B115" s="943">
        <v>44931</v>
      </c>
      <c r="C115" s="195">
        <f t="shared" si="3"/>
        <v>1</v>
      </c>
      <c r="D115" s="195">
        <v>41.9</v>
      </c>
      <c r="E115" s="705">
        <f t="shared" si="4"/>
        <v>5.4999999999999991</v>
      </c>
    </row>
    <row r="116" spans="2:5">
      <c r="B116" s="943">
        <v>44931</v>
      </c>
      <c r="C116" s="195">
        <f t="shared" si="3"/>
        <v>1</v>
      </c>
      <c r="D116" s="195">
        <v>41.5</v>
      </c>
      <c r="E116" s="705">
        <f t="shared" si="4"/>
        <v>5.2777777777777777</v>
      </c>
    </row>
    <row r="117" spans="2:5">
      <c r="B117" s="943">
        <v>44931</v>
      </c>
      <c r="C117" s="195">
        <f t="shared" si="3"/>
        <v>1</v>
      </c>
      <c r="D117" s="195">
        <v>42.4</v>
      </c>
      <c r="E117" s="705">
        <f t="shared" si="4"/>
        <v>5.7777777777777768</v>
      </c>
    </row>
    <row r="118" spans="2:5">
      <c r="B118" s="943">
        <v>44931</v>
      </c>
      <c r="C118" s="195">
        <f t="shared" si="3"/>
        <v>1</v>
      </c>
      <c r="D118" s="195">
        <v>43.5</v>
      </c>
      <c r="E118" s="705">
        <f t="shared" si="4"/>
        <v>6.3888888888888884</v>
      </c>
    </row>
    <row r="119" spans="2:5">
      <c r="B119" s="943">
        <v>44931</v>
      </c>
      <c r="C119" s="195">
        <f t="shared" si="3"/>
        <v>1</v>
      </c>
      <c r="D119" s="195">
        <v>43.9</v>
      </c>
      <c r="E119" s="705">
        <f t="shared" si="4"/>
        <v>6.6111111111111098</v>
      </c>
    </row>
    <row r="120" spans="2:5">
      <c r="B120" s="943">
        <v>44931</v>
      </c>
      <c r="C120" s="195">
        <f t="shared" si="3"/>
        <v>1</v>
      </c>
      <c r="D120" s="195">
        <v>44.2</v>
      </c>
      <c r="E120" s="705">
        <f t="shared" si="4"/>
        <v>6.7777777777777795</v>
      </c>
    </row>
    <row r="121" spans="2:5">
      <c r="B121" s="943">
        <v>44931</v>
      </c>
      <c r="C121" s="195">
        <f t="shared" si="3"/>
        <v>1</v>
      </c>
      <c r="D121" s="195">
        <v>44.4</v>
      </c>
      <c r="E121" s="705">
        <f t="shared" si="4"/>
        <v>6.8888888888888875</v>
      </c>
    </row>
    <row r="122" spans="2:5">
      <c r="B122" s="943">
        <v>44931</v>
      </c>
      <c r="C122" s="195">
        <f t="shared" si="3"/>
        <v>1</v>
      </c>
      <c r="D122" s="195">
        <v>44.4</v>
      </c>
      <c r="E122" s="705">
        <f t="shared" si="4"/>
        <v>6.8888888888888875</v>
      </c>
    </row>
    <row r="123" spans="2:5">
      <c r="B123" s="943">
        <v>44931</v>
      </c>
      <c r="C123" s="195">
        <f t="shared" si="3"/>
        <v>1</v>
      </c>
      <c r="D123" s="195">
        <v>44.2</v>
      </c>
      <c r="E123" s="705">
        <f t="shared" si="4"/>
        <v>6.7777777777777795</v>
      </c>
    </row>
    <row r="124" spans="2:5">
      <c r="B124" s="943">
        <v>44931</v>
      </c>
      <c r="C124" s="195">
        <f t="shared" si="3"/>
        <v>1</v>
      </c>
      <c r="D124" s="195">
        <v>44.1</v>
      </c>
      <c r="E124" s="705">
        <f t="shared" si="4"/>
        <v>6.7222222222222232</v>
      </c>
    </row>
    <row r="125" spans="2:5">
      <c r="B125" s="943">
        <v>44931</v>
      </c>
      <c r="C125" s="195">
        <f t="shared" si="3"/>
        <v>1</v>
      </c>
      <c r="D125" s="195">
        <v>43.2</v>
      </c>
      <c r="E125" s="705">
        <f t="shared" si="4"/>
        <v>6.2222222222222232</v>
      </c>
    </row>
    <row r="126" spans="2:5">
      <c r="B126" s="943">
        <v>44931</v>
      </c>
      <c r="C126" s="195">
        <f t="shared" si="3"/>
        <v>1</v>
      </c>
      <c r="D126" s="195">
        <v>42.4</v>
      </c>
      <c r="E126" s="705">
        <f t="shared" si="4"/>
        <v>5.7777777777777768</v>
      </c>
    </row>
    <row r="127" spans="2:5">
      <c r="B127" s="943">
        <v>44931</v>
      </c>
      <c r="C127" s="195">
        <f t="shared" si="3"/>
        <v>1</v>
      </c>
      <c r="D127" s="195">
        <v>41.7</v>
      </c>
      <c r="E127" s="705">
        <f t="shared" si="4"/>
        <v>5.3888888888888902</v>
      </c>
    </row>
    <row r="128" spans="2:5">
      <c r="B128" s="943">
        <v>44931</v>
      </c>
      <c r="C128" s="195">
        <f t="shared" si="3"/>
        <v>1</v>
      </c>
      <c r="D128" s="195">
        <v>41.4</v>
      </c>
      <c r="E128" s="705">
        <f t="shared" si="4"/>
        <v>5.2222222222222214</v>
      </c>
    </row>
    <row r="129" spans="2:5">
      <c r="B129" s="943">
        <v>44932</v>
      </c>
      <c r="C129" s="195">
        <f t="shared" si="3"/>
        <v>1</v>
      </c>
      <c r="D129" s="195">
        <v>41.2</v>
      </c>
      <c r="E129" s="705">
        <f t="shared" si="4"/>
        <v>5.1111111111111125</v>
      </c>
    </row>
    <row r="130" spans="2:5">
      <c r="B130" s="943">
        <v>44932</v>
      </c>
      <c r="C130" s="195">
        <f t="shared" si="3"/>
        <v>1</v>
      </c>
      <c r="D130" s="195">
        <v>41.5</v>
      </c>
      <c r="E130" s="705">
        <f t="shared" si="4"/>
        <v>5.2777777777777777</v>
      </c>
    </row>
    <row r="131" spans="2:5">
      <c r="B131" s="943">
        <v>44932</v>
      </c>
      <c r="C131" s="195">
        <f t="shared" si="3"/>
        <v>1</v>
      </c>
      <c r="D131" s="195">
        <v>43.3</v>
      </c>
      <c r="E131" s="705">
        <f t="shared" si="4"/>
        <v>6.2777777777777759</v>
      </c>
    </row>
    <row r="132" spans="2:5">
      <c r="B132" s="943">
        <v>44932</v>
      </c>
      <c r="C132" s="195">
        <f t="shared" si="3"/>
        <v>1</v>
      </c>
      <c r="D132" s="195">
        <v>43.3</v>
      </c>
      <c r="E132" s="705">
        <f t="shared" si="4"/>
        <v>6.2777777777777759</v>
      </c>
    </row>
    <row r="133" spans="2:5">
      <c r="B133" s="943">
        <v>44932</v>
      </c>
      <c r="C133" s="195">
        <f t="shared" si="3"/>
        <v>1</v>
      </c>
      <c r="D133" s="195">
        <v>43.7</v>
      </c>
      <c r="E133" s="705">
        <f t="shared" si="4"/>
        <v>6.5000000000000018</v>
      </c>
    </row>
    <row r="134" spans="2:5">
      <c r="B134" s="943">
        <v>44932</v>
      </c>
      <c r="C134" s="195">
        <f t="shared" si="3"/>
        <v>1</v>
      </c>
      <c r="D134" s="195">
        <v>43.9</v>
      </c>
      <c r="E134" s="705">
        <f t="shared" si="4"/>
        <v>6.6111111111111098</v>
      </c>
    </row>
    <row r="135" spans="2:5">
      <c r="B135" s="943">
        <v>44932</v>
      </c>
      <c r="C135" s="195">
        <f t="shared" si="3"/>
        <v>1</v>
      </c>
      <c r="D135" s="195">
        <v>43.7</v>
      </c>
      <c r="E135" s="705">
        <f t="shared" si="4"/>
        <v>6.5000000000000018</v>
      </c>
    </row>
    <row r="136" spans="2:5">
      <c r="B136" s="943">
        <v>44932</v>
      </c>
      <c r="C136" s="195">
        <f t="shared" si="3"/>
        <v>1</v>
      </c>
      <c r="D136" s="195">
        <v>43.7</v>
      </c>
      <c r="E136" s="705">
        <f t="shared" si="4"/>
        <v>6.5000000000000018</v>
      </c>
    </row>
    <row r="137" spans="2:5">
      <c r="B137" s="943">
        <v>44932</v>
      </c>
      <c r="C137" s="195">
        <f t="shared" si="3"/>
        <v>1</v>
      </c>
      <c r="D137" s="195">
        <v>43.3</v>
      </c>
      <c r="E137" s="705">
        <f t="shared" si="4"/>
        <v>6.2777777777777759</v>
      </c>
    </row>
    <row r="138" spans="2:5">
      <c r="B138" s="943">
        <v>44932</v>
      </c>
      <c r="C138" s="195">
        <f t="shared" ref="C138:C201" si="5">MONTH(B138)</f>
        <v>1</v>
      </c>
      <c r="D138" s="195">
        <v>42.4</v>
      </c>
      <c r="E138" s="705">
        <f t="shared" ref="E138:E201" si="6">CONVERT(D138,"F","C")</f>
        <v>5.7777777777777768</v>
      </c>
    </row>
    <row r="139" spans="2:5">
      <c r="B139" s="943">
        <v>44932</v>
      </c>
      <c r="C139" s="195">
        <f t="shared" si="5"/>
        <v>1</v>
      </c>
      <c r="D139" s="195">
        <v>41.7</v>
      </c>
      <c r="E139" s="705">
        <f t="shared" si="6"/>
        <v>5.3888888888888902</v>
      </c>
    </row>
    <row r="140" spans="2:5">
      <c r="B140" s="943">
        <v>44932</v>
      </c>
      <c r="C140" s="195">
        <f t="shared" si="5"/>
        <v>1</v>
      </c>
      <c r="D140" s="195">
        <v>41.4</v>
      </c>
      <c r="E140" s="705">
        <f t="shared" si="6"/>
        <v>5.2222222222222214</v>
      </c>
    </row>
    <row r="141" spans="2:5">
      <c r="B141" s="943">
        <v>44932</v>
      </c>
      <c r="C141" s="195">
        <f t="shared" si="5"/>
        <v>1</v>
      </c>
      <c r="D141" s="195">
        <v>41.4</v>
      </c>
      <c r="E141" s="705">
        <f t="shared" si="6"/>
        <v>5.2222222222222214</v>
      </c>
    </row>
    <row r="142" spans="2:5">
      <c r="B142" s="943">
        <v>44932</v>
      </c>
      <c r="C142" s="195">
        <f t="shared" si="5"/>
        <v>1</v>
      </c>
      <c r="D142" s="195">
        <v>42.3</v>
      </c>
      <c r="E142" s="705">
        <f t="shared" si="6"/>
        <v>5.7222222222222205</v>
      </c>
    </row>
    <row r="143" spans="2:5">
      <c r="B143" s="943">
        <v>44932</v>
      </c>
      <c r="C143" s="195">
        <f t="shared" si="5"/>
        <v>1</v>
      </c>
      <c r="D143" s="195">
        <v>42.8</v>
      </c>
      <c r="E143" s="705">
        <f t="shared" si="6"/>
        <v>5.9999999999999982</v>
      </c>
    </row>
    <row r="144" spans="2:5">
      <c r="B144" s="943">
        <v>44932</v>
      </c>
      <c r="C144" s="195">
        <f t="shared" si="5"/>
        <v>1</v>
      </c>
      <c r="D144" s="195">
        <v>43.3</v>
      </c>
      <c r="E144" s="705">
        <f t="shared" si="6"/>
        <v>6.2777777777777759</v>
      </c>
    </row>
    <row r="145" spans="2:5">
      <c r="B145" s="943">
        <v>44932</v>
      </c>
      <c r="C145" s="195">
        <f t="shared" si="5"/>
        <v>1</v>
      </c>
      <c r="D145" s="195">
        <v>43.5</v>
      </c>
      <c r="E145" s="705">
        <f t="shared" si="6"/>
        <v>6.3888888888888884</v>
      </c>
    </row>
    <row r="146" spans="2:5">
      <c r="B146" s="943">
        <v>44932</v>
      </c>
      <c r="C146" s="195">
        <f t="shared" si="5"/>
        <v>1</v>
      </c>
      <c r="D146" s="195">
        <v>43.5</v>
      </c>
      <c r="E146" s="705">
        <f t="shared" si="6"/>
        <v>6.3888888888888884</v>
      </c>
    </row>
    <row r="147" spans="2:5">
      <c r="B147" s="943">
        <v>44932</v>
      </c>
      <c r="C147" s="195">
        <f t="shared" si="5"/>
        <v>1</v>
      </c>
      <c r="D147" s="195">
        <v>43.7</v>
      </c>
      <c r="E147" s="705">
        <f t="shared" si="6"/>
        <v>6.5000000000000018</v>
      </c>
    </row>
    <row r="148" spans="2:5">
      <c r="B148" s="943">
        <v>44932</v>
      </c>
      <c r="C148" s="195">
        <f t="shared" si="5"/>
        <v>1</v>
      </c>
      <c r="D148" s="195">
        <v>43.5</v>
      </c>
      <c r="E148" s="705">
        <f t="shared" si="6"/>
        <v>6.3888888888888884</v>
      </c>
    </row>
    <row r="149" spans="2:5">
      <c r="B149" s="943">
        <v>44932</v>
      </c>
      <c r="C149" s="195">
        <f t="shared" si="5"/>
        <v>1</v>
      </c>
      <c r="D149" s="195">
        <v>43.2</v>
      </c>
      <c r="E149" s="705">
        <f t="shared" si="6"/>
        <v>6.2222222222222232</v>
      </c>
    </row>
    <row r="150" spans="2:5">
      <c r="B150" s="943">
        <v>44932</v>
      </c>
      <c r="C150" s="195">
        <f t="shared" si="5"/>
        <v>1</v>
      </c>
      <c r="D150" s="195">
        <v>42.3</v>
      </c>
      <c r="E150" s="705">
        <f t="shared" si="6"/>
        <v>5.7222222222222205</v>
      </c>
    </row>
    <row r="151" spans="2:5">
      <c r="B151" s="943">
        <v>44932</v>
      </c>
      <c r="C151" s="195">
        <f t="shared" si="5"/>
        <v>1</v>
      </c>
      <c r="D151" s="195">
        <v>41.5</v>
      </c>
      <c r="E151" s="705">
        <f t="shared" si="6"/>
        <v>5.2777777777777777</v>
      </c>
    </row>
    <row r="152" spans="2:5">
      <c r="B152" s="943">
        <v>44932</v>
      </c>
      <c r="C152" s="195">
        <f t="shared" si="5"/>
        <v>1</v>
      </c>
      <c r="D152" s="195" t="s">
        <v>1429</v>
      </c>
      <c r="E152" s="705">
        <f t="shared" si="6"/>
        <v>5</v>
      </c>
    </row>
    <row r="153" spans="2:5">
      <c r="B153" s="943">
        <v>44933</v>
      </c>
      <c r="C153" s="195">
        <f t="shared" si="5"/>
        <v>1</v>
      </c>
      <c r="D153" s="195">
        <v>40.6</v>
      </c>
      <c r="E153" s="705">
        <f t="shared" si="6"/>
        <v>4.7777777777777786</v>
      </c>
    </row>
    <row r="154" spans="2:5">
      <c r="B154" s="943">
        <v>44933</v>
      </c>
      <c r="C154" s="195">
        <f t="shared" si="5"/>
        <v>1</v>
      </c>
      <c r="D154" s="195">
        <v>40.6</v>
      </c>
      <c r="E154" s="705">
        <f t="shared" si="6"/>
        <v>4.7777777777777786</v>
      </c>
    </row>
    <row r="155" spans="2:5">
      <c r="B155" s="943">
        <v>44933</v>
      </c>
      <c r="C155" s="195">
        <f t="shared" si="5"/>
        <v>1</v>
      </c>
      <c r="D155" s="195">
        <v>41.7</v>
      </c>
      <c r="E155" s="705">
        <f t="shared" si="6"/>
        <v>5.3888888888888902</v>
      </c>
    </row>
    <row r="156" spans="2:5">
      <c r="B156" s="943">
        <v>44933</v>
      </c>
      <c r="C156" s="195">
        <f t="shared" si="5"/>
        <v>1</v>
      </c>
      <c r="D156" s="195">
        <v>42.4</v>
      </c>
      <c r="E156" s="705">
        <f t="shared" si="6"/>
        <v>5.7777777777777768</v>
      </c>
    </row>
    <row r="157" spans="2:5">
      <c r="B157" s="943">
        <v>44933</v>
      </c>
      <c r="C157" s="195">
        <f t="shared" si="5"/>
        <v>1</v>
      </c>
      <c r="D157" s="195">
        <v>42.6</v>
      </c>
      <c r="E157" s="705">
        <f t="shared" si="6"/>
        <v>5.8888888888888893</v>
      </c>
    </row>
    <row r="158" spans="2:5">
      <c r="B158" s="943">
        <v>44933</v>
      </c>
      <c r="C158" s="195">
        <f t="shared" si="5"/>
        <v>1</v>
      </c>
      <c r="D158" s="195" t="s">
        <v>1430</v>
      </c>
      <c r="E158" s="705">
        <f t="shared" si="6"/>
        <v>6.1111111111111107</v>
      </c>
    </row>
    <row r="159" spans="2:5">
      <c r="B159" s="943">
        <v>44933</v>
      </c>
      <c r="C159" s="195">
        <f t="shared" si="5"/>
        <v>1</v>
      </c>
      <c r="D159" s="195">
        <v>43.2</v>
      </c>
      <c r="E159" s="705">
        <f t="shared" si="6"/>
        <v>6.2222222222222232</v>
      </c>
    </row>
    <row r="160" spans="2:5">
      <c r="B160" s="943">
        <v>44933</v>
      </c>
      <c r="C160" s="195">
        <f t="shared" si="5"/>
        <v>1</v>
      </c>
      <c r="D160" s="195">
        <v>42.8</v>
      </c>
      <c r="E160" s="705">
        <f t="shared" si="6"/>
        <v>5.9999999999999982</v>
      </c>
    </row>
    <row r="161" spans="2:5">
      <c r="B161" s="943">
        <v>44933</v>
      </c>
      <c r="C161" s="195">
        <f t="shared" si="5"/>
        <v>1</v>
      </c>
      <c r="D161" s="195">
        <v>42.8</v>
      </c>
      <c r="E161" s="705">
        <f t="shared" si="6"/>
        <v>5.9999999999999982</v>
      </c>
    </row>
    <row r="162" spans="2:5">
      <c r="B162" s="943">
        <v>44933</v>
      </c>
      <c r="C162" s="195">
        <f t="shared" si="5"/>
        <v>1</v>
      </c>
      <c r="D162" s="195">
        <v>42.3</v>
      </c>
      <c r="E162" s="705">
        <f t="shared" si="6"/>
        <v>5.7222222222222205</v>
      </c>
    </row>
    <row r="163" spans="2:5">
      <c r="B163" s="943">
        <v>44933</v>
      </c>
      <c r="C163" s="195">
        <f t="shared" si="5"/>
        <v>1</v>
      </c>
      <c r="D163" s="195">
        <v>41.5</v>
      </c>
      <c r="E163" s="705">
        <f t="shared" si="6"/>
        <v>5.2777777777777777</v>
      </c>
    </row>
    <row r="164" spans="2:5">
      <c r="B164" s="943">
        <v>44933</v>
      </c>
      <c r="C164" s="195">
        <f t="shared" si="5"/>
        <v>1</v>
      </c>
      <c r="D164" s="195">
        <v>40.799999999999997</v>
      </c>
      <c r="E164" s="705">
        <f t="shared" si="6"/>
        <v>4.8888888888888875</v>
      </c>
    </row>
    <row r="165" spans="2:5">
      <c r="B165" s="943">
        <v>44933</v>
      </c>
      <c r="C165" s="195">
        <f t="shared" si="5"/>
        <v>1</v>
      </c>
      <c r="D165" s="195">
        <v>40.6</v>
      </c>
      <c r="E165" s="705">
        <f t="shared" si="6"/>
        <v>4.7777777777777786</v>
      </c>
    </row>
    <row r="166" spans="2:5">
      <c r="B166" s="943">
        <v>44933</v>
      </c>
      <c r="C166" s="195">
        <f t="shared" si="5"/>
        <v>1</v>
      </c>
      <c r="D166" s="195" t="s">
        <v>1429</v>
      </c>
      <c r="E166" s="705">
        <f t="shared" si="6"/>
        <v>5</v>
      </c>
    </row>
    <row r="167" spans="2:5">
      <c r="B167" s="943">
        <v>44933</v>
      </c>
      <c r="C167" s="195">
        <f t="shared" si="5"/>
        <v>1</v>
      </c>
      <c r="D167" s="195">
        <v>41.5</v>
      </c>
      <c r="E167" s="705">
        <f t="shared" si="6"/>
        <v>5.2777777777777777</v>
      </c>
    </row>
    <row r="168" spans="2:5">
      <c r="B168" s="943">
        <v>44933</v>
      </c>
      <c r="C168" s="195">
        <f t="shared" si="5"/>
        <v>1</v>
      </c>
      <c r="D168" s="195">
        <v>42.3</v>
      </c>
      <c r="E168" s="705">
        <f t="shared" si="6"/>
        <v>5.7222222222222205</v>
      </c>
    </row>
    <row r="169" spans="2:5">
      <c r="B169" s="943">
        <v>44933</v>
      </c>
      <c r="C169" s="195">
        <f t="shared" si="5"/>
        <v>1</v>
      </c>
      <c r="D169" s="195">
        <v>42.6</v>
      </c>
      <c r="E169" s="705">
        <f t="shared" si="6"/>
        <v>5.8888888888888893</v>
      </c>
    </row>
    <row r="170" spans="2:5">
      <c r="B170" s="943">
        <v>44933</v>
      </c>
      <c r="C170" s="195">
        <f t="shared" si="5"/>
        <v>1</v>
      </c>
      <c r="D170" s="195" t="s">
        <v>1430</v>
      </c>
      <c r="E170" s="705">
        <f t="shared" si="6"/>
        <v>6.1111111111111107</v>
      </c>
    </row>
    <row r="171" spans="2:5">
      <c r="B171" s="943">
        <v>44933</v>
      </c>
      <c r="C171" s="195">
        <f t="shared" si="5"/>
        <v>1</v>
      </c>
      <c r="D171" s="195" t="s">
        <v>1430</v>
      </c>
      <c r="E171" s="705">
        <f t="shared" si="6"/>
        <v>6.1111111111111107</v>
      </c>
    </row>
    <row r="172" spans="2:5">
      <c r="B172" s="943">
        <v>44933</v>
      </c>
      <c r="C172" s="195">
        <f t="shared" si="5"/>
        <v>1</v>
      </c>
      <c r="D172" s="195" t="s">
        <v>1430</v>
      </c>
      <c r="E172" s="705">
        <f t="shared" si="6"/>
        <v>6.1111111111111107</v>
      </c>
    </row>
    <row r="173" spans="2:5">
      <c r="B173" s="943">
        <v>44933</v>
      </c>
      <c r="C173" s="195">
        <f t="shared" si="5"/>
        <v>1</v>
      </c>
      <c r="D173" s="195" t="s">
        <v>1430</v>
      </c>
      <c r="E173" s="705">
        <f t="shared" si="6"/>
        <v>6.1111111111111107</v>
      </c>
    </row>
    <row r="174" spans="2:5">
      <c r="B174" s="943">
        <v>44933</v>
      </c>
      <c r="C174" s="195">
        <f t="shared" si="5"/>
        <v>1</v>
      </c>
      <c r="D174" s="195">
        <v>42.4</v>
      </c>
      <c r="E174" s="705">
        <f t="shared" si="6"/>
        <v>5.7777777777777768</v>
      </c>
    </row>
    <row r="175" spans="2:5">
      <c r="B175" s="943">
        <v>44933</v>
      </c>
      <c r="C175" s="195">
        <f t="shared" si="5"/>
        <v>1</v>
      </c>
      <c r="D175" s="195">
        <v>41.7</v>
      </c>
      <c r="E175" s="705">
        <f t="shared" si="6"/>
        <v>5.3888888888888902</v>
      </c>
    </row>
    <row r="176" spans="2:5">
      <c r="B176" s="943">
        <v>44933</v>
      </c>
      <c r="C176" s="195">
        <f t="shared" si="5"/>
        <v>1</v>
      </c>
      <c r="D176" s="195">
        <v>41.2</v>
      </c>
      <c r="E176" s="705">
        <f t="shared" si="6"/>
        <v>5.1111111111111125</v>
      </c>
    </row>
    <row r="177" spans="2:5">
      <c r="B177" s="943">
        <v>44934</v>
      </c>
      <c r="C177" s="195">
        <f t="shared" si="5"/>
        <v>1</v>
      </c>
      <c r="D177" s="195">
        <v>40.6</v>
      </c>
      <c r="E177" s="705">
        <f t="shared" si="6"/>
        <v>4.7777777777777786</v>
      </c>
    </row>
    <row r="178" spans="2:5">
      <c r="B178" s="943">
        <v>44934</v>
      </c>
      <c r="C178" s="195">
        <f t="shared" si="5"/>
        <v>1</v>
      </c>
      <c r="D178" s="195">
        <v>40.5</v>
      </c>
      <c r="E178" s="705">
        <f t="shared" si="6"/>
        <v>4.7222222222222223</v>
      </c>
    </row>
    <row r="179" spans="2:5">
      <c r="B179" s="943">
        <v>44934</v>
      </c>
      <c r="C179" s="195">
        <f t="shared" si="5"/>
        <v>1</v>
      </c>
      <c r="D179" s="195">
        <v>40.799999999999997</v>
      </c>
      <c r="E179" s="705">
        <f t="shared" si="6"/>
        <v>4.8888888888888875</v>
      </c>
    </row>
    <row r="180" spans="2:5">
      <c r="B180" s="943">
        <v>44934</v>
      </c>
      <c r="C180" s="195">
        <f t="shared" si="5"/>
        <v>1</v>
      </c>
      <c r="D180" s="195">
        <v>41.9</v>
      </c>
      <c r="E180" s="705">
        <f t="shared" si="6"/>
        <v>5.4999999999999991</v>
      </c>
    </row>
    <row r="181" spans="2:5">
      <c r="B181" s="943">
        <v>44934</v>
      </c>
      <c r="C181" s="195">
        <f t="shared" si="5"/>
        <v>1</v>
      </c>
      <c r="D181" s="195">
        <v>42.1</v>
      </c>
      <c r="E181" s="705">
        <f t="shared" si="6"/>
        <v>5.6111111111111116</v>
      </c>
    </row>
    <row r="182" spans="2:5">
      <c r="B182" s="943">
        <v>44934</v>
      </c>
      <c r="C182" s="195">
        <f t="shared" si="5"/>
        <v>1</v>
      </c>
      <c r="D182" s="195">
        <v>42.6</v>
      </c>
      <c r="E182" s="705">
        <f t="shared" si="6"/>
        <v>5.8888888888888893</v>
      </c>
    </row>
    <row r="183" spans="2:5">
      <c r="B183" s="943">
        <v>44934</v>
      </c>
      <c r="C183" s="195">
        <f t="shared" si="5"/>
        <v>1</v>
      </c>
      <c r="D183" s="195">
        <v>42.6</v>
      </c>
      <c r="E183" s="705">
        <f t="shared" si="6"/>
        <v>5.8888888888888893</v>
      </c>
    </row>
    <row r="184" spans="2:5">
      <c r="B184" s="943">
        <v>44934</v>
      </c>
      <c r="C184" s="195">
        <f t="shared" si="5"/>
        <v>1</v>
      </c>
      <c r="D184" s="195">
        <v>42.8</v>
      </c>
      <c r="E184" s="705">
        <f t="shared" si="6"/>
        <v>5.9999999999999982</v>
      </c>
    </row>
    <row r="185" spans="2:5">
      <c r="B185" s="943">
        <v>44934</v>
      </c>
      <c r="C185" s="195">
        <f t="shared" si="5"/>
        <v>1</v>
      </c>
      <c r="D185" s="195">
        <v>42.6</v>
      </c>
      <c r="E185" s="705">
        <f t="shared" si="6"/>
        <v>5.8888888888888893</v>
      </c>
    </row>
    <row r="186" spans="2:5">
      <c r="B186" s="943">
        <v>44934</v>
      </c>
      <c r="C186" s="195">
        <f t="shared" si="5"/>
        <v>1</v>
      </c>
      <c r="D186" s="195">
        <v>42.3</v>
      </c>
      <c r="E186" s="705">
        <f t="shared" si="6"/>
        <v>5.7222222222222205</v>
      </c>
    </row>
    <row r="187" spans="2:5">
      <c r="B187" s="943">
        <v>44934</v>
      </c>
      <c r="C187" s="195">
        <f t="shared" si="5"/>
        <v>1</v>
      </c>
      <c r="D187" s="195">
        <v>41.4</v>
      </c>
      <c r="E187" s="705">
        <f t="shared" si="6"/>
        <v>5.2222222222222214</v>
      </c>
    </row>
    <row r="188" spans="2:5">
      <c r="B188" s="943">
        <v>44934</v>
      </c>
      <c r="C188" s="195">
        <f t="shared" si="5"/>
        <v>1</v>
      </c>
      <c r="D188" s="195">
        <v>40.6</v>
      </c>
      <c r="E188" s="705">
        <f t="shared" si="6"/>
        <v>4.7777777777777786</v>
      </c>
    </row>
    <row r="189" spans="2:5">
      <c r="B189" s="943">
        <v>44934</v>
      </c>
      <c r="C189" s="195">
        <f t="shared" si="5"/>
        <v>1</v>
      </c>
      <c r="D189" s="195">
        <v>40.1</v>
      </c>
      <c r="E189" s="705">
        <f t="shared" si="6"/>
        <v>4.5000000000000009</v>
      </c>
    </row>
    <row r="190" spans="2:5">
      <c r="B190" s="943">
        <v>44934</v>
      </c>
      <c r="C190" s="195">
        <f t="shared" si="5"/>
        <v>1</v>
      </c>
      <c r="D190" s="195">
        <v>39.9</v>
      </c>
      <c r="E190" s="705">
        <f t="shared" si="6"/>
        <v>4.3888888888888884</v>
      </c>
    </row>
    <row r="191" spans="2:5">
      <c r="B191" s="943">
        <v>44934</v>
      </c>
      <c r="C191" s="195">
        <f t="shared" si="5"/>
        <v>1</v>
      </c>
      <c r="D191" s="195">
        <v>40.5</v>
      </c>
      <c r="E191" s="705">
        <f t="shared" si="6"/>
        <v>4.7222222222222223</v>
      </c>
    </row>
    <row r="192" spans="2:5">
      <c r="B192" s="943">
        <v>44934</v>
      </c>
      <c r="C192" s="195">
        <f t="shared" si="5"/>
        <v>1</v>
      </c>
      <c r="D192" s="195">
        <v>41.4</v>
      </c>
      <c r="E192" s="705">
        <f t="shared" si="6"/>
        <v>5.2222222222222214</v>
      </c>
    </row>
    <row r="193" spans="2:5">
      <c r="B193" s="943">
        <v>44934</v>
      </c>
      <c r="C193" s="195">
        <f t="shared" si="5"/>
        <v>1</v>
      </c>
      <c r="D193" s="195">
        <v>42.1</v>
      </c>
      <c r="E193" s="705">
        <f t="shared" si="6"/>
        <v>5.6111111111111116</v>
      </c>
    </row>
    <row r="194" spans="2:5">
      <c r="B194" s="943">
        <v>44934</v>
      </c>
      <c r="C194" s="195">
        <f t="shared" si="5"/>
        <v>1</v>
      </c>
      <c r="D194" s="195">
        <v>42.6</v>
      </c>
      <c r="E194" s="705">
        <f t="shared" si="6"/>
        <v>5.8888888888888893</v>
      </c>
    </row>
    <row r="195" spans="2:5">
      <c r="B195" s="943">
        <v>44934</v>
      </c>
      <c r="C195" s="195">
        <f t="shared" si="5"/>
        <v>1</v>
      </c>
      <c r="D195" s="195" t="s">
        <v>1430</v>
      </c>
      <c r="E195" s="705">
        <f t="shared" si="6"/>
        <v>6.1111111111111107</v>
      </c>
    </row>
    <row r="196" spans="2:5">
      <c r="B196" s="943">
        <v>44934</v>
      </c>
      <c r="C196" s="195">
        <f t="shared" si="5"/>
        <v>1</v>
      </c>
      <c r="D196" s="195" t="s">
        <v>1430</v>
      </c>
      <c r="E196" s="705">
        <f t="shared" si="6"/>
        <v>6.1111111111111107</v>
      </c>
    </row>
    <row r="197" spans="2:5">
      <c r="B197" s="943">
        <v>44934</v>
      </c>
      <c r="C197" s="195">
        <f t="shared" si="5"/>
        <v>1</v>
      </c>
      <c r="D197" s="195">
        <v>42.8</v>
      </c>
      <c r="E197" s="705">
        <f t="shared" si="6"/>
        <v>5.9999999999999982</v>
      </c>
    </row>
    <row r="198" spans="2:5">
      <c r="B198" s="943">
        <v>44934</v>
      </c>
      <c r="C198" s="195">
        <f t="shared" si="5"/>
        <v>1</v>
      </c>
      <c r="D198" s="195">
        <v>42.6</v>
      </c>
      <c r="E198" s="705">
        <f t="shared" si="6"/>
        <v>5.8888888888888893</v>
      </c>
    </row>
    <row r="199" spans="2:5">
      <c r="B199" s="943">
        <v>44934</v>
      </c>
      <c r="C199" s="195">
        <f t="shared" si="5"/>
        <v>1</v>
      </c>
      <c r="D199" s="195">
        <v>41.9</v>
      </c>
      <c r="E199" s="705">
        <f t="shared" si="6"/>
        <v>5.4999999999999991</v>
      </c>
    </row>
    <row r="200" spans="2:5">
      <c r="B200" s="943">
        <v>44934</v>
      </c>
      <c r="C200" s="195">
        <f t="shared" si="5"/>
        <v>1</v>
      </c>
      <c r="D200" s="195" t="s">
        <v>1429</v>
      </c>
      <c r="E200" s="705">
        <f t="shared" si="6"/>
        <v>5</v>
      </c>
    </row>
    <row r="201" spans="2:5">
      <c r="B201" s="943">
        <v>44935</v>
      </c>
      <c r="C201" s="195">
        <f t="shared" si="5"/>
        <v>1</v>
      </c>
      <c r="D201" s="195">
        <v>40.5</v>
      </c>
      <c r="E201" s="705">
        <f t="shared" si="6"/>
        <v>4.7222222222222223</v>
      </c>
    </row>
    <row r="202" spans="2:5">
      <c r="B202" s="943">
        <v>44935</v>
      </c>
      <c r="C202" s="195">
        <f t="shared" ref="C202:C265" si="7">MONTH(B202)</f>
        <v>1</v>
      </c>
      <c r="D202" s="195">
        <v>39.9</v>
      </c>
      <c r="E202" s="705">
        <f t="shared" ref="E202:E265" si="8">CONVERT(D202,"F","C")</f>
        <v>4.3888888888888884</v>
      </c>
    </row>
    <row r="203" spans="2:5">
      <c r="B203" s="943">
        <v>44935</v>
      </c>
      <c r="C203" s="195">
        <f t="shared" si="7"/>
        <v>1</v>
      </c>
      <c r="D203" s="195">
        <v>39.700000000000003</v>
      </c>
      <c r="E203" s="705">
        <f t="shared" si="8"/>
        <v>4.2777777777777795</v>
      </c>
    </row>
    <row r="204" spans="2:5">
      <c r="B204" s="943">
        <v>44935</v>
      </c>
      <c r="C204" s="195">
        <f t="shared" si="7"/>
        <v>1</v>
      </c>
      <c r="D204" s="195">
        <v>40.299999999999997</v>
      </c>
      <c r="E204" s="705">
        <f t="shared" si="8"/>
        <v>4.6111111111111098</v>
      </c>
    </row>
    <row r="205" spans="2:5">
      <c r="B205" s="943">
        <v>44935</v>
      </c>
      <c r="C205" s="195">
        <f t="shared" si="7"/>
        <v>1</v>
      </c>
      <c r="D205" s="195">
        <v>41.7</v>
      </c>
      <c r="E205" s="705">
        <f t="shared" si="8"/>
        <v>5.3888888888888902</v>
      </c>
    </row>
    <row r="206" spans="2:5">
      <c r="B206" s="943">
        <v>44935</v>
      </c>
      <c r="C206" s="195">
        <f t="shared" si="7"/>
        <v>1</v>
      </c>
      <c r="D206" s="195">
        <v>42.1</v>
      </c>
      <c r="E206" s="705">
        <f t="shared" si="8"/>
        <v>5.6111111111111116</v>
      </c>
    </row>
    <row r="207" spans="2:5">
      <c r="B207" s="943">
        <v>44935</v>
      </c>
      <c r="C207" s="195">
        <f t="shared" si="7"/>
        <v>1</v>
      </c>
      <c r="D207" s="195">
        <v>42.1</v>
      </c>
      <c r="E207" s="705">
        <f t="shared" si="8"/>
        <v>5.6111111111111116</v>
      </c>
    </row>
    <row r="208" spans="2:5">
      <c r="B208" s="943">
        <v>44935</v>
      </c>
      <c r="C208" s="195">
        <f t="shared" si="7"/>
        <v>1</v>
      </c>
      <c r="D208" s="195">
        <v>42.6</v>
      </c>
      <c r="E208" s="705">
        <f t="shared" si="8"/>
        <v>5.8888888888888893</v>
      </c>
    </row>
    <row r="209" spans="2:5">
      <c r="B209" s="943">
        <v>44935</v>
      </c>
      <c r="C209" s="195">
        <f t="shared" si="7"/>
        <v>1</v>
      </c>
      <c r="D209" s="195">
        <v>42.1</v>
      </c>
      <c r="E209" s="705">
        <f t="shared" si="8"/>
        <v>5.6111111111111116</v>
      </c>
    </row>
    <row r="210" spans="2:5">
      <c r="B210" s="943">
        <v>44935</v>
      </c>
      <c r="C210" s="195">
        <f t="shared" si="7"/>
        <v>1</v>
      </c>
      <c r="D210" s="195">
        <v>42.3</v>
      </c>
      <c r="E210" s="705">
        <f t="shared" si="8"/>
        <v>5.7222222222222205</v>
      </c>
    </row>
    <row r="211" spans="2:5">
      <c r="B211" s="943">
        <v>44935</v>
      </c>
      <c r="C211" s="195">
        <f t="shared" si="7"/>
        <v>1</v>
      </c>
      <c r="D211" s="195">
        <v>41.7</v>
      </c>
      <c r="E211" s="705">
        <f t="shared" si="8"/>
        <v>5.3888888888888902</v>
      </c>
    </row>
    <row r="212" spans="2:5">
      <c r="B212" s="943">
        <v>44935</v>
      </c>
      <c r="C212" s="195">
        <f t="shared" si="7"/>
        <v>1</v>
      </c>
      <c r="D212" s="195" t="s">
        <v>1429</v>
      </c>
      <c r="E212" s="705">
        <f t="shared" si="8"/>
        <v>5</v>
      </c>
    </row>
    <row r="213" spans="2:5">
      <c r="B213" s="943">
        <v>44935</v>
      </c>
      <c r="C213" s="195">
        <f t="shared" si="7"/>
        <v>1</v>
      </c>
      <c r="D213" s="195">
        <v>40.1</v>
      </c>
      <c r="E213" s="705">
        <f t="shared" si="8"/>
        <v>4.5000000000000009</v>
      </c>
    </row>
    <row r="214" spans="2:5">
      <c r="B214" s="943">
        <v>44935</v>
      </c>
      <c r="C214" s="195">
        <f t="shared" si="7"/>
        <v>1</v>
      </c>
      <c r="D214" s="195">
        <v>39.700000000000003</v>
      </c>
      <c r="E214" s="705">
        <f t="shared" si="8"/>
        <v>4.2777777777777795</v>
      </c>
    </row>
    <row r="215" spans="2:5">
      <c r="B215" s="943">
        <v>44935</v>
      </c>
      <c r="C215" s="195">
        <f t="shared" si="7"/>
        <v>1</v>
      </c>
      <c r="D215" s="195">
        <v>40.1</v>
      </c>
      <c r="E215" s="705">
        <f t="shared" si="8"/>
        <v>4.5000000000000009</v>
      </c>
    </row>
    <row r="216" spans="2:5">
      <c r="B216" s="943">
        <v>44935</v>
      </c>
      <c r="C216" s="195">
        <f t="shared" si="7"/>
        <v>1</v>
      </c>
      <c r="D216" s="195">
        <v>40.6</v>
      </c>
      <c r="E216" s="705">
        <f t="shared" si="8"/>
        <v>4.7777777777777786</v>
      </c>
    </row>
    <row r="217" spans="2:5">
      <c r="B217" s="943">
        <v>44935</v>
      </c>
      <c r="C217" s="195">
        <f t="shared" si="7"/>
        <v>1</v>
      </c>
      <c r="D217" s="195">
        <v>41.5</v>
      </c>
      <c r="E217" s="705">
        <f t="shared" si="8"/>
        <v>5.2777777777777777</v>
      </c>
    </row>
    <row r="218" spans="2:5">
      <c r="B218" s="943">
        <v>44935</v>
      </c>
      <c r="C218" s="195">
        <f t="shared" si="7"/>
        <v>1</v>
      </c>
      <c r="D218" s="195">
        <v>42.1</v>
      </c>
      <c r="E218" s="705">
        <f t="shared" si="8"/>
        <v>5.6111111111111116</v>
      </c>
    </row>
    <row r="219" spans="2:5">
      <c r="B219" s="943">
        <v>44935</v>
      </c>
      <c r="C219" s="195">
        <f t="shared" si="7"/>
        <v>1</v>
      </c>
      <c r="D219" s="195">
        <v>42.6</v>
      </c>
      <c r="E219" s="705">
        <f t="shared" si="8"/>
        <v>5.8888888888888893</v>
      </c>
    </row>
    <row r="220" spans="2:5">
      <c r="B220" s="943">
        <v>44935</v>
      </c>
      <c r="C220" s="195">
        <f t="shared" si="7"/>
        <v>1</v>
      </c>
      <c r="D220" s="195" t="s">
        <v>1430</v>
      </c>
      <c r="E220" s="705">
        <f t="shared" si="8"/>
        <v>6.1111111111111107</v>
      </c>
    </row>
    <row r="221" spans="2:5">
      <c r="B221" s="943">
        <v>44935</v>
      </c>
      <c r="C221" s="195">
        <f t="shared" si="7"/>
        <v>1</v>
      </c>
      <c r="D221" s="195">
        <v>42.8</v>
      </c>
      <c r="E221" s="705">
        <f t="shared" si="8"/>
        <v>5.9999999999999982</v>
      </c>
    </row>
    <row r="222" spans="2:5">
      <c r="B222" s="943">
        <v>44935</v>
      </c>
      <c r="C222" s="195">
        <f t="shared" si="7"/>
        <v>1</v>
      </c>
      <c r="D222" s="195" t="s">
        <v>1430</v>
      </c>
      <c r="E222" s="705">
        <f t="shared" si="8"/>
        <v>6.1111111111111107</v>
      </c>
    </row>
    <row r="223" spans="2:5">
      <c r="B223" s="943">
        <v>44935</v>
      </c>
      <c r="C223" s="195">
        <f t="shared" si="7"/>
        <v>1</v>
      </c>
      <c r="D223" s="195">
        <v>42.3</v>
      </c>
      <c r="E223" s="705">
        <f t="shared" si="8"/>
        <v>5.7222222222222205</v>
      </c>
    </row>
    <row r="224" spans="2:5">
      <c r="B224" s="943">
        <v>44935</v>
      </c>
      <c r="C224" s="195">
        <f t="shared" si="7"/>
        <v>1</v>
      </c>
      <c r="D224" s="195">
        <v>41.2</v>
      </c>
      <c r="E224" s="705">
        <f t="shared" si="8"/>
        <v>5.1111111111111125</v>
      </c>
    </row>
    <row r="225" spans="2:5">
      <c r="B225" s="943">
        <v>44936</v>
      </c>
      <c r="C225" s="195">
        <f t="shared" si="7"/>
        <v>1</v>
      </c>
      <c r="D225" s="195">
        <v>40.299999999999997</v>
      </c>
      <c r="E225" s="705">
        <f t="shared" si="8"/>
        <v>4.6111111111111098</v>
      </c>
    </row>
    <row r="226" spans="2:5">
      <c r="B226" s="943">
        <v>44936</v>
      </c>
      <c r="C226" s="195">
        <f t="shared" si="7"/>
        <v>1</v>
      </c>
      <c r="D226" s="195">
        <v>39.700000000000003</v>
      </c>
      <c r="E226" s="705">
        <f t="shared" si="8"/>
        <v>4.2777777777777795</v>
      </c>
    </row>
    <row r="227" spans="2:5">
      <c r="B227" s="943">
        <v>44936</v>
      </c>
      <c r="C227" s="195">
        <f t="shared" si="7"/>
        <v>1</v>
      </c>
      <c r="D227" s="195">
        <v>39.4</v>
      </c>
      <c r="E227" s="705">
        <f t="shared" si="8"/>
        <v>4.1111111111111098</v>
      </c>
    </row>
    <row r="228" spans="2:5">
      <c r="B228" s="943">
        <v>44936</v>
      </c>
      <c r="C228" s="195">
        <f t="shared" si="7"/>
        <v>1</v>
      </c>
      <c r="D228" s="195">
        <v>39.700000000000003</v>
      </c>
      <c r="E228" s="705">
        <f t="shared" si="8"/>
        <v>4.2777777777777795</v>
      </c>
    </row>
    <row r="229" spans="2:5">
      <c r="B229" s="943">
        <v>44936</v>
      </c>
      <c r="C229" s="195">
        <f t="shared" si="7"/>
        <v>1</v>
      </c>
      <c r="D229" s="195">
        <v>40.799999999999997</v>
      </c>
      <c r="E229" s="705">
        <f t="shared" si="8"/>
        <v>4.8888888888888875</v>
      </c>
    </row>
    <row r="230" spans="2:5">
      <c r="B230" s="943">
        <v>44936</v>
      </c>
      <c r="C230" s="195">
        <f t="shared" si="7"/>
        <v>1</v>
      </c>
      <c r="D230" s="195">
        <v>41.7</v>
      </c>
      <c r="E230" s="705">
        <f t="shared" si="8"/>
        <v>5.3888888888888902</v>
      </c>
    </row>
    <row r="231" spans="2:5">
      <c r="B231" s="943">
        <v>44936</v>
      </c>
      <c r="C231" s="195">
        <f t="shared" si="7"/>
        <v>1</v>
      </c>
      <c r="D231" s="195">
        <v>42.4</v>
      </c>
      <c r="E231" s="705">
        <f t="shared" si="8"/>
        <v>5.7777777777777768</v>
      </c>
    </row>
    <row r="232" spans="2:5">
      <c r="B232" s="943">
        <v>44936</v>
      </c>
      <c r="C232" s="195">
        <f t="shared" si="7"/>
        <v>1</v>
      </c>
      <c r="D232" s="195">
        <v>42.4</v>
      </c>
      <c r="E232" s="705">
        <f t="shared" si="8"/>
        <v>5.7777777777777768</v>
      </c>
    </row>
    <row r="233" spans="2:5">
      <c r="B233" s="943">
        <v>44936</v>
      </c>
      <c r="C233" s="195">
        <f t="shared" si="7"/>
        <v>1</v>
      </c>
      <c r="D233" s="195">
        <v>43.2</v>
      </c>
      <c r="E233" s="705">
        <f t="shared" si="8"/>
        <v>6.2222222222222232</v>
      </c>
    </row>
    <row r="234" spans="2:5">
      <c r="B234" s="943">
        <v>44936</v>
      </c>
      <c r="C234" s="195">
        <f t="shared" si="7"/>
        <v>1</v>
      </c>
      <c r="D234" s="195">
        <v>42.4</v>
      </c>
      <c r="E234" s="705">
        <f t="shared" si="8"/>
        <v>5.7777777777777768</v>
      </c>
    </row>
    <row r="235" spans="2:5">
      <c r="B235" s="943">
        <v>44936</v>
      </c>
      <c r="C235" s="195">
        <f t="shared" si="7"/>
        <v>1</v>
      </c>
      <c r="D235" s="195">
        <v>42.4</v>
      </c>
      <c r="E235" s="705">
        <f t="shared" si="8"/>
        <v>5.7777777777777768</v>
      </c>
    </row>
    <row r="236" spans="2:5">
      <c r="B236" s="943">
        <v>44936</v>
      </c>
      <c r="C236" s="195">
        <f t="shared" si="7"/>
        <v>1</v>
      </c>
      <c r="D236" s="195">
        <v>41.7</v>
      </c>
      <c r="E236" s="705">
        <f t="shared" si="8"/>
        <v>5.3888888888888902</v>
      </c>
    </row>
    <row r="237" spans="2:5">
      <c r="B237" s="943">
        <v>44936</v>
      </c>
      <c r="C237" s="195">
        <f t="shared" si="7"/>
        <v>1</v>
      </c>
      <c r="D237" s="195">
        <v>40.6</v>
      </c>
      <c r="E237" s="705">
        <f t="shared" si="8"/>
        <v>4.7777777777777786</v>
      </c>
    </row>
    <row r="238" spans="2:5">
      <c r="B238" s="943">
        <v>44936</v>
      </c>
      <c r="C238" s="195">
        <f t="shared" si="7"/>
        <v>1</v>
      </c>
      <c r="D238" s="195">
        <v>39.9</v>
      </c>
      <c r="E238" s="705">
        <f t="shared" si="8"/>
        <v>4.3888888888888884</v>
      </c>
    </row>
    <row r="239" spans="2:5">
      <c r="B239" s="943">
        <v>44936</v>
      </c>
      <c r="C239" s="195">
        <f t="shared" si="7"/>
        <v>1</v>
      </c>
      <c r="D239" s="195">
        <v>39.6</v>
      </c>
      <c r="E239" s="705">
        <f t="shared" si="8"/>
        <v>4.2222222222222232</v>
      </c>
    </row>
    <row r="240" spans="2:5">
      <c r="B240" s="943">
        <v>44936</v>
      </c>
      <c r="C240" s="195">
        <f t="shared" si="7"/>
        <v>1</v>
      </c>
      <c r="D240" s="195">
        <v>40.299999999999997</v>
      </c>
      <c r="E240" s="705">
        <f t="shared" si="8"/>
        <v>4.6111111111111098</v>
      </c>
    </row>
    <row r="241" spans="2:5">
      <c r="B241" s="943">
        <v>44936</v>
      </c>
      <c r="C241" s="195">
        <f t="shared" si="7"/>
        <v>1</v>
      </c>
      <c r="D241" s="195" t="s">
        <v>1429</v>
      </c>
      <c r="E241" s="705">
        <f t="shared" si="8"/>
        <v>5</v>
      </c>
    </row>
    <row r="242" spans="2:5">
      <c r="B242" s="943">
        <v>44936</v>
      </c>
      <c r="C242" s="195">
        <f t="shared" si="7"/>
        <v>1</v>
      </c>
      <c r="D242" s="195">
        <v>41.9</v>
      </c>
      <c r="E242" s="705">
        <f t="shared" si="8"/>
        <v>5.4999999999999991</v>
      </c>
    </row>
    <row r="243" spans="2:5">
      <c r="B243" s="943">
        <v>44936</v>
      </c>
      <c r="C243" s="195">
        <f t="shared" si="7"/>
        <v>1</v>
      </c>
      <c r="D243" s="195">
        <v>42.4</v>
      </c>
      <c r="E243" s="705">
        <f t="shared" si="8"/>
        <v>5.7777777777777768</v>
      </c>
    </row>
    <row r="244" spans="2:5">
      <c r="B244" s="943">
        <v>44936</v>
      </c>
      <c r="C244" s="195">
        <f t="shared" si="7"/>
        <v>1</v>
      </c>
      <c r="D244" s="195">
        <v>42.8</v>
      </c>
      <c r="E244" s="705">
        <f t="shared" si="8"/>
        <v>5.9999999999999982</v>
      </c>
    </row>
    <row r="245" spans="2:5">
      <c r="B245" s="943">
        <v>44936</v>
      </c>
      <c r="C245" s="195">
        <f t="shared" si="7"/>
        <v>1</v>
      </c>
      <c r="D245" s="195" t="s">
        <v>1430</v>
      </c>
      <c r="E245" s="705">
        <f t="shared" si="8"/>
        <v>6.1111111111111107</v>
      </c>
    </row>
    <row r="246" spans="2:5">
      <c r="B246" s="943">
        <v>44936</v>
      </c>
      <c r="C246" s="195">
        <f t="shared" si="7"/>
        <v>1</v>
      </c>
      <c r="D246" s="195">
        <v>42.8</v>
      </c>
      <c r="E246" s="705">
        <f t="shared" si="8"/>
        <v>5.9999999999999982</v>
      </c>
    </row>
    <row r="247" spans="2:5">
      <c r="B247" s="943">
        <v>44936</v>
      </c>
      <c r="C247" s="195">
        <f t="shared" si="7"/>
        <v>1</v>
      </c>
      <c r="D247" s="195">
        <v>42.4</v>
      </c>
      <c r="E247" s="705">
        <f t="shared" si="8"/>
        <v>5.7777777777777768</v>
      </c>
    </row>
    <row r="248" spans="2:5">
      <c r="B248" s="943">
        <v>44936</v>
      </c>
      <c r="C248" s="195">
        <f t="shared" si="7"/>
        <v>1</v>
      </c>
      <c r="D248" s="195">
        <v>41.7</v>
      </c>
      <c r="E248" s="705">
        <f t="shared" si="8"/>
        <v>5.3888888888888902</v>
      </c>
    </row>
    <row r="249" spans="2:5">
      <c r="B249" s="943">
        <v>44937</v>
      </c>
      <c r="C249" s="195">
        <f t="shared" si="7"/>
        <v>1</v>
      </c>
      <c r="D249" s="195">
        <v>40.6</v>
      </c>
      <c r="E249" s="705">
        <f t="shared" si="8"/>
        <v>4.7777777777777786</v>
      </c>
    </row>
    <row r="250" spans="2:5">
      <c r="B250" s="943">
        <v>44937</v>
      </c>
      <c r="C250" s="195">
        <f t="shared" si="7"/>
        <v>1</v>
      </c>
      <c r="D250" s="195">
        <v>39.700000000000003</v>
      </c>
      <c r="E250" s="705">
        <f t="shared" si="8"/>
        <v>4.2777777777777795</v>
      </c>
    </row>
    <row r="251" spans="2:5">
      <c r="B251" s="943">
        <v>44937</v>
      </c>
      <c r="C251" s="195">
        <f t="shared" si="7"/>
        <v>1</v>
      </c>
      <c r="D251" s="195">
        <v>39.4</v>
      </c>
      <c r="E251" s="705">
        <f t="shared" si="8"/>
        <v>4.1111111111111098</v>
      </c>
    </row>
    <row r="252" spans="2:5">
      <c r="B252" s="943">
        <v>44937</v>
      </c>
      <c r="C252" s="195">
        <f t="shared" si="7"/>
        <v>1</v>
      </c>
      <c r="D252" s="195" t="s">
        <v>1431</v>
      </c>
      <c r="E252" s="705">
        <f t="shared" si="8"/>
        <v>3.8888888888888888</v>
      </c>
    </row>
    <row r="253" spans="2:5">
      <c r="B253" s="943">
        <v>44937</v>
      </c>
      <c r="C253" s="195">
        <f t="shared" si="7"/>
        <v>1</v>
      </c>
      <c r="D253" s="195">
        <v>39.6</v>
      </c>
      <c r="E253" s="705">
        <f t="shared" si="8"/>
        <v>4.2222222222222232</v>
      </c>
    </row>
    <row r="254" spans="2:5">
      <c r="B254" s="943">
        <v>44937</v>
      </c>
      <c r="C254" s="195">
        <f t="shared" si="7"/>
        <v>1</v>
      </c>
      <c r="D254" s="195">
        <v>41.7</v>
      </c>
      <c r="E254" s="705">
        <f t="shared" si="8"/>
        <v>5.3888888888888902</v>
      </c>
    </row>
    <row r="255" spans="2:5">
      <c r="B255" s="943">
        <v>44937</v>
      </c>
      <c r="C255" s="195">
        <f t="shared" si="7"/>
        <v>1</v>
      </c>
      <c r="D255" s="195">
        <v>41.9</v>
      </c>
      <c r="E255" s="705">
        <f t="shared" si="8"/>
        <v>5.4999999999999991</v>
      </c>
    </row>
    <row r="256" spans="2:5">
      <c r="B256" s="943">
        <v>44937</v>
      </c>
      <c r="C256" s="195">
        <f t="shared" si="7"/>
        <v>1</v>
      </c>
      <c r="D256" s="195">
        <v>42.4</v>
      </c>
      <c r="E256" s="705">
        <f t="shared" si="8"/>
        <v>5.7777777777777768</v>
      </c>
    </row>
    <row r="257" spans="2:5">
      <c r="B257" s="943">
        <v>44937</v>
      </c>
      <c r="C257" s="195">
        <f t="shared" si="7"/>
        <v>1</v>
      </c>
      <c r="D257" s="195">
        <v>42.6</v>
      </c>
      <c r="E257" s="705">
        <f t="shared" si="8"/>
        <v>5.8888888888888893</v>
      </c>
    </row>
    <row r="258" spans="2:5">
      <c r="B258" s="943">
        <v>44937</v>
      </c>
      <c r="C258" s="195">
        <f t="shared" si="7"/>
        <v>1</v>
      </c>
      <c r="D258" s="195">
        <v>42.8</v>
      </c>
      <c r="E258" s="705">
        <f t="shared" si="8"/>
        <v>5.9999999999999982</v>
      </c>
    </row>
    <row r="259" spans="2:5">
      <c r="B259" s="943">
        <v>44937</v>
      </c>
      <c r="C259" s="195">
        <f t="shared" si="7"/>
        <v>1</v>
      </c>
      <c r="D259" s="195">
        <v>42.4</v>
      </c>
      <c r="E259" s="705">
        <f t="shared" si="8"/>
        <v>5.7777777777777768</v>
      </c>
    </row>
    <row r="260" spans="2:5">
      <c r="B260" s="943">
        <v>44937</v>
      </c>
      <c r="C260" s="195">
        <f t="shared" si="7"/>
        <v>1</v>
      </c>
      <c r="D260" s="195">
        <v>41.9</v>
      </c>
      <c r="E260" s="705">
        <f t="shared" si="8"/>
        <v>5.4999999999999991</v>
      </c>
    </row>
    <row r="261" spans="2:5">
      <c r="B261" s="943">
        <v>44937</v>
      </c>
      <c r="C261" s="195">
        <f t="shared" si="7"/>
        <v>1</v>
      </c>
      <c r="D261" s="195" t="s">
        <v>1429</v>
      </c>
      <c r="E261" s="705">
        <f t="shared" si="8"/>
        <v>5</v>
      </c>
    </row>
    <row r="262" spans="2:5">
      <c r="B262" s="943">
        <v>44937</v>
      </c>
      <c r="C262" s="195">
        <f t="shared" si="7"/>
        <v>1</v>
      </c>
      <c r="D262" s="195">
        <v>39.9</v>
      </c>
      <c r="E262" s="705">
        <f t="shared" si="8"/>
        <v>4.3888888888888884</v>
      </c>
    </row>
    <row r="263" spans="2:5">
      <c r="B263" s="943">
        <v>44937</v>
      </c>
      <c r="C263" s="195">
        <f t="shared" si="7"/>
        <v>1</v>
      </c>
      <c r="D263" s="195">
        <v>39.200000000000003</v>
      </c>
      <c r="E263" s="705">
        <f t="shared" si="8"/>
        <v>4.0000000000000018</v>
      </c>
    </row>
    <row r="264" spans="2:5">
      <c r="B264" s="943">
        <v>44937</v>
      </c>
      <c r="C264" s="195">
        <f t="shared" si="7"/>
        <v>1</v>
      </c>
      <c r="D264" s="195">
        <v>39.200000000000003</v>
      </c>
      <c r="E264" s="705">
        <f t="shared" si="8"/>
        <v>4.0000000000000018</v>
      </c>
    </row>
    <row r="265" spans="2:5">
      <c r="B265" s="943">
        <v>44937</v>
      </c>
      <c r="C265" s="195">
        <f t="shared" si="7"/>
        <v>1</v>
      </c>
      <c r="D265" s="195">
        <v>39.9</v>
      </c>
      <c r="E265" s="705">
        <f t="shared" si="8"/>
        <v>4.3888888888888884</v>
      </c>
    </row>
    <row r="266" spans="2:5">
      <c r="B266" s="943">
        <v>44937</v>
      </c>
      <c r="C266" s="195">
        <f t="shared" ref="C266:C329" si="9">MONTH(B266)</f>
        <v>1</v>
      </c>
      <c r="D266" s="195">
        <v>41.2</v>
      </c>
      <c r="E266" s="705">
        <f t="shared" ref="E266:E329" si="10">CONVERT(D266,"F","C")</f>
        <v>5.1111111111111125</v>
      </c>
    </row>
    <row r="267" spans="2:5">
      <c r="B267" s="943">
        <v>44937</v>
      </c>
      <c r="C267" s="195">
        <f t="shared" si="9"/>
        <v>1</v>
      </c>
      <c r="D267" s="195">
        <v>41.7</v>
      </c>
      <c r="E267" s="705">
        <f t="shared" si="10"/>
        <v>5.3888888888888902</v>
      </c>
    </row>
    <row r="268" spans="2:5">
      <c r="B268" s="943">
        <v>44937</v>
      </c>
      <c r="C268" s="195">
        <f t="shared" si="9"/>
        <v>1</v>
      </c>
      <c r="D268" s="195">
        <v>41.9</v>
      </c>
      <c r="E268" s="705">
        <f t="shared" si="10"/>
        <v>5.4999999999999991</v>
      </c>
    </row>
    <row r="269" spans="2:5">
      <c r="B269" s="943">
        <v>44937</v>
      </c>
      <c r="C269" s="195">
        <f t="shared" si="9"/>
        <v>1</v>
      </c>
      <c r="D269" s="195">
        <v>42.1</v>
      </c>
      <c r="E269" s="705">
        <f t="shared" si="10"/>
        <v>5.6111111111111116</v>
      </c>
    </row>
    <row r="270" spans="2:5">
      <c r="B270" s="943">
        <v>44937</v>
      </c>
      <c r="C270" s="195">
        <f t="shared" si="9"/>
        <v>1</v>
      </c>
      <c r="D270" s="195">
        <v>42.1</v>
      </c>
      <c r="E270" s="705">
        <f t="shared" si="10"/>
        <v>5.6111111111111116</v>
      </c>
    </row>
    <row r="271" spans="2:5">
      <c r="B271" s="943">
        <v>44937</v>
      </c>
      <c r="C271" s="195">
        <f t="shared" si="9"/>
        <v>1</v>
      </c>
      <c r="D271" s="195">
        <v>41.9</v>
      </c>
      <c r="E271" s="705">
        <f t="shared" si="10"/>
        <v>5.4999999999999991</v>
      </c>
    </row>
    <row r="272" spans="2:5">
      <c r="B272" s="943">
        <v>44937</v>
      </c>
      <c r="C272" s="195">
        <f t="shared" si="9"/>
        <v>1</v>
      </c>
      <c r="D272" s="195">
        <v>41.7</v>
      </c>
      <c r="E272" s="705">
        <f t="shared" si="10"/>
        <v>5.3888888888888902</v>
      </c>
    </row>
    <row r="273" spans="2:5">
      <c r="B273" s="943">
        <v>44938</v>
      </c>
      <c r="C273" s="195">
        <f t="shared" si="9"/>
        <v>1</v>
      </c>
      <c r="D273" s="195" t="s">
        <v>1429</v>
      </c>
      <c r="E273" s="705">
        <f t="shared" si="10"/>
        <v>5</v>
      </c>
    </row>
    <row r="274" spans="2:5">
      <c r="B274" s="943">
        <v>44938</v>
      </c>
      <c r="C274" s="195">
        <f t="shared" si="9"/>
        <v>1</v>
      </c>
      <c r="D274" s="195">
        <v>39.9</v>
      </c>
      <c r="E274" s="705">
        <f t="shared" si="10"/>
        <v>4.3888888888888884</v>
      </c>
    </row>
    <row r="275" spans="2:5">
      <c r="B275" s="943">
        <v>44938</v>
      </c>
      <c r="C275" s="195">
        <f t="shared" si="9"/>
        <v>1</v>
      </c>
      <c r="D275" s="195">
        <v>39.200000000000003</v>
      </c>
      <c r="E275" s="705">
        <f t="shared" si="10"/>
        <v>4.0000000000000018</v>
      </c>
    </row>
    <row r="276" spans="2:5">
      <c r="B276" s="943">
        <v>44938</v>
      </c>
      <c r="C276" s="195">
        <f t="shared" si="9"/>
        <v>1</v>
      </c>
      <c r="D276" s="195">
        <v>38.799999999999997</v>
      </c>
      <c r="E276" s="705">
        <f t="shared" si="10"/>
        <v>3.7777777777777759</v>
      </c>
    </row>
    <row r="277" spans="2:5">
      <c r="B277" s="943">
        <v>44938</v>
      </c>
      <c r="C277" s="195">
        <f t="shared" si="9"/>
        <v>1</v>
      </c>
      <c r="D277" s="195">
        <v>38.799999999999997</v>
      </c>
      <c r="E277" s="705">
        <f t="shared" si="10"/>
        <v>3.7777777777777759</v>
      </c>
    </row>
    <row r="278" spans="2:5">
      <c r="B278" s="943">
        <v>44938</v>
      </c>
      <c r="C278" s="195">
        <f t="shared" si="9"/>
        <v>1</v>
      </c>
      <c r="D278" s="195">
        <v>39.6</v>
      </c>
      <c r="E278" s="705">
        <f t="shared" si="10"/>
        <v>4.2222222222222232</v>
      </c>
    </row>
    <row r="279" spans="2:5">
      <c r="B279" s="943">
        <v>44938</v>
      </c>
      <c r="C279" s="195">
        <f t="shared" si="9"/>
        <v>1</v>
      </c>
      <c r="D279" s="195">
        <v>40.5</v>
      </c>
      <c r="E279" s="705">
        <f t="shared" si="10"/>
        <v>4.7222222222222223</v>
      </c>
    </row>
    <row r="280" spans="2:5">
      <c r="B280" s="943">
        <v>44938</v>
      </c>
      <c r="C280" s="195">
        <f t="shared" si="9"/>
        <v>1</v>
      </c>
      <c r="D280" s="195" t="s">
        <v>1429</v>
      </c>
      <c r="E280" s="705">
        <f t="shared" si="10"/>
        <v>5</v>
      </c>
    </row>
    <row r="281" spans="2:5">
      <c r="B281" s="943">
        <v>44938</v>
      </c>
      <c r="C281" s="195">
        <f t="shared" si="9"/>
        <v>1</v>
      </c>
      <c r="D281" s="195">
        <v>41.4</v>
      </c>
      <c r="E281" s="705">
        <f t="shared" si="10"/>
        <v>5.2222222222222214</v>
      </c>
    </row>
    <row r="282" spans="2:5">
      <c r="B282" s="943">
        <v>44938</v>
      </c>
      <c r="C282" s="195">
        <f t="shared" si="9"/>
        <v>1</v>
      </c>
      <c r="D282" s="195">
        <v>41.5</v>
      </c>
      <c r="E282" s="705">
        <f t="shared" si="10"/>
        <v>5.2777777777777777</v>
      </c>
    </row>
    <row r="283" spans="2:5">
      <c r="B283" s="943">
        <v>44938</v>
      </c>
      <c r="C283" s="195">
        <f t="shared" si="9"/>
        <v>1</v>
      </c>
      <c r="D283" s="195">
        <v>41.4</v>
      </c>
      <c r="E283" s="705">
        <f t="shared" si="10"/>
        <v>5.2222222222222214</v>
      </c>
    </row>
    <row r="284" spans="2:5">
      <c r="B284" s="943">
        <v>44938</v>
      </c>
      <c r="C284" s="195">
        <f t="shared" si="9"/>
        <v>1</v>
      </c>
      <c r="D284" s="195">
        <v>41.4</v>
      </c>
      <c r="E284" s="705">
        <f t="shared" si="10"/>
        <v>5.2222222222222214</v>
      </c>
    </row>
    <row r="285" spans="2:5">
      <c r="B285" s="943">
        <v>44938</v>
      </c>
      <c r="C285" s="195">
        <f t="shared" si="9"/>
        <v>1</v>
      </c>
      <c r="D285" s="195">
        <v>40.799999999999997</v>
      </c>
      <c r="E285" s="705">
        <f t="shared" si="10"/>
        <v>4.8888888888888875</v>
      </c>
    </row>
    <row r="286" spans="2:5">
      <c r="B286" s="943">
        <v>44938</v>
      </c>
      <c r="C286" s="195">
        <f t="shared" si="9"/>
        <v>1</v>
      </c>
      <c r="D286" s="195">
        <v>39.9</v>
      </c>
      <c r="E286" s="705">
        <f t="shared" si="10"/>
        <v>4.3888888888888884</v>
      </c>
    </row>
    <row r="287" spans="2:5">
      <c r="B287" s="943">
        <v>44938</v>
      </c>
      <c r="C287" s="195">
        <f t="shared" si="9"/>
        <v>1</v>
      </c>
      <c r="D287" s="195">
        <v>39.200000000000003</v>
      </c>
      <c r="E287" s="705">
        <f t="shared" si="10"/>
        <v>4.0000000000000018</v>
      </c>
    </row>
    <row r="288" spans="2:5">
      <c r="B288" s="943">
        <v>44938</v>
      </c>
      <c r="C288" s="195">
        <f t="shared" si="9"/>
        <v>1</v>
      </c>
      <c r="D288" s="195">
        <v>38.799999999999997</v>
      </c>
      <c r="E288" s="705">
        <f t="shared" si="10"/>
        <v>3.7777777777777759</v>
      </c>
    </row>
    <row r="289" spans="2:5">
      <c r="B289" s="943">
        <v>44938</v>
      </c>
      <c r="C289" s="195">
        <f t="shared" si="9"/>
        <v>1</v>
      </c>
      <c r="D289" s="195">
        <v>39.200000000000003</v>
      </c>
      <c r="E289" s="705">
        <f t="shared" si="10"/>
        <v>4.0000000000000018</v>
      </c>
    </row>
    <row r="290" spans="2:5">
      <c r="B290" s="943">
        <v>44938</v>
      </c>
      <c r="C290" s="195">
        <f t="shared" si="9"/>
        <v>1</v>
      </c>
      <c r="D290" s="195">
        <v>39.9</v>
      </c>
      <c r="E290" s="705">
        <f t="shared" si="10"/>
        <v>4.3888888888888884</v>
      </c>
    </row>
    <row r="291" spans="2:5">
      <c r="B291" s="943">
        <v>44938</v>
      </c>
      <c r="C291" s="195">
        <f t="shared" si="9"/>
        <v>1</v>
      </c>
      <c r="D291" s="195">
        <v>40.6</v>
      </c>
      <c r="E291" s="705">
        <f t="shared" si="10"/>
        <v>4.7777777777777786</v>
      </c>
    </row>
    <row r="292" spans="2:5">
      <c r="B292" s="943">
        <v>44938</v>
      </c>
      <c r="C292" s="195">
        <f t="shared" si="9"/>
        <v>1</v>
      </c>
      <c r="D292" s="195">
        <v>40.799999999999997</v>
      </c>
      <c r="E292" s="705">
        <f t="shared" si="10"/>
        <v>4.8888888888888875</v>
      </c>
    </row>
    <row r="293" spans="2:5">
      <c r="B293" s="943">
        <v>44938</v>
      </c>
      <c r="C293" s="195">
        <f t="shared" si="9"/>
        <v>1</v>
      </c>
      <c r="D293" s="195">
        <v>41.2</v>
      </c>
      <c r="E293" s="705">
        <f t="shared" si="10"/>
        <v>5.1111111111111125</v>
      </c>
    </row>
    <row r="294" spans="2:5">
      <c r="B294" s="943">
        <v>44938</v>
      </c>
      <c r="C294" s="195">
        <f t="shared" si="9"/>
        <v>1</v>
      </c>
      <c r="D294" s="195">
        <v>41.4</v>
      </c>
      <c r="E294" s="705">
        <f t="shared" si="10"/>
        <v>5.2222222222222214</v>
      </c>
    </row>
    <row r="295" spans="2:5">
      <c r="B295" s="943">
        <v>44938</v>
      </c>
      <c r="C295" s="195">
        <f t="shared" si="9"/>
        <v>1</v>
      </c>
      <c r="D295" s="195">
        <v>41.2</v>
      </c>
      <c r="E295" s="705">
        <f t="shared" si="10"/>
        <v>5.1111111111111125</v>
      </c>
    </row>
    <row r="296" spans="2:5">
      <c r="B296" s="943">
        <v>44938</v>
      </c>
      <c r="C296" s="195">
        <f t="shared" si="9"/>
        <v>1</v>
      </c>
      <c r="D296" s="195">
        <v>41.2</v>
      </c>
      <c r="E296" s="705">
        <f t="shared" si="10"/>
        <v>5.1111111111111125</v>
      </c>
    </row>
    <row r="297" spans="2:5">
      <c r="B297" s="943">
        <v>44939</v>
      </c>
      <c r="C297" s="195">
        <f t="shared" si="9"/>
        <v>1</v>
      </c>
      <c r="D297" s="195">
        <v>40.799999999999997</v>
      </c>
      <c r="E297" s="705">
        <f t="shared" si="10"/>
        <v>4.8888888888888875</v>
      </c>
    </row>
    <row r="298" spans="2:5">
      <c r="B298" s="943">
        <v>44939</v>
      </c>
      <c r="C298" s="195">
        <f t="shared" si="9"/>
        <v>1</v>
      </c>
      <c r="D298" s="195">
        <v>40.1</v>
      </c>
      <c r="E298" s="705">
        <f t="shared" si="10"/>
        <v>4.5000000000000009</v>
      </c>
    </row>
    <row r="299" spans="2:5">
      <c r="B299" s="943">
        <v>44939</v>
      </c>
      <c r="C299" s="195">
        <f t="shared" si="9"/>
        <v>1</v>
      </c>
      <c r="D299" s="195">
        <v>39.200000000000003</v>
      </c>
      <c r="E299" s="705">
        <f t="shared" si="10"/>
        <v>4.0000000000000018</v>
      </c>
    </row>
    <row r="300" spans="2:5">
      <c r="B300" s="943">
        <v>44939</v>
      </c>
      <c r="C300" s="195">
        <f t="shared" si="9"/>
        <v>1</v>
      </c>
      <c r="D300" s="195">
        <v>38.799999999999997</v>
      </c>
      <c r="E300" s="705">
        <f t="shared" si="10"/>
        <v>3.7777777777777759</v>
      </c>
    </row>
    <row r="301" spans="2:5">
      <c r="B301" s="943">
        <v>44939</v>
      </c>
      <c r="C301" s="195">
        <f t="shared" si="9"/>
        <v>1</v>
      </c>
      <c r="D301" s="195">
        <v>38.700000000000003</v>
      </c>
      <c r="E301" s="705">
        <f t="shared" si="10"/>
        <v>3.7222222222222237</v>
      </c>
    </row>
    <row r="302" spans="2:5">
      <c r="B302" s="943">
        <v>44939</v>
      </c>
      <c r="C302" s="195">
        <f t="shared" si="9"/>
        <v>1</v>
      </c>
      <c r="D302" s="195" t="s">
        <v>1431</v>
      </c>
      <c r="E302" s="705">
        <f t="shared" si="10"/>
        <v>3.8888888888888888</v>
      </c>
    </row>
    <row r="303" spans="2:5">
      <c r="B303" s="943">
        <v>44939</v>
      </c>
      <c r="C303" s="195">
        <f t="shared" si="9"/>
        <v>1</v>
      </c>
      <c r="D303" s="195">
        <v>40.1</v>
      </c>
      <c r="E303" s="705">
        <f t="shared" si="10"/>
        <v>4.5000000000000009</v>
      </c>
    </row>
    <row r="304" spans="2:5">
      <c r="B304" s="943">
        <v>44939</v>
      </c>
      <c r="C304" s="195">
        <f t="shared" si="9"/>
        <v>1</v>
      </c>
      <c r="D304" s="195">
        <v>40.5</v>
      </c>
      <c r="E304" s="705">
        <f t="shared" si="10"/>
        <v>4.7222222222222223</v>
      </c>
    </row>
    <row r="305" spans="2:5">
      <c r="B305" s="943">
        <v>44939</v>
      </c>
      <c r="C305" s="195">
        <f t="shared" si="9"/>
        <v>1</v>
      </c>
      <c r="D305" s="195">
        <v>40.799999999999997</v>
      </c>
      <c r="E305" s="705">
        <f t="shared" si="10"/>
        <v>4.8888888888888875</v>
      </c>
    </row>
    <row r="306" spans="2:5">
      <c r="B306" s="943">
        <v>44939</v>
      </c>
      <c r="C306" s="195">
        <f t="shared" si="9"/>
        <v>1</v>
      </c>
      <c r="D306" s="195">
        <v>41.2</v>
      </c>
      <c r="E306" s="705">
        <f t="shared" si="10"/>
        <v>5.1111111111111125</v>
      </c>
    </row>
    <row r="307" spans="2:5">
      <c r="B307" s="943">
        <v>44939</v>
      </c>
      <c r="C307" s="195">
        <f t="shared" si="9"/>
        <v>1</v>
      </c>
      <c r="D307" s="195">
        <v>41.2</v>
      </c>
      <c r="E307" s="705">
        <f t="shared" si="10"/>
        <v>5.1111111111111125</v>
      </c>
    </row>
    <row r="308" spans="2:5">
      <c r="B308" s="943">
        <v>44939</v>
      </c>
      <c r="C308" s="195">
        <f t="shared" si="9"/>
        <v>1</v>
      </c>
      <c r="D308" s="195">
        <v>41.2</v>
      </c>
      <c r="E308" s="705">
        <f t="shared" si="10"/>
        <v>5.1111111111111125</v>
      </c>
    </row>
    <row r="309" spans="2:5">
      <c r="B309" s="943">
        <v>44939</v>
      </c>
      <c r="C309" s="195">
        <f t="shared" si="9"/>
        <v>1</v>
      </c>
      <c r="D309" s="195" t="s">
        <v>1429</v>
      </c>
      <c r="E309" s="705">
        <f t="shared" si="10"/>
        <v>5</v>
      </c>
    </row>
    <row r="310" spans="2:5">
      <c r="B310" s="943">
        <v>44939</v>
      </c>
      <c r="C310" s="195">
        <f t="shared" si="9"/>
        <v>1</v>
      </c>
      <c r="D310" s="195">
        <v>40.6</v>
      </c>
      <c r="E310" s="705">
        <f t="shared" si="10"/>
        <v>4.7777777777777786</v>
      </c>
    </row>
    <row r="311" spans="2:5">
      <c r="B311" s="943">
        <v>44939</v>
      </c>
      <c r="C311" s="195">
        <f t="shared" si="9"/>
        <v>1</v>
      </c>
      <c r="D311" s="195">
        <v>39.9</v>
      </c>
      <c r="E311" s="705">
        <f t="shared" si="10"/>
        <v>4.3888888888888884</v>
      </c>
    </row>
    <row r="312" spans="2:5">
      <c r="B312" s="943">
        <v>44939</v>
      </c>
      <c r="C312" s="195">
        <f t="shared" si="9"/>
        <v>1</v>
      </c>
      <c r="D312" s="195">
        <v>39.4</v>
      </c>
      <c r="E312" s="705">
        <f t="shared" si="10"/>
        <v>4.1111111111111098</v>
      </c>
    </row>
    <row r="313" spans="2:5">
      <c r="B313" s="943">
        <v>44939</v>
      </c>
      <c r="C313" s="195">
        <f t="shared" si="9"/>
        <v>1</v>
      </c>
      <c r="D313" s="195">
        <v>39.200000000000003</v>
      </c>
      <c r="E313" s="705">
        <f t="shared" si="10"/>
        <v>4.0000000000000018</v>
      </c>
    </row>
    <row r="314" spans="2:5">
      <c r="B314" s="943">
        <v>44939</v>
      </c>
      <c r="C314" s="195">
        <f t="shared" si="9"/>
        <v>1</v>
      </c>
      <c r="D314" s="195">
        <v>39.200000000000003</v>
      </c>
      <c r="E314" s="705">
        <f t="shared" si="10"/>
        <v>4.0000000000000018</v>
      </c>
    </row>
    <row r="315" spans="2:5">
      <c r="B315" s="943">
        <v>44939</v>
      </c>
      <c r="C315" s="195">
        <f t="shared" si="9"/>
        <v>1</v>
      </c>
      <c r="D315" s="195">
        <v>39.9</v>
      </c>
      <c r="E315" s="705">
        <f t="shared" si="10"/>
        <v>4.3888888888888884</v>
      </c>
    </row>
    <row r="316" spans="2:5">
      <c r="B316" s="943">
        <v>44939</v>
      </c>
      <c r="C316" s="195">
        <f t="shared" si="9"/>
        <v>1</v>
      </c>
      <c r="D316" s="195">
        <v>40.5</v>
      </c>
      <c r="E316" s="705">
        <f t="shared" si="10"/>
        <v>4.7222222222222223</v>
      </c>
    </row>
    <row r="317" spans="2:5">
      <c r="B317" s="943">
        <v>44939</v>
      </c>
      <c r="C317" s="195">
        <f t="shared" si="9"/>
        <v>1</v>
      </c>
      <c r="D317" s="195" t="s">
        <v>1429</v>
      </c>
      <c r="E317" s="705">
        <f t="shared" si="10"/>
        <v>5</v>
      </c>
    </row>
    <row r="318" spans="2:5">
      <c r="B318" s="943">
        <v>44939</v>
      </c>
      <c r="C318" s="195">
        <f t="shared" si="9"/>
        <v>1</v>
      </c>
      <c r="D318" s="195">
        <v>41.2</v>
      </c>
      <c r="E318" s="705">
        <f t="shared" si="10"/>
        <v>5.1111111111111125</v>
      </c>
    </row>
    <row r="319" spans="2:5">
      <c r="B319" s="943">
        <v>44939</v>
      </c>
      <c r="C319" s="195">
        <f t="shared" si="9"/>
        <v>1</v>
      </c>
      <c r="D319" s="195">
        <v>41.5</v>
      </c>
      <c r="E319" s="705">
        <f t="shared" si="10"/>
        <v>5.2777777777777777</v>
      </c>
    </row>
    <row r="320" spans="2:5">
      <c r="B320" s="943">
        <v>44939</v>
      </c>
      <c r="C320" s="195">
        <f t="shared" si="9"/>
        <v>1</v>
      </c>
      <c r="D320" s="195">
        <v>41.4</v>
      </c>
      <c r="E320" s="705">
        <f t="shared" si="10"/>
        <v>5.2222222222222214</v>
      </c>
    </row>
    <row r="321" spans="2:5">
      <c r="B321" s="943">
        <v>44940</v>
      </c>
      <c r="C321" s="195">
        <f t="shared" si="9"/>
        <v>1</v>
      </c>
      <c r="D321" s="195">
        <v>41.2</v>
      </c>
      <c r="E321" s="705">
        <f t="shared" si="10"/>
        <v>5.1111111111111125</v>
      </c>
    </row>
    <row r="322" spans="2:5">
      <c r="B322" s="943">
        <v>44940</v>
      </c>
      <c r="C322" s="195">
        <f t="shared" si="9"/>
        <v>1</v>
      </c>
      <c r="D322" s="195">
        <v>40.6</v>
      </c>
      <c r="E322" s="705">
        <f t="shared" si="10"/>
        <v>4.7777777777777786</v>
      </c>
    </row>
    <row r="323" spans="2:5">
      <c r="B323" s="943">
        <v>44940</v>
      </c>
      <c r="C323" s="195">
        <f t="shared" si="9"/>
        <v>1</v>
      </c>
      <c r="D323" s="195">
        <v>39.9</v>
      </c>
      <c r="E323" s="705">
        <f t="shared" si="10"/>
        <v>4.3888888888888884</v>
      </c>
    </row>
    <row r="324" spans="2:5">
      <c r="B324" s="943">
        <v>44940</v>
      </c>
      <c r="C324" s="195">
        <f t="shared" si="9"/>
        <v>1</v>
      </c>
      <c r="D324" s="195">
        <v>39.200000000000003</v>
      </c>
      <c r="E324" s="705">
        <f t="shared" si="10"/>
        <v>4.0000000000000018</v>
      </c>
    </row>
    <row r="325" spans="2:5">
      <c r="B325" s="943">
        <v>44940</v>
      </c>
      <c r="C325" s="195">
        <f t="shared" si="9"/>
        <v>1</v>
      </c>
      <c r="D325" s="195">
        <v>38.799999999999997</v>
      </c>
      <c r="E325" s="705">
        <f t="shared" si="10"/>
        <v>3.7777777777777759</v>
      </c>
    </row>
    <row r="326" spans="2:5">
      <c r="B326" s="943">
        <v>44940</v>
      </c>
      <c r="C326" s="195">
        <f t="shared" si="9"/>
        <v>1</v>
      </c>
      <c r="D326" s="195">
        <v>38.799999999999997</v>
      </c>
      <c r="E326" s="705">
        <f t="shared" si="10"/>
        <v>3.7777777777777759</v>
      </c>
    </row>
    <row r="327" spans="2:5">
      <c r="B327" s="943">
        <v>44940</v>
      </c>
      <c r="C327" s="195">
        <f t="shared" si="9"/>
        <v>1</v>
      </c>
      <c r="D327" s="195">
        <v>39.200000000000003</v>
      </c>
      <c r="E327" s="705">
        <f t="shared" si="10"/>
        <v>4.0000000000000018</v>
      </c>
    </row>
    <row r="328" spans="2:5">
      <c r="B328" s="943">
        <v>44940</v>
      </c>
      <c r="C328" s="195">
        <f t="shared" si="9"/>
        <v>1</v>
      </c>
      <c r="D328" s="195">
        <v>40.799999999999997</v>
      </c>
      <c r="E328" s="705">
        <f t="shared" si="10"/>
        <v>4.8888888888888875</v>
      </c>
    </row>
    <row r="329" spans="2:5">
      <c r="B329" s="943">
        <v>44940</v>
      </c>
      <c r="C329" s="195">
        <f t="shared" si="9"/>
        <v>1</v>
      </c>
      <c r="D329" s="195">
        <v>41.5</v>
      </c>
      <c r="E329" s="705">
        <f t="shared" si="10"/>
        <v>5.2777777777777777</v>
      </c>
    </row>
    <row r="330" spans="2:5">
      <c r="B330" s="943">
        <v>44940</v>
      </c>
      <c r="C330" s="195">
        <f t="shared" ref="C330:C393" si="11">MONTH(B330)</f>
        <v>1</v>
      </c>
      <c r="D330" s="195">
        <v>41.9</v>
      </c>
      <c r="E330" s="705">
        <f t="shared" ref="E330:E393" si="12">CONVERT(D330,"F","C")</f>
        <v>5.4999999999999991</v>
      </c>
    </row>
    <row r="331" spans="2:5">
      <c r="B331" s="943">
        <v>44940</v>
      </c>
      <c r="C331" s="195">
        <f t="shared" si="11"/>
        <v>1</v>
      </c>
      <c r="D331" s="195">
        <v>41.9</v>
      </c>
      <c r="E331" s="705">
        <f t="shared" si="12"/>
        <v>5.4999999999999991</v>
      </c>
    </row>
    <row r="332" spans="2:5">
      <c r="B332" s="943">
        <v>44940</v>
      </c>
      <c r="C332" s="195">
        <f t="shared" si="11"/>
        <v>1</v>
      </c>
      <c r="D332" s="195">
        <v>41.9</v>
      </c>
      <c r="E332" s="705">
        <f t="shared" si="12"/>
        <v>5.4999999999999991</v>
      </c>
    </row>
    <row r="333" spans="2:5">
      <c r="B333" s="943">
        <v>44940</v>
      </c>
      <c r="C333" s="195">
        <f t="shared" si="11"/>
        <v>1</v>
      </c>
      <c r="D333" s="195">
        <v>41.7</v>
      </c>
      <c r="E333" s="705">
        <f t="shared" si="12"/>
        <v>5.3888888888888902</v>
      </c>
    </row>
    <row r="334" spans="2:5">
      <c r="B334" s="943">
        <v>44940</v>
      </c>
      <c r="C334" s="195">
        <f t="shared" si="11"/>
        <v>1</v>
      </c>
      <c r="D334" s="195">
        <v>41.2</v>
      </c>
      <c r="E334" s="705">
        <f t="shared" si="12"/>
        <v>5.1111111111111125</v>
      </c>
    </row>
    <row r="335" spans="2:5">
      <c r="B335" s="943">
        <v>44940</v>
      </c>
      <c r="C335" s="195">
        <f t="shared" si="11"/>
        <v>1</v>
      </c>
      <c r="D335" s="195">
        <v>40.299999999999997</v>
      </c>
      <c r="E335" s="705">
        <f t="shared" si="12"/>
        <v>4.6111111111111098</v>
      </c>
    </row>
    <row r="336" spans="2:5">
      <c r="B336" s="943">
        <v>44940</v>
      </c>
      <c r="C336" s="195">
        <f t="shared" si="11"/>
        <v>1</v>
      </c>
      <c r="D336" s="195">
        <v>39.4</v>
      </c>
      <c r="E336" s="705">
        <f t="shared" si="12"/>
        <v>4.1111111111111098</v>
      </c>
    </row>
    <row r="337" spans="2:5">
      <c r="B337" s="943">
        <v>44940</v>
      </c>
      <c r="C337" s="195">
        <f t="shared" si="11"/>
        <v>1</v>
      </c>
      <c r="D337" s="195">
        <v>38.799999999999997</v>
      </c>
      <c r="E337" s="705">
        <f t="shared" si="12"/>
        <v>3.7777777777777759</v>
      </c>
    </row>
    <row r="338" spans="2:5">
      <c r="B338" s="943">
        <v>44940</v>
      </c>
      <c r="C338" s="195">
        <f t="shared" si="11"/>
        <v>1</v>
      </c>
      <c r="D338" s="195">
        <v>38.700000000000003</v>
      </c>
      <c r="E338" s="705">
        <f t="shared" si="12"/>
        <v>3.7222222222222237</v>
      </c>
    </row>
    <row r="339" spans="2:5">
      <c r="B339" s="943">
        <v>44940</v>
      </c>
      <c r="C339" s="195">
        <f t="shared" si="11"/>
        <v>1</v>
      </c>
      <c r="D339" s="195" t="s">
        <v>1431</v>
      </c>
      <c r="E339" s="705">
        <f t="shared" si="12"/>
        <v>3.8888888888888888</v>
      </c>
    </row>
    <row r="340" spans="2:5">
      <c r="B340" s="943">
        <v>44940</v>
      </c>
      <c r="C340" s="195">
        <f t="shared" si="11"/>
        <v>1</v>
      </c>
      <c r="D340" s="195">
        <v>40.799999999999997</v>
      </c>
      <c r="E340" s="705">
        <f t="shared" si="12"/>
        <v>4.8888888888888875</v>
      </c>
    </row>
    <row r="341" spans="2:5">
      <c r="B341" s="943">
        <v>44940</v>
      </c>
      <c r="C341" s="195">
        <f t="shared" si="11"/>
        <v>1</v>
      </c>
      <c r="D341" s="195">
        <v>41.4</v>
      </c>
      <c r="E341" s="705">
        <f t="shared" si="12"/>
        <v>5.2222222222222214</v>
      </c>
    </row>
    <row r="342" spans="2:5">
      <c r="B342" s="943">
        <v>44940</v>
      </c>
      <c r="C342" s="195">
        <f t="shared" si="11"/>
        <v>1</v>
      </c>
      <c r="D342" s="195">
        <v>41.7</v>
      </c>
      <c r="E342" s="705">
        <f t="shared" si="12"/>
        <v>5.3888888888888902</v>
      </c>
    </row>
    <row r="343" spans="2:5">
      <c r="B343" s="943">
        <v>44940</v>
      </c>
      <c r="C343" s="195">
        <f t="shared" si="11"/>
        <v>1</v>
      </c>
      <c r="D343" s="195">
        <v>42.1</v>
      </c>
      <c r="E343" s="705">
        <f t="shared" si="12"/>
        <v>5.6111111111111116</v>
      </c>
    </row>
    <row r="344" spans="2:5">
      <c r="B344" s="943">
        <v>44940</v>
      </c>
      <c r="C344" s="195">
        <f t="shared" si="11"/>
        <v>1</v>
      </c>
      <c r="D344" s="195">
        <v>42.1</v>
      </c>
      <c r="E344" s="705">
        <f t="shared" si="12"/>
        <v>5.6111111111111116</v>
      </c>
    </row>
    <row r="345" spans="2:5">
      <c r="B345" s="943">
        <v>44941</v>
      </c>
      <c r="C345" s="195">
        <f t="shared" si="11"/>
        <v>1</v>
      </c>
      <c r="D345" s="195">
        <v>41.7</v>
      </c>
      <c r="E345" s="705">
        <f t="shared" si="12"/>
        <v>5.3888888888888902</v>
      </c>
    </row>
    <row r="346" spans="2:5">
      <c r="B346" s="943">
        <v>44941</v>
      </c>
      <c r="C346" s="195">
        <f t="shared" si="11"/>
        <v>1</v>
      </c>
      <c r="D346" s="195">
        <v>41.5</v>
      </c>
      <c r="E346" s="705">
        <f t="shared" si="12"/>
        <v>5.2777777777777777</v>
      </c>
    </row>
    <row r="347" spans="2:5">
      <c r="B347" s="943">
        <v>44941</v>
      </c>
      <c r="C347" s="195">
        <f t="shared" si="11"/>
        <v>1</v>
      </c>
      <c r="D347" s="195">
        <v>40.6</v>
      </c>
      <c r="E347" s="705">
        <f t="shared" si="12"/>
        <v>4.7777777777777786</v>
      </c>
    </row>
    <row r="348" spans="2:5">
      <c r="B348" s="943">
        <v>44941</v>
      </c>
      <c r="C348" s="195">
        <f t="shared" si="11"/>
        <v>1</v>
      </c>
      <c r="D348" s="195">
        <v>39.6</v>
      </c>
      <c r="E348" s="705">
        <f t="shared" si="12"/>
        <v>4.2222222222222232</v>
      </c>
    </row>
    <row r="349" spans="2:5">
      <c r="B349" s="943">
        <v>44941</v>
      </c>
      <c r="C349" s="195">
        <f t="shared" si="11"/>
        <v>1</v>
      </c>
      <c r="D349" s="195">
        <v>38.799999999999997</v>
      </c>
      <c r="E349" s="705">
        <f t="shared" si="12"/>
        <v>3.7777777777777759</v>
      </c>
    </row>
    <row r="350" spans="2:5">
      <c r="B350" s="943">
        <v>44941</v>
      </c>
      <c r="C350" s="195">
        <f t="shared" si="11"/>
        <v>1</v>
      </c>
      <c r="D350" s="195">
        <v>38.5</v>
      </c>
      <c r="E350" s="705">
        <f t="shared" si="12"/>
        <v>3.6111111111111112</v>
      </c>
    </row>
    <row r="351" spans="2:5">
      <c r="B351" s="943">
        <v>44941</v>
      </c>
      <c r="C351" s="195">
        <f t="shared" si="11"/>
        <v>1</v>
      </c>
      <c r="D351" s="195">
        <v>38.5</v>
      </c>
      <c r="E351" s="705">
        <f t="shared" si="12"/>
        <v>3.6111111111111112</v>
      </c>
    </row>
    <row r="352" spans="2:5">
      <c r="B352" s="943">
        <v>44941</v>
      </c>
      <c r="C352" s="195">
        <f t="shared" si="11"/>
        <v>1</v>
      </c>
      <c r="D352" s="195">
        <v>39.6</v>
      </c>
      <c r="E352" s="705">
        <f t="shared" si="12"/>
        <v>4.2222222222222232</v>
      </c>
    </row>
    <row r="353" spans="2:5">
      <c r="B353" s="943">
        <v>44941</v>
      </c>
      <c r="C353" s="195">
        <f t="shared" si="11"/>
        <v>1</v>
      </c>
      <c r="D353" s="195">
        <v>41.2</v>
      </c>
      <c r="E353" s="705">
        <f t="shared" si="12"/>
        <v>5.1111111111111125</v>
      </c>
    </row>
    <row r="354" spans="2:5">
      <c r="B354" s="943">
        <v>44941</v>
      </c>
      <c r="C354" s="195">
        <f t="shared" si="11"/>
        <v>1</v>
      </c>
      <c r="D354" s="195" t="s">
        <v>1429</v>
      </c>
      <c r="E354" s="705">
        <f t="shared" si="12"/>
        <v>5</v>
      </c>
    </row>
    <row r="355" spans="2:5">
      <c r="B355" s="943">
        <v>44941</v>
      </c>
      <c r="C355" s="195">
        <f t="shared" si="11"/>
        <v>1</v>
      </c>
      <c r="D355" s="195">
        <v>41.4</v>
      </c>
      <c r="E355" s="705">
        <f t="shared" si="12"/>
        <v>5.2222222222222214</v>
      </c>
    </row>
    <row r="356" spans="2:5">
      <c r="B356" s="943">
        <v>44941</v>
      </c>
      <c r="C356" s="195">
        <f t="shared" si="11"/>
        <v>1</v>
      </c>
      <c r="D356" s="195">
        <v>41.5</v>
      </c>
      <c r="E356" s="705">
        <f t="shared" si="12"/>
        <v>5.2777777777777777</v>
      </c>
    </row>
    <row r="357" spans="2:5">
      <c r="B357" s="943">
        <v>44941</v>
      </c>
      <c r="C357" s="195">
        <f t="shared" si="11"/>
        <v>1</v>
      </c>
      <c r="D357" s="195">
        <v>41.2</v>
      </c>
      <c r="E357" s="705">
        <f t="shared" si="12"/>
        <v>5.1111111111111125</v>
      </c>
    </row>
    <row r="358" spans="2:5">
      <c r="B358" s="943">
        <v>44941</v>
      </c>
      <c r="C358" s="195">
        <f t="shared" si="11"/>
        <v>1</v>
      </c>
      <c r="D358" s="195">
        <v>41.2</v>
      </c>
      <c r="E358" s="705">
        <f t="shared" si="12"/>
        <v>5.1111111111111125</v>
      </c>
    </row>
    <row r="359" spans="2:5">
      <c r="B359" s="943">
        <v>44941</v>
      </c>
      <c r="C359" s="195">
        <f t="shared" si="11"/>
        <v>1</v>
      </c>
      <c r="D359" s="195">
        <v>40.799999999999997</v>
      </c>
      <c r="E359" s="705">
        <f t="shared" si="12"/>
        <v>4.8888888888888875</v>
      </c>
    </row>
    <row r="360" spans="2:5">
      <c r="B360" s="943">
        <v>44941</v>
      </c>
      <c r="C360" s="195">
        <f t="shared" si="11"/>
        <v>1</v>
      </c>
      <c r="D360" s="195">
        <v>39.9</v>
      </c>
      <c r="E360" s="705">
        <f t="shared" si="12"/>
        <v>4.3888888888888884</v>
      </c>
    </row>
    <row r="361" spans="2:5">
      <c r="B361" s="943">
        <v>44941</v>
      </c>
      <c r="C361" s="195">
        <f t="shared" si="11"/>
        <v>1</v>
      </c>
      <c r="D361" s="195">
        <v>39.200000000000003</v>
      </c>
      <c r="E361" s="705">
        <f t="shared" si="12"/>
        <v>4.0000000000000018</v>
      </c>
    </row>
    <row r="362" spans="2:5">
      <c r="B362" s="943">
        <v>44941</v>
      </c>
      <c r="C362" s="195">
        <f t="shared" si="11"/>
        <v>1</v>
      </c>
      <c r="D362" s="195">
        <v>38.799999999999997</v>
      </c>
      <c r="E362" s="705">
        <f t="shared" si="12"/>
        <v>3.7777777777777759</v>
      </c>
    </row>
    <row r="363" spans="2:5">
      <c r="B363" s="943">
        <v>44941</v>
      </c>
      <c r="C363" s="195">
        <f t="shared" si="11"/>
        <v>1</v>
      </c>
      <c r="D363" s="195">
        <v>38.700000000000003</v>
      </c>
      <c r="E363" s="705">
        <f t="shared" si="12"/>
        <v>3.7222222222222237</v>
      </c>
    </row>
    <row r="364" spans="2:5">
      <c r="B364" s="943">
        <v>44941</v>
      </c>
      <c r="C364" s="195">
        <f t="shared" si="11"/>
        <v>1</v>
      </c>
      <c r="D364" s="195">
        <v>39.4</v>
      </c>
      <c r="E364" s="705">
        <f t="shared" si="12"/>
        <v>4.1111111111111098</v>
      </c>
    </row>
    <row r="365" spans="2:5">
      <c r="B365" s="943">
        <v>44941</v>
      </c>
      <c r="C365" s="195">
        <f t="shared" si="11"/>
        <v>1</v>
      </c>
      <c r="D365" s="195">
        <v>39.9</v>
      </c>
      <c r="E365" s="705">
        <f t="shared" si="12"/>
        <v>4.3888888888888884</v>
      </c>
    </row>
    <row r="366" spans="2:5">
      <c r="B366" s="943">
        <v>44941</v>
      </c>
      <c r="C366" s="195">
        <f t="shared" si="11"/>
        <v>1</v>
      </c>
      <c r="D366" s="195">
        <v>40.6</v>
      </c>
      <c r="E366" s="705">
        <f t="shared" si="12"/>
        <v>4.7777777777777786</v>
      </c>
    </row>
    <row r="367" spans="2:5">
      <c r="B367" s="943">
        <v>44941</v>
      </c>
      <c r="C367" s="195">
        <f t="shared" si="11"/>
        <v>1</v>
      </c>
      <c r="D367" s="195">
        <v>40.6</v>
      </c>
      <c r="E367" s="705">
        <f t="shared" si="12"/>
        <v>4.7777777777777786</v>
      </c>
    </row>
    <row r="368" spans="2:5">
      <c r="B368" s="943">
        <v>44941</v>
      </c>
      <c r="C368" s="195">
        <f t="shared" si="11"/>
        <v>1</v>
      </c>
      <c r="D368" s="195">
        <v>40.6</v>
      </c>
      <c r="E368" s="705">
        <f t="shared" si="12"/>
        <v>4.7777777777777786</v>
      </c>
    </row>
    <row r="369" spans="2:5">
      <c r="B369" s="943">
        <v>44942</v>
      </c>
      <c r="C369" s="195">
        <f t="shared" si="11"/>
        <v>1</v>
      </c>
      <c r="D369" s="195">
        <v>40.799999999999997</v>
      </c>
      <c r="E369" s="705">
        <f t="shared" si="12"/>
        <v>4.8888888888888875</v>
      </c>
    </row>
    <row r="370" spans="2:5">
      <c r="B370" s="943">
        <v>44942</v>
      </c>
      <c r="C370" s="195">
        <f t="shared" si="11"/>
        <v>1</v>
      </c>
      <c r="D370" s="195">
        <v>40.5</v>
      </c>
      <c r="E370" s="705">
        <f t="shared" si="12"/>
        <v>4.7222222222222223</v>
      </c>
    </row>
    <row r="371" spans="2:5">
      <c r="B371" s="943">
        <v>44942</v>
      </c>
      <c r="C371" s="195">
        <f t="shared" si="11"/>
        <v>1</v>
      </c>
      <c r="D371" s="195">
        <v>40.5</v>
      </c>
      <c r="E371" s="705">
        <f t="shared" si="12"/>
        <v>4.7222222222222223</v>
      </c>
    </row>
    <row r="372" spans="2:5">
      <c r="B372" s="943">
        <v>44942</v>
      </c>
      <c r="C372" s="195">
        <f t="shared" si="11"/>
        <v>1</v>
      </c>
      <c r="D372" s="195">
        <v>39.700000000000003</v>
      </c>
      <c r="E372" s="705">
        <f t="shared" si="12"/>
        <v>4.2777777777777795</v>
      </c>
    </row>
    <row r="373" spans="2:5">
      <c r="B373" s="943">
        <v>44942</v>
      </c>
      <c r="C373" s="195">
        <f t="shared" si="11"/>
        <v>1</v>
      </c>
      <c r="D373" s="195" t="s">
        <v>1431</v>
      </c>
      <c r="E373" s="705">
        <f t="shared" si="12"/>
        <v>3.8888888888888888</v>
      </c>
    </row>
    <row r="374" spans="2:5">
      <c r="B374" s="943">
        <v>44942</v>
      </c>
      <c r="C374" s="195">
        <f t="shared" si="11"/>
        <v>1</v>
      </c>
      <c r="D374" s="195">
        <v>38.5</v>
      </c>
      <c r="E374" s="705">
        <f t="shared" si="12"/>
        <v>3.6111111111111112</v>
      </c>
    </row>
    <row r="375" spans="2:5">
      <c r="B375" s="943">
        <v>44942</v>
      </c>
      <c r="C375" s="195">
        <f t="shared" si="11"/>
        <v>1</v>
      </c>
      <c r="D375" s="195">
        <v>38.1</v>
      </c>
      <c r="E375" s="705">
        <f t="shared" si="12"/>
        <v>3.3888888888888897</v>
      </c>
    </row>
    <row r="376" spans="2:5">
      <c r="B376" s="943">
        <v>44942</v>
      </c>
      <c r="C376" s="195">
        <f t="shared" si="11"/>
        <v>1</v>
      </c>
      <c r="D376" s="195">
        <v>38.299999999999997</v>
      </c>
      <c r="E376" s="705">
        <f t="shared" si="12"/>
        <v>3.4999999999999982</v>
      </c>
    </row>
    <row r="377" spans="2:5">
      <c r="B377" s="943">
        <v>44942</v>
      </c>
      <c r="C377" s="195">
        <f t="shared" si="11"/>
        <v>1</v>
      </c>
      <c r="D377" s="195">
        <v>39.4</v>
      </c>
      <c r="E377" s="705">
        <f t="shared" si="12"/>
        <v>4.1111111111111098</v>
      </c>
    </row>
    <row r="378" spans="2:5">
      <c r="B378" s="943">
        <v>44942</v>
      </c>
      <c r="C378" s="195">
        <f t="shared" si="11"/>
        <v>1</v>
      </c>
      <c r="D378" s="195">
        <v>39.700000000000003</v>
      </c>
      <c r="E378" s="705">
        <f t="shared" si="12"/>
        <v>4.2777777777777795</v>
      </c>
    </row>
    <row r="379" spans="2:5">
      <c r="B379" s="943">
        <v>44942</v>
      </c>
      <c r="C379" s="195">
        <f t="shared" si="11"/>
        <v>1</v>
      </c>
      <c r="D379" s="195">
        <v>40.1</v>
      </c>
      <c r="E379" s="705">
        <f t="shared" si="12"/>
        <v>4.5000000000000009</v>
      </c>
    </row>
    <row r="380" spans="2:5">
      <c r="B380" s="943">
        <v>44942</v>
      </c>
      <c r="C380" s="195">
        <f t="shared" si="11"/>
        <v>1</v>
      </c>
      <c r="D380" s="195">
        <v>40.1</v>
      </c>
      <c r="E380" s="705">
        <f t="shared" si="12"/>
        <v>4.5000000000000009</v>
      </c>
    </row>
    <row r="381" spans="2:5">
      <c r="B381" s="943">
        <v>44942</v>
      </c>
      <c r="C381" s="195">
        <f t="shared" si="11"/>
        <v>1</v>
      </c>
      <c r="D381" s="195">
        <v>40.5</v>
      </c>
      <c r="E381" s="705">
        <f t="shared" si="12"/>
        <v>4.7222222222222223</v>
      </c>
    </row>
    <row r="382" spans="2:5">
      <c r="B382" s="943">
        <v>44942</v>
      </c>
      <c r="C382" s="195">
        <f t="shared" si="11"/>
        <v>1</v>
      </c>
      <c r="D382" s="195">
        <v>40.1</v>
      </c>
      <c r="E382" s="705">
        <f t="shared" si="12"/>
        <v>4.5000000000000009</v>
      </c>
    </row>
    <row r="383" spans="2:5">
      <c r="B383" s="943">
        <v>44942</v>
      </c>
      <c r="C383" s="195">
        <f t="shared" si="11"/>
        <v>1</v>
      </c>
      <c r="D383" s="195">
        <v>40.1</v>
      </c>
      <c r="E383" s="705">
        <f t="shared" si="12"/>
        <v>4.5000000000000009</v>
      </c>
    </row>
    <row r="384" spans="2:5">
      <c r="B384" s="943">
        <v>44942</v>
      </c>
      <c r="C384" s="195">
        <f t="shared" si="11"/>
        <v>1</v>
      </c>
      <c r="D384" s="195">
        <v>39.6</v>
      </c>
      <c r="E384" s="705">
        <f t="shared" si="12"/>
        <v>4.2222222222222232</v>
      </c>
    </row>
    <row r="385" spans="2:5">
      <c r="B385" s="943">
        <v>44942</v>
      </c>
      <c r="C385" s="195">
        <f t="shared" si="11"/>
        <v>1</v>
      </c>
      <c r="D385" s="195">
        <v>38.799999999999997</v>
      </c>
      <c r="E385" s="705">
        <f t="shared" si="12"/>
        <v>3.7777777777777759</v>
      </c>
    </row>
    <row r="386" spans="2:5">
      <c r="B386" s="943">
        <v>44942</v>
      </c>
      <c r="C386" s="195">
        <f t="shared" si="11"/>
        <v>1</v>
      </c>
      <c r="D386" s="195">
        <v>38.1</v>
      </c>
      <c r="E386" s="705">
        <f t="shared" si="12"/>
        <v>3.3888888888888897</v>
      </c>
    </row>
    <row r="387" spans="2:5">
      <c r="B387" s="943">
        <v>44942</v>
      </c>
      <c r="C387" s="195">
        <f t="shared" si="11"/>
        <v>1</v>
      </c>
      <c r="D387" s="195">
        <v>37.799999999999997</v>
      </c>
      <c r="E387" s="705">
        <f t="shared" si="12"/>
        <v>3.2222222222222205</v>
      </c>
    </row>
    <row r="388" spans="2:5">
      <c r="B388" s="943">
        <v>44942</v>
      </c>
      <c r="C388" s="195">
        <f t="shared" si="11"/>
        <v>1</v>
      </c>
      <c r="D388" s="195">
        <v>37.799999999999997</v>
      </c>
      <c r="E388" s="705">
        <f t="shared" si="12"/>
        <v>3.2222222222222205</v>
      </c>
    </row>
    <row r="389" spans="2:5">
      <c r="B389" s="943">
        <v>44942</v>
      </c>
      <c r="C389" s="195">
        <f t="shared" si="11"/>
        <v>1</v>
      </c>
      <c r="D389" s="195">
        <v>38.1</v>
      </c>
      <c r="E389" s="705">
        <f t="shared" si="12"/>
        <v>3.3888888888888897</v>
      </c>
    </row>
    <row r="390" spans="2:5">
      <c r="B390" s="943">
        <v>44942</v>
      </c>
      <c r="C390" s="195">
        <f t="shared" si="11"/>
        <v>1</v>
      </c>
      <c r="D390" s="195" t="s">
        <v>1431</v>
      </c>
      <c r="E390" s="705">
        <f t="shared" si="12"/>
        <v>3.8888888888888888</v>
      </c>
    </row>
    <row r="391" spans="2:5">
      <c r="B391" s="943">
        <v>44942</v>
      </c>
      <c r="C391" s="195">
        <f t="shared" si="11"/>
        <v>1</v>
      </c>
      <c r="D391" s="195">
        <v>39.700000000000003</v>
      </c>
      <c r="E391" s="705">
        <f t="shared" si="12"/>
        <v>4.2777777777777795</v>
      </c>
    </row>
    <row r="392" spans="2:5">
      <c r="B392" s="943">
        <v>44942</v>
      </c>
      <c r="C392" s="195">
        <f t="shared" si="11"/>
        <v>1</v>
      </c>
      <c r="D392" s="195">
        <v>39.700000000000003</v>
      </c>
      <c r="E392" s="705">
        <f t="shared" si="12"/>
        <v>4.2777777777777795</v>
      </c>
    </row>
    <row r="393" spans="2:5">
      <c r="B393" s="943">
        <v>44943</v>
      </c>
      <c r="C393" s="195">
        <f t="shared" si="11"/>
        <v>1</v>
      </c>
      <c r="D393" s="195">
        <v>40.299999999999997</v>
      </c>
      <c r="E393" s="705">
        <f t="shared" si="12"/>
        <v>4.6111111111111098</v>
      </c>
    </row>
    <row r="394" spans="2:5">
      <c r="B394" s="943">
        <v>44943</v>
      </c>
      <c r="C394" s="195">
        <f t="shared" ref="C394:C457" si="13">MONTH(B394)</f>
        <v>1</v>
      </c>
      <c r="D394" s="195">
        <v>40.1</v>
      </c>
      <c r="E394" s="705">
        <f t="shared" ref="E394:E457" si="14">CONVERT(D394,"F","C")</f>
        <v>4.5000000000000009</v>
      </c>
    </row>
    <row r="395" spans="2:5">
      <c r="B395" s="943">
        <v>44943</v>
      </c>
      <c r="C395" s="195">
        <f t="shared" si="13"/>
        <v>1</v>
      </c>
      <c r="D395" s="195">
        <v>39.9</v>
      </c>
      <c r="E395" s="705">
        <f t="shared" si="14"/>
        <v>4.3888888888888884</v>
      </c>
    </row>
    <row r="396" spans="2:5">
      <c r="B396" s="943">
        <v>44943</v>
      </c>
      <c r="C396" s="195">
        <f t="shared" si="13"/>
        <v>1</v>
      </c>
      <c r="D396" s="195">
        <v>39.6</v>
      </c>
      <c r="E396" s="705">
        <f t="shared" si="14"/>
        <v>4.2222222222222232</v>
      </c>
    </row>
    <row r="397" spans="2:5">
      <c r="B397" s="943">
        <v>44943</v>
      </c>
      <c r="C397" s="195">
        <f t="shared" si="13"/>
        <v>1</v>
      </c>
      <c r="D397" s="195">
        <v>38.799999999999997</v>
      </c>
      <c r="E397" s="705">
        <f t="shared" si="14"/>
        <v>3.7777777777777759</v>
      </c>
    </row>
    <row r="398" spans="2:5">
      <c r="B398" s="943">
        <v>44943</v>
      </c>
      <c r="C398" s="195">
        <f t="shared" si="13"/>
        <v>1</v>
      </c>
      <c r="D398" s="195">
        <v>38.1</v>
      </c>
      <c r="E398" s="705">
        <f t="shared" si="14"/>
        <v>3.3888888888888897</v>
      </c>
    </row>
    <row r="399" spans="2:5">
      <c r="B399" s="943">
        <v>44943</v>
      </c>
      <c r="C399" s="195">
        <f t="shared" si="13"/>
        <v>1</v>
      </c>
      <c r="D399" s="195">
        <v>37.799999999999997</v>
      </c>
      <c r="E399" s="705">
        <f t="shared" si="14"/>
        <v>3.2222222222222205</v>
      </c>
    </row>
    <row r="400" spans="2:5">
      <c r="B400" s="943">
        <v>44943</v>
      </c>
      <c r="C400" s="195">
        <f t="shared" si="13"/>
        <v>1</v>
      </c>
      <c r="D400" s="195">
        <v>37.6</v>
      </c>
      <c r="E400" s="705">
        <f t="shared" si="14"/>
        <v>3.1111111111111116</v>
      </c>
    </row>
    <row r="401" spans="2:5">
      <c r="B401" s="943">
        <v>44943</v>
      </c>
      <c r="C401" s="195">
        <f t="shared" si="13"/>
        <v>1</v>
      </c>
      <c r="D401" s="195">
        <v>37.9</v>
      </c>
      <c r="E401" s="705">
        <f t="shared" si="14"/>
        <v>3.2777777777777768</v>
      </c>
    </row>
    <row r="402" spans="2:5">
      <c r="B402" s="943">
        <v>44943</v>
      </c>
      <c r="C402" s="195">
        <f t="shared" si="13"/>
        <v>1</v>
      </c>
      <c r="D402" s="195">
        <v>38.700000000000003</v>
      </c>
      <c r="E402" s="705">
        <f t="shared" si="14"/>
        <v>3.7222222222222237</v>
      </c>
    </row>
    <row r="403" spans="2:5">
      <c r="B403" s="943">
        <v>44943</v>
      </c>
      <c r="C403" s="195">
        <f t="shared" si="13"/>
        <v>1</v>
      </c>
      <c r="D403" s="195">
        <v>39.4</v>
      </c>
      <c r="E403" s="705">
        <f t="shared" si="14"/>
        <v>4.1111111111111098</v>
      </c>
    </row>
    <row r="404" spans="2:5">
      <c r="B404" s="943">
        <v>44943</v>
      </c>
      <c r="C404" s="195">
        <f t="shared" si="13"/>
        <v>1</v>
      </c>
      <c r="D404" s="195">
        <v>39.9</v>
      </c>
      <c r="E404" s="705">
        <f t="shared" si="14"/>
        <v>4.3888888888888884</v>
      </c>
    </row>
    <row r="405" spans="2:5">
      <c r="B405" s="943">
        <v>44943</v>
      </c>
      <c r="C405" s="195">
        <f t="shared" si="13"/>
        <v>1</v>
      </c>
      <c r="D405" s="195">
        <v>40.299999999999997</v>
      </c>
      <c r="E405" s="705">
        <f t="shared" si="14"/>
        <v>4.6111111111111098</v>
      </c>
    </row>
    <row r="406" spans="2:5">
      <c r="B406" s="943">
        <v>44943</v>
      </c>
      <c r="C406" s="195">
        <f t="shared" si="13"/>
        <v>1</v>
      </c>
      <c r="D406" s="195">
        <v>40.5</v>
      </c>
      <c r="E406" s="705">
        <f t="shared" si="14"/>
        <v>4.7222222222222223</v>
      </c>
    </row>
    <row r="407" spans="2:5">
      <c r="B407" s="943">
        <v>44943</v>
      </c>
      <c r="C407" s="195">
        <f t="shared" si="13"/>
        <v>1</v>
      </c>
      <c r="D407" s="195">
        <v>40.299999999999997</v>
      </c>
      <c r="E407" s="705">
        <f t="shared" si="14"/>
        <v>4.6111111111111098</v>
      </c>
    </row>
    <row r="408" spans="2:5">
      <c r="B408" s="943">
        <v>44943</v>
      </c>
      <c r="C408" s="195">
        <f t="shared" si="13"/>
        <v>1</v>
      </c>
      <c r="D408" s="195">
        <v>40.299999999999997</v>
      </c>
      <c r="E408" s="705">
        <f t="shared" si="14"/>
        <v>4.6111111111111098</v>
      </c>
    </row>
    <row r="409" spans="2:5">
      <c r="B409" s="943">
        <v>44943</v>
      </c>
      <c r="C409" s="195">
        <f t="shared" si="13"/>
        <v>1</v>
      </c>
      <c r="D409" s="195">
        <v>39.700000000000003</v>
      </c>
      <c r="E409" s="705">
        <f t="shared" si="14"/>
        <v>4.2777777777777795</v>
      </c>
    </row>
    <row r="410" spans="2:5">
      <c r="B410" s="943">
        <v>44943</v>
      </c>
      <c r="C410" s="195">
        <f t="shared" si="13"/>
        <v>1</v>
      </c>
      <c r="D410" s="195">
        <v>38.700000000000003</v>
      </c>
      <c r="E410" s="705">
        <f t="shared" si="14"/>
        <v>3.7222222222222237</v>
      </c>
    </row>
    <row r="411" spans="2:5">
      <c r="B411" s="943">
        <v>44943</v>
      </c>
      <c r="C411" s="195">
        <f t="shared" si="13"/>
        <v>1</v>
      </c>
      <c r="D411" s="195">
        <v>38.1</v>
      </c>
      <c r="E411" s="705">
        <f t="shared" si="14"/>
        <v>3.3888888888888897</v>
      </c>
    </row>
    <row r="412" spans="2:5">
      <c r="B412" s="943">
        <v>44943</v>
      </c>
      <c r="C412" s="195">
        <f t="shared" si="13"/>
        <v>1</v>
      </c>
      <c r="D412" s="195">
        <v>37.799999999999997</v>
      </c>
      <c r="E412" s="705">
        <f t="shared" si="14"/>
        <v>3.2222222222222205</v>
      </c>
    </row>
    <row r="413" spans="2:5">
      <c r="B413" s="943">
        <v>44943</v>
      </c>
      <c r="C413" s="195">
        <f t="shared" si="13"/>
        <v>1</v>
      </c>
      <c r="D413" s="195">
        <v>37.6</v>
      </c>
      <c r="E413" s="705">
        <f t="shared" si="14"/>
        <v>3.1111111111111116</v>
      </c>
    </row>
    <row r="414" spans="2:5">
      <c r="B414" s="943">
        <v>44943</v>
      </c>
      <c r="C414" s="195">
        <f t="shared" si="13"/>
        <v>1</v>
      </c>
      <c r="D414" s="195">
        <v>37.799999999999997</v>
      </c>
      <c r="E414" s="705">
        <f t="shared" si="14"/>
        <v>3.2222222222222205</v>
      </c>
    </row>
    <row r="415" spans="2:5">
      <c r="B415" s="943">
        <v>44943</v>
      </c>
      <c r="C415" s="195">
        <f t="shared" si="13"/>
        <v>1</v>
      </c>
      <c r="D415" s="195">
        <v>39.200000000000003</v>
      </c>
      <c r="E415" s="705">
        <f t="shared" si="14"/>
        <v>4.0000000000000018</v>
      </c>
    </row>
    <row r="416" spans="2:5">
      <c r="B416" s="943">
        <v>44943</v>
      </c>
      <c r="C416" s="195">
        <f t="shared" si="13"/>
        <v>1</v>
      </c>
      <c r="D416" s="195">
        <v>40.1</v>
      </c>
      <c r="E416" s="705">
        <f t="shared" si="14"/>
        <v>4.5000000000000009</v>
      </c>
    </row>
    <row r="417" spans="2:5">
      <c r="B417" s="943">
        <v>44944</v>
      </c>
      <c r="C417" s="195">
        <f t="shared" si="13"/>
        <v>1</v>
      </c>
      <c r="D417" s="195">
        <v>40.5</v>
      </c>
      <c r="E417" s="705">
        <f t="shared" si="14"/>
        <v>4.7222222222222223</v>
      </c>
    </row>
    <row r="418" spans="2:5">
      <c r="B418" s="943">
        <v>44944</v>
      </c>
      <c r="C418" s="195">
        <f t="shared" si="13"/>
        <v>1</v>
      </c>
      <c r="D418" s="195">
        <v>40.6</v>
      </c>
      <c r="E418" s="705">
        <f t="shared" si="14"/>
        <v>4.7777777777777786</v>
      </c>
    </row>
    <row r="419" spans="2:5">
      <c r="B419" s="943">
        <v>44944</v>
      </c>
      <c r="C419" s="195">
        <f t="shared" si="13"/>
        <v>1</v>
      </c>
      <c r="D419" s="195">
        <v>40.6</v>
      </c>
      <c r="E419" s="705">
        <f t="shared" si="14"/>
        <v>4.7777777777777786</v>
      </c>
    </row>
    <row r="420" spans="2:5">
      <c r="B420" s="943">
        <v>44944</v>
      </c>
      <c r="C420" s="195">
        <f t="shared" si="13"/>
        <v>1</v>
      </c>
      <c r="D420" s="195">
        <v>40.5</v>
      </c>
      <c r="E420" s="705">
        <f t="shared" si="14"/>
        <v>4.7222222222222223</v>
      </c>
    </row>
    <row r="421" spans="2:5">
      <c r="B421" s="943">
        <v>44944</v>
      </c>
      <c r="C421" s="195">
        <f t="shared" si="13"/>
        <v>1</v>
      </c>
      <c r="D421" s="195">
        <v>40.299999999999997</v>
      </c>
      <c r="E421" s="705">
        <f t="shared" si="14"/>
        <v>4.6111111111111098</v>
      </c>
    </row>
    <row r="422" spans="2:5">
      <c r="B422" s="943">
        <v>44944</v>
      </c>
      <c r="C422" s="195">
        <f t="shared" si="13"/>
        <v>1</v>
      </c>
      <c r="D422" s="195">
        <v>39.4</v>
      </c>
      <c r="E422" s="705">
        <f t="shared" si="14"/>
        <v>4.1111111111111098</v>
      </c>
    </row>
    <row r="423" spans="2:5">
      <c r="B423" s="943">
        <v>44944</v>
      </c>
      <c r="C423" s="195">
        <f t="shared" si="13"/>
        <v>1</v>
      </c>
      <c r="D423" s="195">
        <v>38.700000000000003</v>
      </c>
      <c r="E423" s="705">
        <f t="shared" si="14"/>
        <v>3.7222222222222237</v>
      </c>
    </row>
    <row r="424" spans="2:5">
      <c r="B424" s="943">
        <v>44944</v>
      </c>
      <c r="C424" s="195">
        <f t="shared" si="13"/>
        <v>1</v>
      </c>
      <c r="D424" s="195">
        <v>37.9</v>
      </c>
      <c r="E424" s="705">
        <f t="shared" si="14"/>
        <v>3.2777777777777768</v>
      </c>
    </row>
    <row r="425" spans="2:5">
      <c r="B425" s="943">
        <v>44944</v>
      </c>
      <c r="C425" s="195">
        <f t="shared" si="13"/>
        <v>1</v>
      </c>
      <c r="D425" s="195">
        <v>37.799999999999997</v>
      </c>
      <c r="E425" s="705">
        <f t="shared" si="14"/>
        <v>3.2222222222222205</v>
      </c>
    </row>
    <row r="426" spans="2:5">
      <c r="B426" s="943">
        <v>44944</v>
      </c>
      <c r="C426" s="195">
        <f t="shared" si="13"/>
        <v>1</v>
      </c>
      <c r="D426" s="195">
        <v>38.5</v>
      </c>
      <c r="E426" s="705">
        <f t="shared" si="14"/>
        <v>3.6111111111111112</v>
      </c>
    </row>
    <row r="427" spans="2:5">
      <c r="B427" s="943">
        <v>44944</v>
      </c>
      <c r="C427" s="195">
        <f t="shared" si="13"/>
        <v>1</v>
      </c>
      <c r="D427" s="195">
        <v>39.4</v>
      </c>
      <c r="E427" s="705">
        <f t="shared" si="14"/>
        <v>4.1111111111111098</v>
      </c>
    </row>
    <row r="428" spans="2:5">
      <c r="B428" s="943">
        <v>44944</v>
      </c>
      <c r="C428" s="195">
        <f t="shared" si="13"/>
        <v>1</v>
      </c>
      <c r="D428" s="195">
        <v>39.9</v>
      </c>
      <c r="E428" s="705">
        <f t="shared" si="14"/>
        <v>4.3888888888888884</v>
      </c>
    </row>
    <row r="429" spans="2:5">
      <c r="B429" s="943">
        <v>44944</v>
      </c>
      <c r="C429" s="195">
        <f t="shared" si="13"/>
        <v>1</v>
      </c>
      <c r="D429" s="195">
        <v>40.5</v>
      </c>
      <c r="E429" s="705">
        <f t="shared" si="14"/>
        <v>4.7222222222222223</v>
      </c>
    </row>
    <row r="430" spans="2:5">
      <c r="B430" s="943">
        <v>44944</v>
      </c>
      <c r="C430" s="195">
        <f t="shared" si="13"/>
        <v>1</v>
      </c>
      <c r="D430" s="195">
        <v>40.799999999999997</v>
      </c>
      <c r="E430" s="705">
        <f t="shared" si="14"/>
        <v>4.8888888888888875</v>
      </c>
    </row>
    <row r="431" spans="2:5">
      <c r="B431" s="943">
        <v>44944</v>
      </c>
      <c r="C431" s="195">
        <f t="shared" si="13"/>
        <v>1</v>
      </c>
      <c r="D431" s="195" t="s">
        <v>1429</v>
      </c>
      <c r="E431" s="705">
        <f t="shared" si="14"/>
        <v>5</v>
      </c>
    </row>
    <row r="432" spans="2:5">
      <c r="B432" s="943">
        <v>44944</v>
      </c>
      <c r="C432" s="195">
        <f t="shared" si="13"/>
        <v>1</v>
      </c>
      <c r="D432" s="195" t="s">
        <v>1429</v>
      </c>
      <c r="E432" s="705">
        <f t="shared" si="14"/>
        <v>5</v>
      </c>
    </row>
    <row r="433" spans="2:5">
      <c r="B433" s="943">
        <v>44944</v>
      </c>
      <c r="C433" s="195">
        <f t="shared" si="13"/>
        <v>1</v>
      </c>
      <c r="D433" s="195">
        <v>40.799999999999997</v>
      </c>
      <c r="E433" s="705">
        <f t="shared" si="14"/>
        <v>4.8888888888888875</v>
      </c>
    </row>
    <row r="434" spans="2:5">
      <c r="B434" s="943">
        <v>44944</v>
      </c>
      <c r="C434" s="195">
        <f t="shared" si="13"/>
        <v>1</v>
      </c>
      <c r="D434" s="195">
        <v>40.299999999999997</v>
      </c>
      <c r="E434" s="705">
        <f t="shared" si="14"/>
        <v>4.6111111111111098</v>
      </c>
    </row>
    <row r="435" spans="2:5">
      <c r="B435" s="943">
        <v>44944</v>
      </c>
      <c r="C435" s="195">
        <f t="shared" si="13"/>
        <v>1</v>
      </c>
      <c r="D435" s="195">
        <v>39.4</v>
      </c>
      <c r="E435" s="705">
        <f t="shared" si="14"/>
        <v>4.1111111111111098</v>
      </c>
    </row>
    <row r="436" spans="2:5">
      <c r="B436" s="943">
        <v>44944</v>
      </c>
      <c r="C436" s="195">
        <f t="shared" si="13"/>
        <v>1</v>
      </c>
      <c r="D436" s="195">
        <v>38.799999999999997</v>
      </c>
      <c r="E436" s="705">
        <f t="shared" si="14"/>
        <v>3.7777777777777759</v>
      </c>
    </row>
    <row r="437" spans="2:5">
      <c r="B437" s="943">
        <v>44944</v>
      </c>
      <c r="C437" s="195">
        <f t="shared" si="13"/>
        <v>1</v>
      </c>
      <c r="D437" s="195">
        <v>38.299999999999997</v>
      </c>
      <c r="E437" s="705">
        <f t="shared" si="14"/>
        <v>3.4999999999999982</v>
      </c>
    </row>
    <row r="438" spans="2:5">
      <c r="B438" s="943">
        <v>44944</v>
      </c>
      <c r="C438" s="195">
        <f t="shared" si="13"/>
        <v>1</v>
      </c>
      <c r="D438" s="195">
        <v>38.1</v>
      </c>
      <c r="E438" s="705">
        <f t="shared" si="14"/>
        <v>3.3888888888888897</v>
      </c>
    </row>
    <row r="439" spans="2:5">
      <c r="B439" s="943">
        <v>44944</v>
      </c>
      <c r="C439" s="195">
        <f t="shared" si="13"/>
        <v>1</v>
      </c>
      <c r="D439" s="195">
        <v>38.299999999999997</v>
      </c>
      <c r="E439" s="705">
        <f t="shared" si="14"/>
        <v>3.4999999999999982</v>
      </c>
    </row>
    <row r="440" spans="2:5">
      <c r="B440" s="943">
        <v>44944</v>
      </c>
      <c r="C440" s="195">
        <f t="shared" si="13"/>
        <v>1</v>
      </c>
      <c r="D440" s="195">
        <v>39.4</v>
      </c>
      <c r="E440" s="705">
        <f t="shared" si="14"/>
        <v>4.1111111111111098</v>
      </c>
    </row>
    <row r="441" spans="2:5">
      <c r="B441" s="943">
        <v>44945</v>
      </c>
      <c r="C441" s="195">
        <f t="shared" si="13"/>
        <v>1</v>
      </c>
      <c r="D441" s="195">
        <v>40.299999999999997</v>
      </c>
      <c r="E441" s="705">
        <f t="shared" si="14"/>
        <v>4.6111111111111098</v>
      </c>
    </row>
    <row r="442" spans="2:5">
      <c r="B442" s="943">
        <v>44945</v>
      </c>
      <c r="C442" s="195">
        <f t="shared" si="13"/>
        <v>1</v>
      </c>
      <c r="D442" s="195" t="s">
        <v>1429</v>
      </c>
      <c r="E442" s="705">
        <f t="shared" si="14"/>
        <v>5</v>
      </c>
    </row>
    <row r="443" spans="2:5">
      <c r="B443" s="943">
        <v>44945</v>
      </c>
      <c r="C443" s="195">
        <f t="shared" si="13"/>
        <v>1</v>
      </c>
      <c r="D443" s="195">
        <v>41.2</v>
      </c>
      <c r="E443" s="705">
        <f t="shared" si="14"/>
        <v>5.1111111111111125</v>
      </c>
    </row>
    <row r="444" spans="2:5">
      <c r="B444" s="943">
        <v>44945</v>
      </c>
      <c r="C444" s="195">
        <f t="shared" si="13"/>
        <v>1</v>
      </c>
      <c r="D444" s="195">
        <v>41.4</v>
      </c>
      <c r="E444" s="705">
        <f t="shared" si="14"/>
        <v>5.2222222222222214</v>
      </c>
    </row>
    <row r="445" spans="2:5">
      <c r="B445" s="943">
        <v>44945</v>
      </c>
      <c r="C445" s="195">
        <f t="shared" si="13"/>
        <v>1</v>
      </c>
      <c r="D445" s="195">
        <v>41.2</v>
      </c>
      <c r="E445" s="705">
        <f t="shared" si="14"/>
        <v>5.1111111111111125</v>
      </c>
    </row>
    <row r="446" spans="2:5">
      <c r="B446" s="943">
        <v>44945</v>
      </c>
      <c r="C446" s="195">
        <f t="shared" si="13"/>
        <v>1</v>
      </c>
      <c r="D446" s="195">
        <v>40.799999999999997</v>
      </c>
      <c r="E446" s="705">
        <f t="shared" si="14"/>
        <v>4.8888888888888875</v>
      </c>
    </row>
    <row r="447" spans="2:5">
      <c r="B447" s="943">
        <v>44945</v>
      </c>
      <c r="C447" s="195">
        <f t="shared" si="13"/>
        <v>1</v>
      </c>
      <c r="D447" s="195">
        <v>39.9</v>
      </c>
      <c r="E447" s="705">
        <f t="shared" si="14"/>
        <v>4.3888888888888884</v>
      </c>
    </row>
    <row r="448" spans="2:5">
      <c r="B448" s="943">
        <v>44945</v>
      </c>
      <c r="C448" s="195">
        <f t="shared" si="13"/>
        <v>1</v>
      </c>
      <c r="D448" s="195">
        <v>38.799999999999997</v>
      </c>
      <c r="E448" s="705">
        <f t="shared" si="14"/>
        <v>3.7777777777777759</v>
      </c>
    </row>
    <row r="449" spans="2:5">
      <c r="B449" s="943">
        <v>44945</v>
      </c>
      <c r="C449" s="195">
        <f t="shared" si="13"/>
        <v>1</v>
      </c>
      <c r="D449" s="195">
        <v>38.299999999999997</v>
      </c>
      <c r="E449" s="705">
        <f t="shared" si="14"/>
        <v>3.4999999999999982</v>
      </c>
    </row>
    <row r="450" spans="2:5">
      <c r="B450" s="943">
        <v>44945</v>
      </c>
      <c r="C450" s="195">
        <f t="shared" si="13"/>
        <v>1</v>
      </c>
      <c r="D450" s="195">
        <v>38.1</v>
      </c>
      <c r="E450" s="705">
        <f t="shared" si="14"/>
        <v>3.3888888888888897</v>
      </c>
    </row>
    <row r="451" spans="2:5">
      <c r="B451" s="943">
        <v>44945</v>
      </c>
      <c r="C451" s="195">
        <f t="shared" si="13"/>
        <v>1</v>
      </c>
      <c r="D451" s="195">
        <v>38.700000000000003</v>
      </c>
      <c r="E451" s="705">
        <f t="shared" si="14"/>
        <v>3.7222222222222237</v>
      </c>
    </row>
    <row r="452" spans="2:5">
      <c r="B452" s="943">
        <v>44945</v>
      </c>
      <c r="C452" s="195">
        <f t="shared" si="13"/>
        <v>1</v>
      </c>
      <c r="D452" s="195">
        <v>39.700000000000003</v>
      </c>
      <c r="E452" s="705">
        <f t="shared" si="14"/>
        <v>4.2777777777777795</v>
      </c>
    </row>
    <row r="453" spans="2:5">
      <c r="B453" s="943">
        <v>44945</v>
      </c>
      <c r="C453" s="195">
        <f t="shared" si="13"/>
        <v>1</v>
      </c>
      <c r="D453" s="195">
        <v>40.5</v>
      </c>
      <c r="E453" s="705">
        <f t="shared" si="14"/>
        <v>4.7222222222222223</v>
      </c>
    </row>
    <row r="454" spans="2:5">
      <c r="B454" s="943">
        <v>44945</v>
      </c>
      <c r="C454" s="195">
        <f t="shared" si="13"/>
        <v>1</v>
      </c>
      <c r="D454" s="195">
        <v>41.4</v>
      </c>
      <c r="E454" s="705">
        <f t="shared" si="14"/>
        <v>5.2222222222222214</v>
      </c>
    </row>
    <row r="455" spans="2:5">
      <c r="B455" s="943">
        <v>44945</v>
      </c>
      <c r="C455" s="195">
        <f t="shared" si="13"/>
        <v>1</v>
      </c>
      <c r="D455" s="195">
        <v>41.7</v>
      </c>
      <c r="E455" s="705">
        <f t="shared" si="14"/>
        <v>5.3888888888888902</v>
      </c>
    </row>
    <row r="456" spans="2:5">
      <c r="B456" s="943">
        <v>44945</v>
      </c>
      <c r="C456" s="195">
        <f t="shared" si="13"/>
        <v>1</v>
      </c>
      <c r="D456" s="195">
        <v>41.7</v>
      </c>
      <c r="E456" s="705">
        <f t="shared" si="14"/>
        <v>5.3888888888888902</v>
      </c>
    </row>
    <row r="457" spans="2:5">
      <c r="B457" s="943">
        <v>44945</v>
      </c>
      <c r="C457" s="195">
        <f t="shared" si="13"/>
        <v>1</v>
      </c>
      <c r="D457" s="195">
        <v>41.7</v>
      </c>
      <c r="E457" s="705">
        <f t="shared" si="14"/>
        <v>5.3888888888888902</v>
      </c>
    </row>
    <row r="458" spans="2:5">
      <c r="B458" s="943">
        <v>44945</v>
      </c>
      <c r="C458" s="195">
        <f t="shared" ref="C458:C521" si="15">MONTH(B458)</f>
        <v>1</v>
      </c>
      <c r="D458" s="195">
        <v>41.5</v>
      </c>
      <c r="E458" s="705">
        <f t="shared" ref="E458:E521" si="16">CONVERT(D458,"F","C")</f>
        <v>5.2777777777777777</v>
      </c>
    </row>
    <row r="459" spans="2:5">
      <c r="B459" s="943">
        <v>44945</v>
      </c>
      <c r="C459" s="195">
        <f t="shared" si="15"/>
        <v>1</v>
      </c>
      <c r="D459" s="195" t="s">
        <v>1429</v>
      </c>
      <c r="E459" s="705">
        <f t="shared" si="16"/>
        <v>5</v>
      </c>
    </row>
    <row r="460" spans="2:5">
      <c r="B460" s="943">
        <v>44945</v>
      </c>
      <c r="C460" s="195">
        <f t="shared" si="15"/>
        <v>1</v>
      </c>
      <c r="D460" s="195">
        <v>39.9</v>
      </c>
      <c r="E460" s="705">
        <f t="shared" si="16"/>
        <v>4.3888888888888884</v>
      </c>
    </row>
    <row r="461" spans="2:5">
      <c r="B461" s="943">
        <v>44945</v>
      </c>
      <c r="C461" s="195">
        <f t="shared" si="15"/>
        <v>1</v>
      </c>
      <c r="D461" s="195">
        <v>39.200000000000003</v>
      </c>
      <c r="E461" s="705">
        <f t="shared" si="16"/>
        <v>4.0000000000000018</v>
      </c>
    </row>
    <row r="462" spans="2:5">
      <c r="B462" s="943">
        <v>44945</v>
      </c>
      <c r="C462" s="195">
        <f t="shared" si="15"/>
        <v>1</v>
      </c>
      <c r="D462" s="195">
        <v>38.700000000000003</v>
      </c>
      <c r="E462" s="705">
        <f t="shared" si="16"/>
        <v>3.7222222222222237</v>
      </c>
    </row>
    <row r="463" spans="2:5">
      <c r="B463" s="943">
        <v>44945</v>
      </c>
      <c r="C463" s="195">
        <f t="shared" si="15"/>
        <v>1</v>
      </c>
      <c r="D463" s="195">
        <v>38.299999999999997</v>
      </c>
      <c r="E463" s="705">
        <f t="shared" si="16"/>
        <v>3.4999999999999982</v>
      </c>
    </row>
    <row r="464" spans="2:5">
      <c r="B464" s="943">
        <v>44945</v>
      </c>
      <c r="C464" s="195">
        <f t="shared" si="15"/>
        <v>1</v>
      </c>
      <c r="D464" s="195">
        <v>38.700000000000003</v>
      </c>
      <c r="E464" s="705">
        <f t="shared" si="16"/>
        <v>3.7222222222222237</v>
      </c>
    </row>
    <row r="465" spans="2:5">
      <c r="B465" s="943">
        <v>44946</v>
      </c>
      <c r="C465" s="195">
        <f t="shared" si="15"/>
        <v>1</v>
      </c>
      <c r="D465" s="195">
        <v>40.1</v>
      </c>
      <c r="E465" s="705">
        <f t="shared" si="16"/>
        <v>4.5000000000000009</v>
      </c>
    </row>
    <row r="466" spans="2:5">
      <c r="B466" s="943">
        <v>44946</v>
      </c>
      <c r="C466" s="195">
        <f t="shared" si="15"/>
        <v>1</v>
      </c>
      <c r="D466" s="195">
        <v>40.5</v>
      </c>
      <c r="E466" s="705">
        <f t="shared" si="16"/>
        <v>4.7222222222222223</v>
      </c>
    </row>
    <row r="467" spans="2:5">
      <c r="B467" s="943">
        <v>44946</v>
      </c>
      <c r="C467" s="195">
        <f t="shared" si="15"/>
        <v>1</v>
      </c>
      <c r="D467" s="195" t="s">
        <v>1429</v>
      </c>
      <c r="E467" s="705">
        <f t="shared" si="16"/>
        <v>5</v>
      </c>
    </row>
    <row r="468" spans="2:5">
      <c r="B468" s="943">
        <v>44946</v>
      </c>
      <c r="C468" s="195">
        <f t="shared" si="15"/>
        <v>1</v>
      </c>
      <c r="D468" s="195">
        <v>41.4</v>
      </c>
      <c r="E468" s="705">
        <f t="shared" si="16"/>
        <v>5.2222222222222214</v>
      </c>
    </row>
    <row r="469" spans="2:5">
      <c r="B469" s="943">
        <v>44946</v>
      </c>
      <c r="C469" s="195">
        <f t="shared" si="15"/>
        <v>1</v>
      </c>
      <c r="D469" s="195">
        <v>41.5</v>
      </c>
      <c r="E469" s="705">
        <f t="shared" si="16"/>
        <v>5.2777777777777777</v>
      </c>
    </row>
    <row r="470" spans="2:5">
      <c r="B470" s="943">
        <v>44946</v>
      </c>
      <c r="C470" s="195">
        <f t="shared" si="15"/>
        <v>1</v>
      </c>
      <c r="D470" s="195">
        <v>41.4</v>
      </c>
      <c r="E470" s="705">
        <f t="shared" si="16"/>
        <v>5.2222222222222214</v>
      </c>
    </row>
    <row r="471" spans="2:5">
      <c r="B471" s="943">
        <v>44946</v>
      </c>
      <c r="C471" s="195">
        <f t="shared" si="15"/>
        <v>1</v>
      </c>
      <c r="D471" s="195">
        <v>41.2</v>
      </c>
      <c r="E471" s="705">
        <f t="shared" si="16"/>
        <v>5.1111111111111125</v>
      </c>
    </row>
    <row r="472" spans="2:5">
      <c r="B472" s="943">
        <v>44946</v>
      </c>
      <c r="C472" s="195">
        <f t="shared" si="15"/>
        <v>1</v>
      </c>
      <c r="D472" s="195">
        <v>40.5</v>
      </c>
      <c r="E472" s="705">
        <f t="shared" si="16"/>
        <v>4.7222222222222223</v>
      </c>
    </row>
    <row r="473" spans="2:5">
      <c r="B473" s="943">
        <v>44946</v>
      </c>
      <c r="C473" s="195">
        <f t="shared" si="15"/>
        <v>1</v>
      </c>
      <c r="D473" s="195">
        <v>39.4</v>
      </c>
      <c r="E473" s="705">
        <f t="shared" si="16"/>
        <v>4.1111111111111098</v>
      </c>
    </row>
    <row r="474" spans="2:5">
      <c r="B474" s="943">
        <v>44946</v>
      </c>
      <c r="C474" s="195">
        <f t="shared" si="15"/>
        <v>1</v>
      </c>
      <c r="D474" s="195">
        <v>38.799999999999997</v>
      </c>
      <c r="E474" s="705">
        <f t="shared" si="16"/>
        <v>3.7777777777777759</v>
      </c>
    </row>
    <row r="475" spans="2:5">
      <c r="B475" s="943">
        <v>44946</v>
      </c>
      <c r="C475" s="195">
        <f t="shared" si="15"/>
        <v>1</v>
      </c>
      <c r="D475" s="195">
        <v>38.5</v>
      </c>
      <c r="E475" s="705">
        <f t="shared" si="16"/>
        <v>3.6111111111111112</v>
      </c>
    </row>
    <row r="476" spans="2:5">
      <c r="B476" s="943">
        <v>44946</v>
      </c>
      <c r="C476" s="195">
        <f t="shared" si="15"/>
        <v>1</v>
      </c>
      <c r="D476" s="195">
        <v>39.200000000000003</v>
      </c>
      <c r="E476" s="705">
        <f t="shared" si="16"/>
        <v>4.0000000000000018</v>
      </c>
    </row>
    <row r="477" spans="2:5">
      <c r="B477" s="943">
        <v>44946</v>
      </c>
      <c r="C477" s="195">
        <f t="shared" si="15"/>
        <v>1</v>
      </c>
      <c r="D477" s="195">
        <v>40.1</v>
      </c>
      <c r="E477" s="705">
        <f t="shared" si="16"/>
        <v>4.5000000000000009</v>
      </c>
    </row>
    <row r="478" spans="2:5">
      <c r="B478" s="943">
        <v>44946</v>
      </c>
      <c r="C478" s="195">
        <f t="shared" si="15"/>
        <v>1</v>
      </c>
      <c r="D478" s="195">
        <v>40.799999999999997</v>
      </c>
      <c r="E478" s="705">
        <f t="shared" si="16"/>
        <v>4.8888888888888875</v>
      </c>
    </row>
    <row r="479" spans="2:5">
      <c r="B479" s="943">
        <v>44946</v>
      </c>
      <c r="C479" s="195">
        <f t="shared" si="15"/>
        <v>1</v>
      </c>
      <c r="D479" s="195">
        <v>41.4</v>
      </c>
      <c r="E479" s="705">
        <f t="shared" si="16"/>
        <v>5.2222222222222214</v>
      </c>
    </row>
    <row r="480" spans="2:5">
      <c r="B480" s="943">
        <v>44946</v>
      </c>
      <c r="C480" s="195">
        <f t="shared" si="15"/>
        <v>1</v>
      </c>
      <c r="D480" s="195">
        <v>41.5</v>
      </c>
      <c r="E480" s="705">
        <f t="shared" si="16"/>
        <v>5.2777777777777777</v>
      </c>
    </row>
    <row r="481" spans="2:5">
      <c r="B481" s="943">
        <v>44946</v>
      </c>
      <c r="C481" s="195">
        <f t="shared" si="15"/>
        <v>1</v>
      </c>
      <c r="D481" s="195">
        <v>41.5</v>
      </c>
      <c r="E481" s="705">
        <f t="shared" si="16"/>
        <v>5.2777777777777777</v>
      </c>
    </row>
    <row r="482" spans="2:5">
      <c r="B482" s="943">
        <v>44946</v>
      </c>
      <c r="C482" s="195">
        <f t="shared" si="15"/>
        <v>1</v>
      </c>
      <c r="D482" s="195">
        <v>41.4</v>
      </c>
      <c r="E482" s="705">
        <f t="shared" si="16"/>
        <v>5.2222222222222214</v>
      </c>
    </row>
    <row r="483" spans="2:5">
      <c r="B483" s="943">
        <v>44946</v>
      </c>
      <c r="C483" s="195">
        <f t="shared" si="15"/>
        <v>1</v>
      </c>
      <c r="D483" s="195">
        <v>41.2</v>
      </c>
      <c r="E483" s="705">
        <f t="shared" si="16"/>
        <v>5.1111111111111125</v>
      </c>
    </row>
    <row r="484" spans="2:5">
      <c r="B484" s="943">
        <v>44946</v>
      </c>
      <c r="C484" s="195">
        <f t="shared" si="15"/>
        <v>1</v>
      </c>
      <c r="D484" s="195">
        <v>40.6</v>
      </c>
      <c r="E484" s="705">
        <f t="shared" si="16"/>
        <v>4.7777777777777786</v>
      </c>
    </row>
    <row r="485" spans="2:5">
      <c r="B485" s="943">
        <v>44946</v>
      </c>
      <c r="C485" s="195">
        <f t="shared" si="15"/>
        <v>1</v>
      </c>
      <c r="D485" s="195">
        <v>39.700000000000003</v>
      </c>
      <c r="E485" s="705">
        <f t="shared" si="16"/>
        <v>4.2777777777777795</v>
      </c>
    </row>
    <row r="486" spans="2:5">
      <c r="B486" s="943">
        <v>44946</v>
      </c>
      <c r="C486" s="195">
        <f t="shared" si="15"/>
        <v>1</v>
      </c>
      <c r="D486" s="195">
        <v>39.200000000000003</v>
      </c>
      <c r="E486" s="705">
        <f t="shared" si="16"/>
        <v>4.0000000000000018</v>
      </c>
    </row>
    <row r="487" spans="2:5">
      <c r="B487" s="943">
        <v>44946</v>
      </c>
      <c r="C487" s="195">
        <f t="shared" si="15"/>
        <v>1</v>
      </c>
      <c r="D487" s="195">
        <v>38.700000000000003</v>
      </c>
      <c r="E487" s="705">
        <f t="shared" si="16"/>
        <v>3.7222222222222237</v>
      </c>
    </row>
    <row r="488" spans="2:5">
      <c r="B488" s="943">
        <v>44946</v>
      </c>
      <c r="C488" s="195">
        <f t="shared" si="15"/>
        <v>1</v>
      </c>
      <c r="D488" s="195">
        <v>38.299999999999997</v>
      </c>
      <c r="E488" s="705">
        <f t="shared" si="16"/>
        <v>3.4999999999999982</v>
      </c>
    </row>
    <row r="489" spans="2:5">
      <c r="B489" s="943">
        <v>44947</v>
      </c>
      <c r="C489" s="195">
        <f t="shared" si="15"/>
        <v>1</v>
      </c>
      <c r="D489" s="195">
        <v>38.700000000000003</v>
      </c>
      <c r="E489" s="705">
        <f t="shared" si="16"/>
        <v>3.7222222222222237</v>
      </c>
    </row>
    <row r="490" spans="2:5">
      <c r="B490" s="943">
        <v>44947</v>
      </c>
      <c r="C490" s="195">
        <f t="shared" si="15"/>
        <v>1</v>
      </c>
      <c r="D490" s="195">
        <v>39.6</v>
      </c>
      <c r="E490" s="705">
        <f t="shared" si="16"/>
        <v>4.2222222222222232</v>
      </c>
    </row>
    <row r="491" spans="2:5">
      <c r="B491" s="943">
        <v>44947</v>
      </c>
      <c r="C491" s="195">
        <f t="shared" si="15"/>
        <v>1</v>
      </c>
      <c r="D491" s="195">
        <v>40.299999999999997</v>
      </c>
      <c r="E491" s="705">
        <f t="shared" si="16"/>
        <v>4.6111111111111098</v>
      </c>
    </row>
    <row r="492" spans="2:5">
      <c r="B492" s="943">
        <v>44947</v>
      </c>
      <c r="C492" s="195">
        <f t="shared" si="15"/>
        <v>1</v>
      </c>
      <c r="D492" s="195">
        <v>40.799999999999997</v>
      </c>
      <c r="E492" s="705">
        <f t="shared" si="16"/>
        <v>4.8888888888888875</v>
      </c>
    </row>
    <row r="493" spans="2:5">
      <c r="B493" s="943">
        <v>44947</v>
      </c>
      <c r="C493" s="195">
        <f t="shared" si="15"/>
        <v>1</v>
      </c>
      <c r="D493" s="195" t="s">
        <v>1429</v>
      </c>
      <c r="E493" s="705">
        <f t="shared" si="16"/>
        <v>5</v>
      </c>
    </row>
    <row r="494" spans="2:5">
      <c r="B494" s="943">
        <v>44947</v>
      </c>
      <c r="C494" s="195">
        <f t="shared" si="15"/>
        <v>1</v>
      </c>
      <c r="D494" s="195">
        <v>41.2</v>
      </c>
      <c r="E494" s="705">
        <f t="shared" si="16"/>
        <v>5.1111111111111125</v>
      </c>
    </row>
    <row r="495" spans="2:5">
      <c r="B495" s="943">
        <v>44947</v>
      </c>
      <c r="C495" s="195">
        <f t="shared" si="15"/>
        <v>1</v>
      </c>
      <c r="D495" s="195" t="s">
        <v>1429</v>
      </c>
      <c r="E495" s="705">
        <f t="shared" si="16"/>
        <v>5</v>
      </c>
    </row>
    <row r="496" spans="2:5">
      <c r="B496" s="943">
        <v>44947</v>
      </c>
      <c r="C496" s="195">
        <f t="shared" si="15"/>
        <v>1</v>
      </c>
      <c r="D496" s="195">
        <v>40.6</v>
      </c>
      <c r="E496" s="705">
        <f t="shared" si="16"/>
        <v>4.7777777777777786</v>
      </c>
    </row>
    <row r="497" spans="2:5">
      <c r="B497" s="943">
        <v>44947</v>
      </c>
      <c r="C497" s="195">
        <f t="shared" si="15"/>
        <v>1</v>
      </c>
      <c r="D497" s="195">
        <v>39.700000000000003</v>
      </c>
      <c r="E497" s="705">
        <f t="shared" si="16"/>
        <v>4.2777777777777795</v>
      </c>
    </row>
    <row r="498" spans="2:5">
      <c r="B498" s="943">
        <v>44947</v>
      </c>
      <c r="C498" s="195">
        <f t="shared" si="15"/>
        <v>1</v>
      </c>
      <c r="D498" s="195" t="s">
        <v>1431</v>
      </c>
      <c r="E498" s="705">
        <f t="shared" si="16"/>
        <v>3.8888888888888888</v>
      </c>
    </row>
    <row r="499" spans="2:5">
      <c r="B499" s="943">
        <v>44947</v>
      </c>
      <c r="C499" s="195">
        <f t="shared" si="15"/>
        <v>1</v>
      </c>
      <c r="D499" s="195">
        <v>38.5</v>
      </c>
      <c r="E499" s="705">
        <f t="shared" si="16"/>
        <v>3.6111111111111112</v>
      </c>
    </row>
    <row r="500" spans="2:5">
      <c r="B500" s="943">
        <v>44947</v>
      </c>
      <c r="C500" s="195">
        <f t="shared" si="15"/>
        <v>1</v>
      </c>
      <c r="D500" s="195">
        <v>38.1</v>
      </c>
      <c r="E500" s="705">
        <f t="shared" si="16"/>
        <v>3.3888888888888897</v>
      </c>
    </row>
    <row r="501" spans="2:5">
      <c r="B501" s="943">
        <v>44947</v>
      </c>
      <c r="C501" s="195">
        <f t="shared" si="15"/>
        <v>1</v>
      </c>
      <c r="D501" s="195">
        <v>38.5</v>
      </c>
      <c r="E501" s="705">
        <f t="shared" si="16"/>
        <v>3.6111111111111112</v>
      </c>
    </row>
    <row r="502" spans="2:5">
      <c r="B502" s="943">
        <v>44947</v>
      </c>
      <c r="C502" s="195">
        <f t="shared" si="15"/>
        <v>1</v>
      </c>
      <c r="D502" s="195">
        <v>39.6</v>
      </c>
      <c r="E502" s="705">
        <f t="shared" si="16"/>
        <v>4.2222222222222232</v>
      </c>
    </row>
    <row r="503" spans="2:5">
      <c r="B503" s="943">
        <v>44947</v>
      </c>
      <c r="C503" s="195">
        <f t="shared" si="15"/>
        <v>1</v>
      </c>
      <c r="D503" s="195">
        <v>40.299999999999997</v>
      </c>
      <c r="E503" s="705">
        <f t="shared" si="16"/>
        <v>4.6111111111111098</v>
      </c>
    </row>
    <row r="504" spans="2:5">
      <c r="B504" s="943">
        <v>44947</v>
      </c>
      <c r="C504" s="195">
        <f t="shared" si="15"/>
        <v>1</v>
      </c>
      <c r="D504" s="195" t="s">
        <v>1429</v>
      </c>
      <c r="E504" s="705">
        <f t="shared" si="16"/>
        <v>5</v>
      </c>
    </row>
    <row r="505" spans="2:5">
      <c r="B505" s="943">
        <v>44947</v>
      </c>
      <c r="C505" s="195">
        <f t="shared" si="15"/>
        <v>1</v>
      </c>
      <c r="D505" s="195">
        <v>41.2</v>
      </c>
      <c r="E505" s="705">
        <f t="shared" si="16"/>
        <v>5.1111111111111125</v>
      </c>
    </row>
    <row r="506" spans="2:5">
      <c r="B506" s="943">
        <v>44947</v>
      </c>
      <c r="C506" s="195">
        <f t="shared" si="15"/>
        <v>1</v>
      </c>
      <c r="D506" s="195">
        <v>41.2</v>
      </c>
      <c r="E506" s="705">
        <f t="shared" si="16"/>
        <v>5.1111111111111125</v>
      </c>
    </row>
    <row r="507" spans="2:5">
      <c r="B507" s="943">
        <v>44947</v>
      </c>
      <c r="C507" s="195">
        <f t="shared" si="15"/>
        <v>1</v>
      </c>
      <c r="D507" s="195" t="s">
        <v>1429</v>
      </c>
      <c r="E507" s="705">
        <f t="shared" si="16"/>
        <v>5</v>
      </c>
    </row>
    <row r="508" spans="2:5">
      <c r="B508" s="943">
        <v>44947</v>
      </c>
      <c r="C508" s="195">
        <f t="shared" si="15"/>
        <v>1</v>
      </c>
      <c r="D508" s="195">
        <v>40.799999999999997</v>
      </c>
      <c r="E508" s="705">
        <f t="shared" si="16"/>
        <v>4.8888888888888875</v>
      </c>
    </row>
    <row r="509" spans="2:5">
      <c r="B509" s="943">
        <v>44947</v>
      </c>
      <c r="C509" s="195">
        <f t="shared" si="15"/>
        <v>1</v>
      </c>
      <c r="D509" s="195">
        <v>40.299999999999997</v>
      </c>
      <c r="E509" s="705">
        <f t="shared" si="16"/>
        <v>4.6111111111111098</v>
      </c>
    </row>
    <row r="510" spans="2:5">
      <c r="B510" s="943">
        <v>44947</v>
      </c>
      <c r="C510" s="195">
        <f t="shared" si="15"/>
        <v>1</v>
      </c>
      <c r="D510" s="195">
        <v>39.4</v>
      </c>
      <c r="E510" s="705">
        <f t="shared" si="16"/>
        <v>4.1111111111111098</v>
      </c>
    </row>
    <row r="511" spans="2:5">
      <c r="B511" s="943">
        <v>44947</v>
      </c>
      <c r="C511" s="195">
        <f t="shared" si="15"/>
        <v>1</v>
      </c>
      <c r="D511" s="195">
        <v>38.799999999999997</v>
      </c>
      <c r="E511" s="705">
        <f t="shared" si="16"/>
        <v>3.7777777777777759</v>
      </c>
    </row>
    <row r="512" spans="2:5">
      <c r="B512" s="943">
        <v>44947</v>
      </c>
      <c r="C512" s="195">
        <f t="shared" si="15"/>
        <v>1</v>
      </c>
      <c r="D512" s="195">
        <v>38.299999999999997</v>
      </c>
      <c r="E512" s="705">
        <f t="shared" si="16"/>
        <v>3.4999999999999982</v>
      </c>
    </row>
    <row r="513" spans="2:5">
      <c r="B513" s="943">
        <v>44948</v>
      </c>
      <c r="C513" s="195">
        <f t="shared" si="15"/>
        <v>1</v>
      </c>
      <c r="D513" s="195">
        <v>37.9</v>
      </c>
      <c r="E513" s="705">
        <f t="shared" si="16"/>
        <v>3.2777777777777768</v>
      </c>
    </row>
    <row r="514" spans="2:5">
      <c r="B514" s="943">
        <v>44948</v>
      </c>
      <c r="C514" s="195">
        <f t="shared" si="15"/>
        <v>1</v>
      </c>
      <c r="D514" s="195">
        <v>38.299999999999997</v>
      </c>
      <c r="E514" s="705">
        <f t="shared" si="16"/>
        <v>3.4999999999999982</v>
      </c>
    </row>
    <row r="515" spans="2:5">
      <c r="B515" s="943">
        <v>44948</v>
      </c>
      <c r="C515" s="195">
        <f t="shared" si="15"/>
        <v>1</v>
      </c>
      <c r="D515" s="195">
        <v>39.4</v>
      </c>
      <c r="E515" s="705">
        <f t="shared" si="16"/>
        <v>4.1111111111111098</v>
      </c>
    </row>
    <row r="516" spans="2:5">
      <c r="B516" s="943">
        <v>44948</v>
      </c>
      <c r="C516" s="195">
        <f t="shared" si="15"/>
        <v>1</v>
      </c>
      <c r="D516" s="195">
        <v>39.9</v>
      </c>
      <c r="E516" s="705">
        <f t="shared" si="16"/>
        <v>4.3888888888888884</v>
      </c>
    </row>
    <row r="517" spans="2:5">
      <c r="B517" s="943">
        <v>44948</v>
      </c>
      <c r="C517" s="195">
        <f t="shared" si="15"/>
        <v>1</v>
      </c>
      <c r="D517" s="195">
        <v>40.5</v>
      </c>
      <c r="E517" s="705">
        <f t="shared" si="16"/>
        <v>4.7222222222222223</v>
      </c>
    </row>
    <row r="518" spans="2:5">
      <c r="B518" s="943">
        <v>44948</v>
      </c>
      <c r="C518" s="195">
        <f t="shared" si="15"/>
        <v>1</v>
      </c>
      <c r="D518" s="195">
        <v>40.6</v>
      </c>
      <c r="E518" s="705">
        <f t="shared" si="16"/>
        <v>4.7777777777777786</v>
      </c>
    </row>
    <row r="519" spans="2:5">
      <c r="B519" s="943">
        <v>44948</v>
      </c>
      <c r="C519" s="195">
        <f t="shared" si="15"/>
        <v>1</v>
      </c>
      <c r="D519" s="195">
        <v>40.799999999999997</v>
      </c>
      <c r="E519" s="705">
        <f t="shared" si="16"/>
        <v>4.8888888888888875</v>
      </c>
    </row>
    <row r="520" spans="2:5">
      <c r="B520" s="943">
        <v>44948</v>
      </c>
      <c r="C520" s="195">
        <f t="shared" si="15"/>
        <v>1</v>
      </c>
      <c r="D520" s="195">
        <v>40.6</v>
      </c>
      <c r="E520" s="705">
        <f t="shared" si="16"/>
        <v>4.7777777777777786</v>
      </c>
    </row>
    <row r="521" spans="2:5">
      <c r="B521" s="943">
        <v>44948</v>
      </c>
      <c r="C521" s="195">
        <f t="shared" si="15"/>
        <v>1</v>
      </c>
      <c r="D521" s="195">
        <v>40.299999999999997</v>
      </c>
      <c r="E521" s="705">
        <f t="shared" si="16"/>
        <v>4.6111111111111098</v>
      </c>
    </row>
    <row r="522" spans="2:5">
      <c r="B522" s="943">
        <v>44948</v>
      </c>
      <c r="C522" s="195">
        <f t="shared" ref="C522:C585" si="17">MONTH(B522)</f>
        <v>1</v>
      </c>
      <c r="D522" s="195">
        <v>39.4</v>
      </c>
      <c r="E522" s="705">
        <f t="shared" ref="E522:E585" si="18">CONVERT(D522,"F","C")</f>
        <v>4.1111111111111098</v>
      </c>
    </row>
    <row r="523" spans="2:5">
      <c r="B523" s="943">
        <v>44948</v>
      </c>
      <c r="C523" s="195">
        <f t="shared" si="17"/>
        <v>1</v>
      </c>
      <c r="D523" s="195">
        <v>38.700000000000003</v>
      </c>
      <c r="E523" s="705">
        <f t="shared" si="18"/>
        <v>3.7222222222222237</v>
      </c>
    </row>
    <row r="524" spans="2:5">
      <c r="B524" s="943">
        <v>44948</v>
      </c>
      <c r="C524" s="195">
        <f t="shared" si="17"/>
        <v>1</v>
      </c>
      <c r="D524" s="195">
        <v>37.9</v>
      </c>
      <c r="E524" s="705">
        <f t="shared" si="18"/>
        <v>3.2777777777777768</v>
      </c>
    </row>
    <row r="525" spans="2:5">
      <c r="B525" s="943">
        <v>44948</v>
      </c>
      <c r="C525" s="195">
        <f t="shared" si="17"/>
        <v>1</v>
      </c>
      <c r="D525" s="195">
        <v>37.799999999999997</v>
      </c>
      <c r="E525" s="705">
        <f t="shared" si="18"/>
        <v>3.2222222222222205</v>
      </c>
    </row>
    <row r="526" spans="2:5">
      <c r="B526" s="943">
        <v>44948</v>
      </c>
      <c r="C526" s="195">
        <f t="shared" si="17"/>
        <v>1</v>
      </c>
      <c r="D526" s="195">
        <v>38.1</v>
      </c>
      <c r="E526" s="705">
        <f t="shared" si="18"/>
        <v>3.3888888888888897</v>
      </c>
    </row>
    <row r="527" spans="2:5">
      <c r="B527" s="943">
        <v>44948</v>
      </c>
      <c r="C527" s="195">
        <f t="shared" si="17"/>
        <v>1</v>
      </c>
      <c r="D527" s="195">
        <v>39.200000000000003</v>
      </c>
      <c r="E527" s="705">
        <f t="shared" si="18"/>
        <v>4.0000000000000018</v>
      </c>
    </row>
    <row r="528" spans="2:5">
      <c r="B528" s="943">
        <v>44948</v>
      </c>
      <c r="C528" s="195">
        <f t="shared" si="17"/>
        <v>1</v>
      </c>
      <c r="D528" s="195">
        <v>39.9</v>
      </c>
      <c r="E528" s="705">
        <f t="shared" si="18"/>
        <v>4.3888888888888884</v>
      </c>
    </row>
    <row r="529" spans="2:5">
      <c r="B529" s="943">
        <v>44948</v>
      </c>
      <c r="C529" s="195">
        <f t="shared" si="17"/>
        <v>1</v>
      </c>
      <c r="D529" s="195">
        <v>40.6</v>
      </c>
      <c r="E529" s="705">
        <f t="shared" si="18"/>
        <v>4.7777777777777786</v>
      </c>
    </row>
    <row r="530" spans="2:5">
      <c r="B530" s="943">
        <v>44948</v>
      </c>
      <c r="C530" s="195">
        <f t="shared" si="17"/>
        <v>1</v>
      </c>
      <c r="D530" s="195">
        <v>40.799999999999997</v>
      </c>
      <c r="E530" s="705">
        <f t="shared" si="18"/>
        <v>4.8888888888888875</v>
      </c>
    </row>
    <row r="531" spans="2:5">
      <c r="B531" s="943">
        <v>44948</v>
      </c>
      <c r="C531" s="195">
        <f t="shared" si="17"/>
        <v>1</v>
      </c>
      <c r="D531" s="195">
        <v>40.799999999999997</v>
      </c>
      <c r="E531" s="705">
        <f t="shared" si="18"/>
        <v>4.8888888888888875</v>
      </c>
    </row>
    <row r="532" spans="2:5">
      <c r="B532" s="943">
        <v>44948</v>
      </c>
      <c r="C532" s="195">
        <f t="shared" si="17"/>
        <v>1</v>
      </c>
      <c r="D532" s="195">
        <v>40.6</v>
      </c>
      <c r="E532" s="705">
        <f t="shared" si="18"/>
        <v>4.7777777777777786</v>
      </c>
    </row>
    <row r="533" spans="2:5">
      <c r="B533" s="943">
        <v>44948</v>
      </c>
      <c r="C533" s="195">
        <f t="shared" si="17"/>
        <v>1</v>
      </c>
      <c r="D533" s="195">
        <v>40.5</v>
      </c>
      <c r="E533" s="705">
        <f t="shared" si="18"/>
        <v>4.7222222222222223</v>
      </c>
    </row>
    <row r="534" spans="2:5">
      <c r="B534" s="943">
        <v>44948</v>
      </c>
      <c r="C534" s="195">
        <f t="shared" si="17"/>
        <v>1</v>
      </c>
      <c r="D534" s="195">
        <v>39.700000000000003</v>
      </c>
      <c r="E534" s="705">
        <f t="shared" si="18"/>
        <v>4.2777777777777795</v>
      </c>
    </row>
    <row r="535" spans="2:5">
      <c r="B535" s="943">
        <v>44948</v>
      </c>
      <c r="C535" s="195">
        <f t="shared" si="17"/>
        <v>1</v>
      </c>
      <c r="D535" s="195" t="s">
        <v>1431</v>
      </c>
      <c r="E535" s="705">
        <f t="shared" si="18"/>
        <v>3.8888888888888888</v>
      </c>
    </row>
    <row r="536" spans="2:5">
      <c r="B536" s="943">
        <v>44948</v>
      </c>
      <c r="C536" s="195">
        <f t="shared" si="17"/>
        <v>1</v>
      </c>
      <c r="D536" s="195">
        <v>38.299999999999997</v>
      </c>
      <c r="E536" s="705">
        <f t="shared" si="18"/>
        <v>3.4999999999999982</v>
      </c>
    </row>
    <row r="537" spans="2:5">
      <c r="B537" s="943">
        <v>44949</v>
      </c>
      <c r="C537" s="195">
        <f t="shared" si="17"/>
        <v>1</v>
      </c>
      <c r="D537" s="195">
        <v>37.799999999999997</v>
      </c>
      <c r="E537" s="705">
        <f t="shared" si="18"/>
        <v>3.2222222222222205</v>
      </c>
    </row>
    <row r="538" spans="2:5">
      <c r="B538" s="943">
        <v>44949</v>
      </c>
      <c r="C538" s="195">
        <f t="shared" si="17"/>
        <v>1</v>
      </c>
      <c r="D538" s="195">
        <v>37.4</v>
      </c>
      <c r="E538" s="705">
        <f t="shared" si="18"/>
        <v>2.9999999999999991</v>
      </c>
    </row>
    <row r="539" spans="2:5">
      <c r="B539" s="943">
        <v>44949</v>
      </c>
      <c r="C539" s="195">
        <f t="shared" si="17"/>
        <v>1</v>
      </c>
      <c r="D539" s="195">
        <v>37.799999999999997</v>
      </c>
      <c r="E539" s="705">
        <f t="shared" si="18"/>
        <v>3.2222222222222205</v>
      </c>
    </row>
    <row r="540" spans="2:5">
      <c r="B540" s="943">
        <v>44949</v>
      </c>
      <c r="C540" s="195">
        <f t="shared" si="17"/>
        <v>1</v>
      </c>
      <c r="D540" s="195">
        <v>39.200000000000003</v>
      </c>
      <c r="E540" s="705">
        <f t="shared" si="18"/>
        <v>4.0000000000000018</v>
      </c>
    </row>
    <row r="541" spans="2:5">
      <c r="B541" s="943">
        <v>44949</v>
      </c>
      <c r="C541" s="195">
        <f t="shared" si="17"/>
        <v>1</v>
      </c>
      <c r="D541" s="195">
        <v>39.9</v>
      </c>
      <c r="E541" s="705">
        <f t="shared" si="18"/>
        <v>4.3888888888888884</v>
      </c>
    </row>
    <row r="542" spans="2:5">
      <c r="B542" s="943">
        <v>44949</v>
      </c>
      <c r="C542" s="195">
        <f t="shared" si="17"/>
        <v>1</v>
      </c>
      <c r="D542" s="195">
        <v>40.6</v>
      </c>
      <c r="E542" s="705">
        <f t="shared" si="18"/>
        <v>4.7777777777777786</v>
      </c>
    </row>
    <row r="543" spans="2:5">
      <c r="B543" s="943">
        <v>44949</v>
      </c>
      <c r="C543" s="195">
        <f t="shared" si="17"/>
        <v>1</v>
      </c>
      <c r="D543" s="195">
        <v>40.799999999999997</v>
      </c>
      <c r="E543" s="705">
        <f t="shared" si="18"/>
        <v>4.8888888888888875</v>
      </c>
    </row>
    <row r="544" spans="2:5">
      <c r="B544" s="943">
        <v>44949</v>
      </c>
      <c r="C544" s="195">
        <f t="shared" si="17"/>
        <v>1</v>
      </c>
      <c r="D544" s="195">
        <v>40.799999999999997</v>
      </c>
      <c r="E544" s="705">
        <f t="shared" si="18"/>
        <v>4.8888888888888875</v>
      </c>
    </row>
    <row r="545" spans="2:5">
      <c r="B545" s="943">
        <v>44949</v>
      </c>
      <c r="C545" s="195">
        <f t="shared" si="17"/>
        <v>1</v>
      </c>
      <c r="D545" s="195">
        <v>40.6</v>
      </c>
      <c r="E545" s="705">
        <f t="shared" si="18"/>
        <v>4.7777777777777786</v>
      </c>
    </row>
    <row r="546" spans="2:5">
      <c r="B546" s="943">
        <v>44949</v>
      </c>
      <c r="C546" s="195">
        <f t="shared" si="17"/>
        <v>1</v>
      </c>
      <c r="D546" s="195">
        <v>40.299999999999997</v>
      </c>
      <c r="E546" s="705">
        <f t="shared" si="18"/>
        <v>4.6111111111111098</v>
      </c>
    </row>
    <row r="547" spans="2:5">
      <c r="B547" s="943">
        <v>44949</v>
      </c>
      <c r="C547" s="195">
        <f t="shared" si="17"/>
        <v>1</v>
      </c>
      <c r="D547" s="195">
        <v>39.4</v>
      </c>
      <c r="E547" s="705">
        <f t="shared" si="18"/>
        <v>4.1111111111111098</v>
      </c>
    </row>
    <row r="548" spans="2:5">
      <c r="B548" s="943">
        <v>44949</v>
      </c>
      <c r="C548" s="195">
        <f t="shared" si="17"/>
        <v>1</v>
      </c>
      <c r="D548" s="195">
        <v>38.700000000000003</v>
      </c>
      <c r="E548" s="705">
        <f t="shared" si="18"/>
        <v>3.7222222222222237</v>
      </c>
    </row>
    <row r="549" spans="2:5">
      <c r="B549" s="943">
        <v>44949</v>
      </c>
      <c r="C549" s="195">
        <f t="shared" si="17"/>
        <v>1</v>
      </c>
      <c r="D549" s="195">
        <v>38.1</v>
      </c>
      <c r="E549" s="705">
        <f t="shared" si="18"/>
        <v>3.3888888888888897</v>
      </c>
    </row>
    <row r="550" spans="2:5">
      <c r="B550" s="943">
        <v>44949</v>
      </c>
      <c r="C550" s="195">
        <f t="shared" si="17"/>
        <v>1</v>
      </c>
      <c r="D550" s="195">
        <v>37.799999999999997</v>
      </c>
      <c r="E550" s="705">
        <f t="shared" si="18"/>
        <v>3.2222222222222205</v>
      </c>
    </row>
    <row r="551" spans="2:5">
      <c r="B551" s="943">
        <v>44949</v>
      </c>
      <c r="C551" s="195">
        <f t="shared" si="17"/>
        <v>1</v>
      </c>
      <c r="D551" s="195">
        <v>38.700000000000003</v>
      </c>
      <c r="E551" s="705">
        <f t="shared" si="18"/>
        <v>3.7222222222222237</v>
      </c>
    </row>
    <row r="552" spans="2:5">
      <c r="B552" s="943">
        <v>44949</v>
      </c>
      <c r="C552" s="195">
        <f t="shared" si="17"/>
        <v>1</v>
      </c>
      <c r="D552" s="195">
        <v>39.4</v>
      </c>
      <c r="E552" s="705">
        <f t="shared" si="18"/>
        <v>4.1111111111111098</v>
      </c>
    </row>
    <row r="553" spans="2:5">
      <c r="B553" s="943">
        <v>44949</v>
      </c>
      <c r="C553" s="195">
        <f t="shared" si="17"/>
        <v>1</v>
      </c>
      <c r="D553" s="195">
        <v>40.299999999999997</v>
      </c>
      <c r="E553" s="705">
        <f t="shared" si="18"/>
        <v>4.6111111111111098</v>
      </c>
    </row>
    <row r="554" spans="2:5">
      <c r="B554" s="943">
        <v>44949</v>
      </c>
      <c r="C554" s="195">
        <f t="shared" si="17"/>
        <v>1</v>
      </c>
      <c r="D554" s="195">
        <v>40.6</v>
      </c>
      <c r="E554" s="705">
        <f t="shared" si="18"/>
        <v>4.7777777777777786</v>
      </c>
    </row>
    <row r="555" spans="2:5">
      <c r="B555" s="943">
        <v>44949</v>
      </c>
      <c r="C555" s="195">
        <f t="shared" si="17"/>
        <v>1</v>
      </c>
      <c r="D555" s="195">
        <v>40.6</v>
      </c>
      <c r="E555" s="705">
        <f t="shared" si="18"/>
        <v>4.7777777777777786</v>
      </c>
    </row>
    <row r="556" spans="2:5">
      <c r="B556" s="943">
        <v>44949</v>
      </c>
      <c r="C556" s="195">
        <f t="shared" si="17"/>
        <v>1</v>
      </c>
      <c r="D556" s="195">
        <v>40.6</v>
      </c>
      <c r="E556" s="705">
        <f t="shared" si="18"/>
        <v>4.7777777777777786</v>
      </c>
    </row>
    <row r="557" spans="2:5">
      <c r="B557" s="943">
        <v>44949</v>
      </c>
      <c r="C557" s="195">
        <f t="shared" si="17"/>
        <v>1</v>
      </c>
      <c r="D557" s="195">
        <v>40.5</v>
      </c>
      <c r="E557" s="705">
        <f t="shared" si="18"/>
        <v>4.7222222222222223</v>
      </c>
    </row>
    <row r="558" spans="2:5">
      <c r="B558" s="943">
        <v>44949</v>
      </c>
      <c r="C558" s="195">
        <f t="shared" si="17"/>
        <v>1</v>
      </c>
      <c r="D558" s="195">
        <v>40.299999999999997</v>
      </c>
      <c r="E558" s="705">
        <f t="shared" si="18"/>
        <v>4.6111111111111098</v>
      </c>
    </row>
    <row r="559" spans="2:5">
      <c r="B559" s="943">
        <v>44949</v>
      </c>
      <c r="C559" s="195">
        <f t="shared" si="17"/>
        <v>1</v>
      </c>
      <c r="D559" s="195">
        <v>39.6</v>
      </c>
      <c r="E559" s="705">
        <f t="shared" si="18"/>
        <v>4.2222222222222232</v>
      </c>
    </row>
    <row r="560" spans="2:5">
      <c r="B560" s="943">
        <v>44949</v>
      </c>
      <c r="C560" s="195">
        <f t="shared" si="17"/>
        <v>1</v>
      </c>
      <c r="D560" s="195">
        <v>38.799999999999997</v>
      </c>
      <c r="E560" s="705">
        <f t="shared" si="18"/>
        <v>3.7777777777777759</v>
      </c>
    </row>
    <row r="561" spans="2:5">
      <c r="B561" s="943">
        <v>44950</v>
      </c>
      <c r="C561" s="195">
        <f t="shared" si="17"/>
        <v>1</v>
      </c>
      <c r="D561" s="195">
        <v>38.1</v>
      </c>
      <c r="E561" s="705">
        <f t="shared" si="18"/>
        <v>3.3888888888888897</v>
      </c>
    </row>
    <row r="562" spans="2:5">
      <c r="B562" s="943">
        <v>44950</v>
      </c>
      <c r="C562" s="195">
        <f t="shared" si="17"/>
        <v>1</v>
      </c>
      <c r="D562" s="195">
        <v>37.6</v>
      </c>
      <c r="E562" s="705">
        <f t="shared" si="18"/>
        <v>3.1111111111111116</v>
      </c>
    </row>
    <row r="563" spans="2:5">
      <c r="B563" s="943">
        <v>44950</v>
      </c>
      <c r="C563" s="195">
        <f t="shared" si="17"/>
        <v>1</v>
      </c>
      <c r="D563" s="195">
        <v>37.4</v>
      </c>
      <c r="E563" s="705">
        <f t="shared" si="18"/>
        <v>2.9999999999999991</v>
      </c>
    </row>
    <row r="564" spans="2:5">
      <c r="B564" s="943">
        <v>44950</v>
      </c>
      <c r="C564" s="195">
        <f t="shared" si="17"/>
        <v>1</v>
      </c>
      <c r="D564" s="195">
        <v>37.799999999999997</v>
      </c>
      <c r="E564" s="705">
        <f t="shared" si="18"/>
        <v>3.2222222222222205</v>
      </c>
    </row>
    <row r="565" spans="2:5">
      <c r="B565" s="943">
        <v>44950</v>
      </c>
      <c r="C565" s="195">
        <f t="shared" si="17"/>
        <v>1</v>
      </c>
      <c r="D565" s="195">
        <v>38.799999999999997</v>
      </c>
      <c r="E565" s="705">
        <f t="shared" si="18"/>
        <v>3.7777777777777759</v>
      </c>
    </row>
    <row r="566" spans="2:5">
      <c r="B566" s="943">
        <v>44950</v>
      </c>
      <c r="C566" s="195">
        <f t="shared" si="17"/>
        <v>1</v>
      </c>
      <c r="D566" s="195">
        <v>39.4</v>
      </c>
      <c r="E566" s="705">
        <f t="shared" si="18"/>
        <v>4.1111111111111098</v>
      </c>
    </row>
    <row r="567" spans="2:5">
      <c r="B567" s="943">
        <v>44950</v>
      </c>
      <c r="C567" s="195">
        <f t="shared" si="17"/>
        <v>1</v>
      </c>
      <c r="D567" s="195">
        <v>40.1</v>
      </c>
      <c r="E567" s="705">
        <f t="shared" si="18"/>
        <v>4.5000000000000009</v>
      </c>
    </row>
    <row r="568" spans="2:5">
      <c r="B568" s="943">
        <v>44950</v>
      </c>
      <c r="C568" s="195">
        <f t="shared" si="17"/>
        <v>1</v>
      </c>
      <c r="D568" s="195">
        <v>40.299999999999997</v>
      </c>
      <c r="E568" s="705">
        <f t="shared" si="18"/>
        <v>4.6111111111111098</v>
      </c>
    </row>
    <row r="569" spans="2:5">
      <c r="B569" s="943">
        <v>44950</v>
      </c>
      <c r="C569" s="195">
        <f t="shared" si="17"/>
        <v>1</v>
      </c>
      <c r="D569" s="195">
        <v>40.5</v>
      </c>
      <c r="E569" s="705">
        <f t="shared" si="18"/>
        <v>4.7222222222222223</v>
      </c>
    </row>
    <row r="570" spans="2:5">
      <c r="B570" s="943">
        <v>44950</v>
      </c>
      <c r="C570" s="195">
        <f t="shared" si="17"/>
        <v>1</v>
      </c>
      <c r="D570" s="195">
        <v>40.1</v>
      </c>
      <c r="E570" s="705">
        <f t="shared" si="18"/>
        <v>4.5000000000000009</v>
      </c>
    </row>
    <row r="571" spans="2:5">
      <c r="B571" s="943">
        <v>44950</v>
      </c>
      <c r="C571" s="195">
        <f t="shared" si="17"/>
        <v>1</v>
      </c>
      <c r="D571" s="195">
        <v>39.4</v>
      </c>
      <c r="E571" s="705">
        <f t="shared" si="18"/>
        <v>4.1111111111111098</v>
      </c>
    </row>
    <row r="572" spans="2:5">
      <c r="B572" s="943">
        <v>44950</v>
      </c>
      <c r="C572" s="195">
        <f t="shared" si="17"/>
        <v>1</v>
      </c>
      <c r="D572" s="195">
        <v>38.299999999999997</v>
      </c>
      <c r="E572" s="705">
        <f t="shared" si="18"/>
        <v>3.4999999999999982</v>
      </c>
    </row>
    <row r="573" spans="2:5">
      <c r="B573" s="943">
        <v>44950</v>
      </c>
      <c r="C573" s="195">
        <f t="shared" si="17"/>
        <v>1</v>
      </c>
      <c r="D573" s="195">
        <v>37.6</v>
      </c>
      <c r="E573" s="705">
        <f t="shared" si="18"/>
        <v>3.1111111111111116</v>
      </c>
    </row>
    <row r="574" spans="2:5">
      <c r="B574" s="943">
        <v>44950</v>
      </c>
      <c r="C574" s="195">
        <f t="shared" si="17"/>
        <v>1</v>
      </c>
      <c r="D574" s="195">
        <v>37.200000000000003</v>
      </c>
      <c r="E574" s="705">
        <f t="shared" si="18"/>
        <v>2.8888888888888906</v>
      </c>
    </row>
    <row r="575" spans="2:5">
      <c r="B575" s="943">
        <v>44950</v>
      </c>
      <c r="C575" s="195">
        <f t="shared" si="17"/>
        <v>1</v>
      </c>
      <c r="D575" s="195">
        <v>36.9</v>
      </c>
      <c r="E575" s="705">
        <f t="shared" si="18"/>
        <v>2.7222222222222214</v>
      </c>
    </row>
    <row r="576" spans="2:5">
      <c r="B576" s="943">
        <v>44950</v>
      </c>
      <c r="C576" s="195">
        <f t="shared" si="17"/>
        <v>1</v>
      </c>
      <c r="D576" s="195">
        <v>37.200000000000003</v>
      </c>
      <c r="E576" s="705">
        <f t="shared" si="18"/>
        <v>2.8888888888888906</v>
      </c>
    </row>
    <row r="577" spans="2:5">
      <c r="B577" s="943">
        <v>44950</v>
      </c>
      <c r="C577" s="195">
        <f t="shared" si="17"/>
        <v>1</v>
      </c>
      <c r="D577" s="195">
        <v>38.5</v>
      </c>
      <c r="E577" s="705">
        <f t="shared" si="18"/>
        <v>3.6111111111111112</v>
      </c>
    </row>
    <row r="578" spans="2:5">
      <c r="B578" s="943">
        <v>44950</v>
      </c>
      <c r="C578" s="195">
        <f t="shared" si="17"/>
        <v>1</v>
      </c>
      <c r="D578" s="195">
        <v>39.4</v>
      </c>
      <c r="E578" s="705">
        <f t="shared" si="18"/>
        <v>4.1111111111111098</v>
      </c>
    </row>
    <row r="579" spans="2:5">
      <c r="B579" s="943">
        <v>44950</v>
      </c>
      <c r="C579" s="195">
        <f t="shared" si="17"/>
        <v>1</v>
      </c>
      <c r="D579" s="195">
        <v>40.1</v>
      </c>
      <c r="E579" s="705">
        <f t="shared" si="18"/>
        <v>4.5000000000000009</v>
      </c>
    </row>
    <row r="580" spans="2:5">
      <c r="B580" s="943">
        <v>44950</v>
      </c>
      <c r="C580" s="195">
        <f t="shared" si="17"/>
        <v>1</v>
      </c>
      <c r="D580" s="195">
        <v>40.6</v>
      </c>
      <c r="E580" s="705">
        <f t="shared" si="18"/>
        <v>4.7777777777777786</v>
      </c>
    </row>
    <row r="581" spans="2:5">
      <c r="B581" s="943">
        <v>44950</v>
      </c>
      <c r="C581" s="195">
        <f t="shared" si="17"/>
        <v>1</v>
      </c>
      <c r="D581" s="195">
        <v>40.6</v>
      </c>
      <c r="E581" s="705">
        <f t="shared" si="18"/>
        <v>4.7777777777777786</v>
      </c>
    </row>
    <row r="582" spans="2:5">
      <c r="B582" s="943">
        <v>44950</v>
      </c>
      <c r="C582" s="195">
        <f t="shared" si="17"/>
        <v>1</v>
      </c>
      <c r="D582" s="195">
        <v>40.6</v>
      </c>
      <c r="E582" s="705">
        <f t="shared" si="18"/>
        <v>4.7777777777777786</v>
      </c>
    </row>
    <row r="583" spans="2:5">
      <c r="B583" s="943">
        <v>44950</v>
      </c>
      <c r="C583" s="195">
        <f t="shared" si="17"/>
        <v>1</v>
      </c>
      <c r="D583" s="195">
        <v>40.1</v>
      </c>
      <c r="E583" s="705">
        <f t="shared" si="18"/>
        <v>4.5000000000000009</v>
      </c>
    </row>
    <row r="584" spans="2:5">
      <c r="B584" s="943">
        <v>44950</v>
      </c>
      <c r="C584" s="195">
        <f t="shared" si="17"/>
        <v>1</v>
      </c>
      <c r="D584" s="195">
        <v>39.200000000000003</v>
      </c>
      <c r="E584" s="705">
        <f t="shared" si="18"/>
        <v>4.0000000000000018</v>
      </c>
    </row>
    <row r="585" spans="2:5">
      <c r="B585" s="943">
        <v>44951</v>
      </c>
      <c r="C585" s="195">
        <f t="shared" si="17"/>
        <v>1</v>
      </c>
      <c r="D585" s="195">
        <v>38.299999999999997</v>
      </c>
      <c r="E585" s="705">
        <f t="shared" si="18"/>
        <v>3.4999999999999982</v>
      </c>
    </row>
    <row r="586" spans="2:5">
      <c r="B586" s="943">
        <v>44951</v>
      </c>
      <c r="C586" s="195">
        <f t="shared" ref="C586:C649" si="19">MONTH(B586)</f>
        <v>1</v>
      </c>
      <c r="D586" s="195">
        <v>37.799999999999997</v>
      </c>
      <c r="E586" s="705">
        <f t="shared" ref="E586:E649" si="20">CONVERT(D586,"F","C")</f>
        <v>3.2222222222222205</v>
      </c>
    </row>
    <row r="587" spans="2:5">
      <c r="B587" s="943">
        <v>44951</v>
      </c>
      <c r="C587" s="195">
        <f t="shared" si="19"/>
        <v>1</v>
      </c>
      <c r="D587" s="195">
        <v>37.200000000000003</v>
      </c>
      <c r="E587" s="705">
        <f t="shared" si="20"/>
        <v>2.8888888888888906</v>
      </c>
    </row>
    <row r="588" spans="2:5">
      <c r="B588" s="943">
        <v>44951</v>
      </c>
      <c r="C588" s="195">
        <f t="shared" si="19"/>
        <v>1</v>
      </c>
      <c r="D588" s="195" t="s">
        <v>1432</v>
      </c>
      <c r="E588" s="705">
        <f t="shared" si="20"/>
        <v>2.7777777777777777</v>
      </c>
    </row>
    <row r="589" spans="2:5">
      <c r="B589" s="943">
        <v>44951</v>
      </c>
      <c r="C589" s="195">
        <f t="shared" si="19"/>
        <v>1</v>
      </c>
      <c r="D589" s="195">
        <v>38.1</v>
      </c>
      <c r="E589" s="705">
        <f t="shared" si="20"/>
        <v>3.3888888888888897</v>
      </c>
    </row>
    <row r="590" spans="2:5">
      <c r="B590" s="943">
        <v>44951</v>
      </c>
      <c r="C590" s="195">
        <f t="shared" si="19"/>
        <v>1</v>
      </c>
      <c r="D590" s="195" t="s">
        <v>1431</v>
      </c>
      <c r="E590" s="705">
        <f t="shared" si="20"/>
        <v>3.8888888888888888</v>
      </c>
    </row>
    <row r="591" spans="2:5">
      <c r="B591" s="943">
        <v>44951</v>
      </c>
      <c r="C591" s="195">
        <f t="shared" si="19"/>
        <v>1</v>
      </c>
      <c r="D591" s="195">
        <v>40.1</v>
      </c>
      <c r="E591" s="705">
        <f t="shared" si="20"/>
        <v>4.5000000000000009</v>
      </c>
    </row>
    <row r="592" spans="2:5">
      <c r="B592" s="943">
        <v>44951</v>
      </c>
      <c r="C592" s="195">
        <f t="shared" si="19"/>
        <v>1</v>
      </c>
      <c r="D592" s="195">
        <v>40.6</v>
      </c>
      <c r="E592" s="705">
        <f t="shared" si="20"/>
        <v>4.7777777777777786</v>
      </c>
    </row>
    <row r="593" spans="2:5">
      <c r="B593" s="943">
        <v>44951</v>
      </c>
      <c r="C593" s="195">
        <f t="shared" si="19"/>
        <v>1</v>
      </c>
      <c r="D593" s="195">
        <v>40.799999999999997</v>
      </c>
      <c r="E593" s="705">
        <f t="shared" si="20"/>
        <v>4.8888888888888875</v>
      </c>
    </row>
    <row r="594" spans="2:5">
      <c r="B594" s="943">
        <v>44951</v>
      </c>
      <c r="C594" s="195">
        <f t="shared" si="19"/>
        <v>1</v>
      </c>
      <c r="D594" s="195">
        <v>40.5</v>
      </c>
      <c r="E594" s="705">
        <f t="shared" si="20"/>
        <v>4.7222222222222223</v>
      </c>
    </row>
    <row r="595" spans="2:5">
      <c r="B595" s="943">
        <v>44951</v>
      </c>
      <c r="C595" s="195">
        <f t="shared" si="19"/>
        <v>1</v>
      </c>
      <c r="D595" s="195">
        <v>40.6</v>
      </c>
      <c r="E595" s="705">
        <f t="shared" si="20"/>
        <v>4.7777777777777786</v>
      </c>
    </row>
    <row r="596" spans="2:5">
      <c r="B596" s="943">
        <v>44951</v>
      </c>
      <c r="C596" s="195">
        <f t="shared" si="19"/>
        <v>1</v>
      </c>
      <c r="D596" s="195">
        <v>39.9</v>
      </c>
      <c r="E596" s="705">
        <f t="shared" si="20"/>
        <v>4.3888888888888884</v>
      </c>
    </row>
    <row r="597" spans="2:5">
      <c r="B597" s="943">
        <v>44951</v>
      </c>
      <c r="C597" s="195">
        <f t="shared" si="19"/>
        <v>1</v>
      </c>
      <c r="D597" s="195">
        <v>38.799999999999997</v>
      </c>
      <c r="E597" s="705">
        <f t="shared" si="20"/>
        <v>3.7777777777777759</v>
      </c>
    </row>
    <row r="598" spans="2:5">
      <c r="B598" s="943">
        <v>44951</v>
      </c>
      <c r="C598" s="195">
        <f t="shared" si="19"/>
        <v>1</v>
      </c>
      <c r="D598" s="195">
        <v>38.1</v>
      </c>
      <c r="E598" s="705">
        <f t="shared" si="20"/>
        <v>3.3888888888888897</v>
      </c>
    </row>
    <row r="599" spans="2:5">
      <c r="B599" s="943">
        <v>44951</v>
      </c>
      <c r="C599" s="195">
        <f t="shared" si="19"/>
        <v>1</v>
      </c>
      <c r="D599" s="195">
        <v>37.6</v>
      </c>
      <c r="E599" s="705">
        <f t="shared" si="20"/>
        <v>3.1111111111111116</v>
      </c>
    </row>
    <row r="600" spans="2:5">
      <c r="B600" s="943">
        <v>44951</v>
      </c>
      <c r="C600" s="195">
        <f t="shared" si="19"/>
        <v>1</v>
      </c>
      <c r="D600" s="195">
        <v>37.4</v>
      </c>
      <c r="E600" s="705">
        <f t="shared" si="20"/>
        <v>2.9999999999999991</v>
      </c>
    </row>
    <row r="601" spans="2:5">
      <c r="B601" s="943">
        <v>44951</v>
      </c>
      <c r="C601" s="195">
        <f t="shared" si="19"/>
        <v>1</v>
      </c>
      <c r="D601" s="195">
        <v>37.9</v>
      </c>
      <c r="E601" s="705">
        <f t="shared" si="20"/>
        <v>3.2777777777777768</v>
      </c>
    </row>
    <row r="602" spans="2:5">
      <c r="B602" s="943">
        <v>44951</v>
      </c>
      <c r="C602" s="195">
        <f t="shared" si="19"/>
        <v>1</v>
      </c>
      <c r="D602" s="195">
        <v>39.200000000000003</v>
      </c>
      <c r="E602" s="705">
        <f t="shared" si="20"/>
        <v>4.0000000000000018</v>
      </c>
    </row>
    <row r="603" spans="2:5">
      <c r="B603" s="943">
        <v>44951</v>
      </c>
      <c r="C603" s="195">
        <f t="shared" si="19"/>
        <v>1</v>
      </c>
      <c r="D603" s="195">
        <v>40.299999999999997</v>
      </c>
      <c r="E603" s="705">
        <f t="shared" si="20"/>
        <v>4.6111111111111098</v>
      </c>
    </row>
    <row r="604" spans="2:5">
      <c r="B604" s="943">
        <v>44951</v>
      </c>
      <c r="C604" s="195">
        <f t="shared" si="19"/>
        <v>1</v>
      </c>
      <c r="D604" s="195" t="s">
        <v>1429</v>
      </c>
      <c r="E604" s="705">
        <f t="shared" si="20"/>
        <v>5</v>
      </c>
    </row>
    <row r="605" spans="2:5">
      <c r="B605" s="943">
        <v>44951</v>
      </c>
      <c r="C605" s="195">
        <f t="shared" si="19"/>
        <v>1</v>
      </c>
      <c r="D605" s="195" t="s">
        <v>1429</v>
      </c>
      <c r="E605" s="705">
        <f t="shared" si="20"/>
        <v>5</v>
      </c>
    </row>
    <row r="606" spans="2:5">
      <c r="B606" s="943">
        <v>44951</v>
      </c>
      <c r="C606" s="195">
        <f t="shared" si="19"/>
        <v>1</v>
      </c>
      <c r="D606" s="195" t="s">
        <v>1429</v>
      </c>
      <c r="E606" s="705">
        <f t="shared" si="20"/>
        <v>5</v>
      </c>
    </row>
    <row r="607" spans="2:5">
      <c r="B607" s="943">
        <v>44951</v>
      </c>
      <c r="C607" s="195">
        <f t="shared" si="19"/>
        <v>1</v>
      </c>
      <c r="D607" s="195">
        <v>40.799999999999997</v>
      </c>
      <c r="E607" s="705">
        <f t="shared" si="20"/>
        <v>4.8888888888888875</v>
      </c>
    </row>
    <row r="608" spans="2:5">
      <c r="B608" s="943">
        <v>44951</v>
      </c>
      <c r="C608" s="195">
        <f t="shared" si="19"/>
        <v>1</v>
      </c>
      <c r="D608" s="195">
        <v>40.5</v>
      </c>
      <c r="E608" s="705">
        <f t="shared" si="20"/>
        <v>4.7222222222222223</v>
      </c>
    </row>
    <row r="609" spans="2:5">
      <c r="B609" s="943">
        <v>44952</v>
      </c>
      <c r="C609" s="195">
        <f t="shared" si="19"/>
        <v>1</v>
      </c>
      <c r="D609" s="195">
        <v>39.6</v>
      </c>
      <c r="E609" s="705">
        <f t="shared" si="20"/>
        <v>4.2222222222222232</v>
      </c>
    </row>
    <row r="610" spans="2:5">
      <c r="B610" s="943">
        <v>44952</v>
      </c>
      <c r="C610" s="195">
        <f t="shared" si="19"/>
        <v>1</v>
      </c>
      <c r="D610" s="195">
        <v>38.700000000000003</v>
      </c>
      <c r="E610" s="705">
        <f t="shared" si="20"/>
        <v>3.7222222222222237</v>
      </c>
    </row>
    <row r="611" spans="2:5">
      <c r="B611" s="943">
        <v>44952</v>
      </c>
      <c r="C611" s="195">
        <f t="shared" si="19"/>
        <v>1</v>
      </c>
      <c r="D611" s="195">
        <v>37.9</v>
      </c>
      <c r="E611" s="705">
        <f t="shared" si="20"/>
        <v>3.2777777777777768</v>
      </c>
    </row>
    <row r="612" spans="2:5">
      <c r="B612" s="943">
        <v>44952</v>
      </c>
      <c r="C612" s="195">
        <f t="shared" si="19"/>
        <v>1</v>
      </c>
      <c r="D612" s="195">
        <v>37.6</v>
      </c>
      <c r="E612" s="705">
        <f t="shared" si="20"/>
        <v>3.1111111111111116</v>
      </c>
    </row>
    <row r="613" spans="2:5">
      <c r="B613" s="943">
        <v>44952</v>
      </c>
      <c r="C613" s="195">
        <f t="shared" si="19"/>
        <v>1</v>
      </c>
      <c r="D613" s="195">
        <v>37.799999999999997</v>
      </c>
      <c r="E613" s="705">
        <f t="shared" si="20"/>
        <v>3.2222222222222205</v>
      </c>
    </row>
    <row r="614" spans="2:5">
      <c r="B614" s="943">
        <v>44952</v>
      </c>
      <c r="C614" s="195">
        <f t="shared" si="19"/>
        <v>1</v>
      </c>
      <c r="D614" s="195" t="s">
        <v>1431</v>
      </c>
      <c r="E614" s="705">
        <f t="shared" si="20"/>
        <v>3.8888888888888888</v>
      </c>
    </row>
    <row r="615" spans="2:5">
      <c r="B615" s="943">
        <v>44952</v>
      </c>
      <c r="C615" s="195">
        <f t="shared" si="19"/>
        <v>1</v>
      </c>
      <c r="D615" s="195">
        <v>39.700000000000003</v>
      </c>
      <c r="E615" s="705">
        <f t="shared" si="20"/>
        <v>4.2777777777777795</v>
      </c>
    </row>
    <row r="616" spans="2:5">
      <c r="B616" s="943">
        <v>44952</v>
      </c>
      <c r="C616" s="195">
        <f t="shared" si="19"/>
        <v>1</v>
      </c>
      <c r="D616" s="195">
        <v>40.5</v>
      </c>
      <c r="E616" s="705">
        <f t="shared" si="20"/>
        <v>4.7222222222222223</v>
      </c>
    </row>
    <row r="617" spans="2:5">
      <c r="B617" s="943">
        <v>44952</v>
      </c>
      <c r="C617" s="195">
        <f t="shared" si="19"/>
        <v>1</v>
      </c>
      <c r="D617" s="195">
        <v>40.5</v>
      </c>
      <c r="E617" s="705">
        <f t="shared" si="20"/>
        <v>4.7222222222222223</v>
      </c>
    </row>
    <row r="618" spans="2:5">
      <c r="B618" s="943">
        <v>44952</v>
      </c>
      <c r="C618" s="195">
        <f t="shared" si="19"/>
        <v>1</v>
      </c>
      <c r="D618" s="195">
        <v>40.5</v>
      </c>
      <c r="E618" s="705">
        <f t="shared" si="20"/>
        <v>4.7222222222222223</v>
      </c>
    </row>
    <row r="619" spans="2:5">
      <c r="B619" s="943">
        <v>44952</v>
      </c>
      <c r="C619" s="195">
        <f t="shared" si="19"/>
        <v>1</v>
      </c>
      <c r="D619" s="195">
        <v>40.5</v>
      </c>
      <c r="E619" s="705">
        <f t="shared" si="20"/>
        <v>4.7222222222222223</v>
      </c>
    </row>
    <row r="620" spans="2:5">
      <c r="B620" s="943">
        <v>44952</v>
      </c>
      <c r="C620" s="195">
        <f t="shared" si="19"/>
        <v>1</v>
      </c>
      <c r="D620" s="195">
        <v>40.5</v>
      </c>
      <c r="E620" s="705">
        <f t="shared" si="20"/>
        <v>4.7222222222222223</v>
      </c>
    </row>
    <row r="621" spans="2:5">
      <c r="B621" s="943">
        <v>44952</v>
      </c>
      <c r="C621" s="195">
        <f t="shared" si="19"/>
        <v>1</v>
      </c>
      <c r="D621" s="195">
        <v>40.1</v>
      </c>
      <c r="E621" s="705">
        <f t="shared" si="20"/>
        <v>4.5000000000000009</v>
      </c>
    </row>
    <row r="622" spans="2:5">
      <c r="B622" s="943">
        <v>44952</v>
      </c>
      <c r="C622" s="195">
        <f t="shared" si="19"/>
        <v>1</v>
      </c>
      <c r="D622" s="195">
        <v>39.200000000000003</v>
      </c>
      <c r="E622" s="705">
        <f t="shared" si="20"/>
        <v>4.0000000000000018</v>
      </c>
    </row>
    <row r="623" spans="2:5">
      <c r="B623" s="943">
        <v>44952</v>
      </c>
      <c r="C623" s="195">
        <f t="shared" si="19"/>
        <v>1</v>
      </c>
      <c r="D623" s="195">
        <v>38.700000000000003</v>
      </c>
      <c r="E623" s="705">
        <f t="shared" si="20"/>
        <v>3.7222222222222237</v>
      </c>
    </row>
    <row r="624" spans="2:5">
      <c r="B624" s="943">
        <v>44952</v>
      </c>
      <c r="C624" s="195">
        <f t="shared" si="19"/>
        <v>1</v>
      </c>
      <c r="D624" s="195">
        <v>38.1</v>
      </c>
      <c r="E624" s="705">
        <f t="shared" si="20"/>
        <v>3.3888888888888897</v>
      </c>
    </row>
    <row r="625" spans="2:5">
      <c r="B625" s="943">
        <v>44952</v>
      </c>
      <c r="C625" s="195">
        <f t="shared" si="19"/>
        <v>1</v>
      </c>
      <c r="D625" s="195">
        <v>37.9</v>
      </c>
      <c r="E625" s="705">
        <f t="shared" si="20"/>
        <v>3.2777777777777768</v>
      </c>
    </row>
    <row r="626" spans="2:5">
      <c r="B626" s="943">
        <v>44952</v>
      </c>
      <c r="C626" s="195">
        <f t="shared" si="19"/>
        <v>1</v>
      </c>
      <c r="D626" s="195">
        <v>38.299999999999997</v>
      </c>
      <c r="E626" s="705">
        <f t="shared" si="20"/>
        <v>3.4999999999999982</v>
      </c>
    </row>
    <row r="627" spans="2:5">
      <c r="B627" s="943">
        <v>44952</v>
      </c>
      <c r="C627" s="195">
        <f t="shared" si="19"/>
        <v>1</v>
      </c>
      <c r="D627" s="195">
        <v>39.200000000000003</v>
      </c>
      <c r="E627" s="705">
        <f t="shared" si="20"/>
        <v>4.0000000000000018</v>
      </c>
    </row>
    <row r="628" spans="2:5">
      <c r="B628" s="943">
        <v>44952</v>
      </c>
      <c r="C628" s="195">
        <f t="shared" si="19"/>
        <v>1</v>
      </c>
      <c r="D628" s="195">
        <v>39.700000000000003</v>
      </c>
      <c r="E628" s="705">
        <f t="shared" si="20"/>
        <v>4.2777777777777795</v>
      </c>
    </row>
    <row r="629" spans="2:5">
      <c r="B629" s="943">
        <v>44952</v>
      </c>
      <c r="C629" s="195">
        <f t="shared" si="19"/>
        <v>1</v>
      </c>
      <c r="D629" s="195">
        <v>40.299999999999997</v>
      </c>
      <c r="E629" s="705">
        <f t="shared" si="20"/>
        <v>4.6111111111111098</v>
      </c>
    </row>
    <row r="630" spans="2:5">
      <c r="B630" s="943">
        <v>44952</v>
      </c>
      <c r="C630" s="195">
        <f t="shared" si="19"/>
        <v>1</v>
      </c>
      <c r="D630" s="195">
        <v>40.5</v>
      </c>
      <c r="E630" s="705">
        <f t="shared" si="20"/>
        <v>4.7222222222222223</v>
      </c>
    </row>
    <row r="631" spans="2:5">
      <c r="B631" s="943">
        <v>44952</v>
      </c>
      <c r="C631" s="195">
        <f t="shared" si="19"/>
        <v>1</v>
      </c>
      <c r="D631" s="195">
        <v>40.299999999999997</v>
      </c>
      <c r="E631" s="705">
        <f t="shared" si="20"/>
        <v>4.6111111111111098</v>
      </c>
    </row>
    <row r="632" spans="2:5">
      <c r="B632" s="943">
        <v>44952</v>
      </c>
      <c r="C632" s="195">
        <f t="shared" si="19"/>
        <v>1</v>
      </c>
      <c r="D632" s="195">
        <v>40.299999999999997</v>
      </c>
      <c r="E632" s="705">
        <f t="shared" si="20"/>
        <v>4.6111111111111098</v>
      </c>
    </row>
    <row r="633" spans="2:5">
      <c r="B633" s="943">
        <v>44953</v>
      </c>
      <c r="C633" s="195">
        <f t="shared" si="19"/>
        <v>1</v>
      </c>
      <c r="D633" s="195">
        <v>39.700000000000003</v>
      </c>
      <c r="E633" s="705">
        <f t="shared" si="20"/>
        <v>4.2777777777777795</v>
      </c>
    </row>
    <row r="634" spans="2:5">
      <c r="B634" s="943">
        <v>44953</v>
      </c>
      <c r="C634" s="195">
        <f t="shared" si="19"/>
        <v>1</v>
      </c>
      <c r="D634" s="195">
        <v>38.700000000000003</v>
      </c>
      <c r="E634" s="705">
        <f t="shared" si="20"/>
        <v>3.7222222222222237</v>
      </c>
    </row>
    <row r="635" spans="2:5">
      <c r="B635" s="943">
        <v>44953</v>
      </c>
      <c r="C635" s="195">
        <f t="shared" si="19"/>
        <v>1</v>
      </c>
      <c r="D635" s="195">
        <v>38.1</v>
      </c>
      <c r="E635" s="705">
        <f t="shared" si="20"/>
        <v>3.3888888888888897</v>
      </c>
    </row>
    <row r="636" spans="2:5">
      <c r="B636" s="943">
        <v>44953</v>
      </c>
      <c r="C636" s="195">
        <f t="shared" si="19"/>
        <v>1</v>
      </c>
      <c r="D636" s="195">
        <v>37.6</v>
      </c>
      <c r="E636" s="705">
        <f t="shared" si="20"/>
        <v>3.1111111111111116</v>
      </c>
    </row>
    <row r="637" spans="2:5">
      <c r="B637" s="943">
        <v>44953</v>
      </c>
      <c r="C637" s="195">
        <f t="shared" si="19"/>
        <v>1</v>
      </c>
      <c r="D637" s="195">
        <v>37.4</v>
      </c>
      <c r="E637" s="705">
        <f t="shared" si="20"/>
        <v>2.9999999999999991</v>
      </c>
    </row>
    <row r="638" spans="2:5">
      <c r="B638" s="943">
        <v>44953</v>
      </c>
      <c r="C638" s="195">
        <f t="shared" si="19"/>
        <v>1</v>
      </c>
      <c r="D638" s="195">
        <v>37.4</v>
      </c>
      <c r="E638" s="705">
        <f t="shared" si="20"/>
        <v>2.9999999999999991</v>
      </c>
    </row>
    <row r="639" spans="2:5">
      <c r="B639" s="943">
        <v>44953</v>
      </c>
      <c r="C639" s="195">
        <f t="shared" si="19"/>
        <v>1</v>
      </c>
      <c r="D639" s="195">
        <v>38.700000000000003</v>
      </c>
      <c r="E639" s="705">
        <f t="shared" si="20"/>
        <v>3.7222222222222237</v>
      </c>
    </row>
    <row r="640" spans="2:5">
      <c r="B640" s="943">
        <v>44953</v>
      </c>
      <c r="C640" s="195">
        <f t="shared" si="19"/>
        <v>1</v>
      </c>
      <c r="D640" s="195">
        <v>39.4</v>
      </c>
      <c r="E640" s="705">
        <f t="shared" si="20"/>
        <v>4.1111111111111098</v>
      </c>
    </row>
    <row r="641" spans="2:5">
      <c r="B641" s="943">
        <v>44953</v>
      </c>
      <c r="C641" s="195">
        <f t="shared" si="19"/>
        <v>1</v>
      </c>
      <c r="D641" s="195">
        <v>40.299999999999997</v>
      </c>
      <c r="E641" s="705">
        <f t="shared" si="20"/>
        <v>4.6111111111111098</v>
      </c>
    </row>
    <row r="642" spans="2:5">
      <c r="B642" s="943">
        <v>44953</v>
      </c>
      <c r="C642" s="195">
        <f t="shared" si="19"/>
        <v>1</v>
      </c>
      <c r="D642" s="195">
        <v>40.299999999999997</v>
      </c>
      <c r="E642" s="705">
        <f t="shared" si="20"/>
        <v>4.6111111111111098</v>
      </c>
    </row>
    <row r="643" spans="2:5">
      <c r="B643" s="943">
        <v>44953</v>
      </c>
      <c r="C643" s="195">
        <f t="shared" si="19"/>
        <v>1</v>
      </c>
      <c r="D643" s="195">
        <v>40.5</v>
      </c>
      <c r="E643" s="705">
        <f t="shared" si="20"/>
        <v>4.7222222222222223</v>
      </c>
    </row>
    <row r="644" spans="2:5">
      <c r="B644" s="943">
        <v>44953</v>
      </c>
      <c r="C644" s="195">
        <f t="shared" si="19"/>
        <v>1</v>
      </c>
      <c r="D644" s="195">
        <v>40.299999999999997</v>
      </c>
      <c r="E644" s="705">
        <f t="shared" si="20"/>
        <v>4.6111111111111098</v>
      </c>
    </row>
    <row r="645" spans="2:5">
      <c r="B645" s="943">
        <v>44953</v>
      </c>
      <c r="C645" s="195">
        <f t="shared" si="19"/>
        <v>1</v>
      </c>
      <c r="D645" s="195">
        <v>40.1</v>
      </c>
      <c r="E645" s="705">
        <f t="shared" si="20"/>
        <v>4.5000000000000009</v>
      </c>
    </row>
    <row r="646" spans="2:5">
      <c r="B646" s="943">
        <v>44953</v>
      </c>
      <c r="C646" s="195">
        <f t="shared" si="19"/>
        <v>1</v>
      </c>
      <c r="D646" s="195">
        <v>39.200000000000003</v>
      </c>
      <c r="E646" s="705">
        <f t="shared" si="20"/>
        <v>4.0000000000000018</v>
      </c>
    </row>
    <row r="647" spans="2:5">
      <c r="B647" s="943">
        <v>44953</v>
      </c>
      <c r="C647" s="195">
        <f t="shared" si="19"/>
        <v>1</v>
      </c>
      <c r="D647" s="195">
        <v>37.9</v>
      </c>
      <c r="E647" s="705">
        <f t="shared" si="20"/>
        <v>3.2777777777777768</v>
      </c>
    </row>
    <row r="648" spans="2:5">
      <c r="B648" s="943">
        <v>44953</v>
      </c>
      <c r="C648" s="195">
        <f t="shared" si="19"/>
        <v>1</v>
      </c>
      <c r="D648" s="195">
        <v>37.4</v>
      </c>
      <c r="E648" s="705">
        <f t="shared" si="20"/>
        <v>2.9999999999999991</v>
      </c>
    </row>
    <row r="649" spans="2:5">
      <c r="B649" s="943">
        <v>44953</v>
      </c>
      <c r="C649" s="195">
        <f t="shared" si="19"/>
        <v>1</v>
      </c>
      <c r="D649" s="195" t="s">
        <v>1432</v>
      </c>
      <c r="E649" s="705">
        <f t="shared" si="20"/>
        <v>2.7777777777777777</v>
      </c>
    </row>
    <row r="650" spans="2:5">
      <c r="B650" s="943">
        <v>44953</v>
      </c>
      <c r="C650" s="195">
        <f t="shared" ref="C650:C713" si="21">MONTH(B650)</f>
        <v>1</v>
      </c>
      <c r="D650" s="195" t="s">
        <v>1432</v>
      </c>
      <c r="E650" s="705">
        <f t="shared" ref="E650:E713" si="22">CONVERT(D650,"F","C")</f>
        <v>2.7777777777777777</v>
      </c>
    </row>
    <row r="651" spans="2:5">
      <c r="B651" s="943">
        <v>44953</v>
      </c>
      <c r="C651" s="195">
        <f t="shared" si="21"/>
        <v>1</v>
      </c>
      <c r="D651" s="195">
        <v>37.6</v>
      </c>
      <c r="E651" s="705">
        <f t="shared" si="22"/>
        <v>3.1111111111111116</v>
      </c>
    </row>
    <row r="652" spans="2:5">
      <c r="B652" s="943">
        <v>44953</v>
      </c>
      <c r="C652" s="195">
        <f t="shared" si="21"/>
        <v>1</v>
      </c>
      <c r="D652" s="195">
        <v>39.700000000000003</v>
      </c>
      <c r="E652" s="705">
        <f t="shared" si="22"/>
        <v>4.2777777777777795</v>
      </c>
    </row>
    <row r="653" spans="2:5">
      <c r="B653" s="943">
        <v>44953</v>
      </c>
      <c r="C653" s="195">
        <f t="shared" si="21"/>
        <v>1</v>
      </c>
      <c r="D653" s="195">
        <v>40.1</v>
      </c>
      <c r="E653" s="705">
        <f t="shared" si="22"/>
        <v>4.5000000000000009</v>
      </c>
    </row>
    <row r="654" spans="2:5">
      <c r="B654" s="943">
        <v>44953</v>
      </c>
      <c r="C654" s="195">
        <f t="shared" si="21"/>
        <v>1</v>
      </c>
      <c r="D654" s="195">
        <v>40.5</v>
      </c>
      <c r="E654" s="705">
        <f t="shared" si="22"/>
        <v>4.7222222222222223</v>
      </c>
    </row>
    <row r="655" spans="2:5">
      <c r="B655" s="943">
        <v>44953</v>
      </c>
      <c r="C655" s="195">
        <f t="shared" si="21"/>
        <v>1</v>
      </c>
      <c r="D655" s="195" t="s">
        <v>1429</v>
      </c>
      <c r="E655" s="705">
        <f t="shared" si="22"/>
        <v>5</v>
      </c>
    </row>
    <row r="656" spans="2:5">
      <c r="B656" s="943">
        <v>44953</v>
      </c>
      <c r="C656" s="195">
        <f t="shared" si="21"/>
        <v>1</v>
      </c>
      <c r="D656" s="195" t="s">
        <v>1429</v>
      </c>
      <c r="E656" s="705">
        <f t="shared" si="22"/>
        <v>5</v>
      </c>
    </row>
    <row r="657" spans="2:5">
      <c r="B657" s="943">
        <v>44954</v>
      </c>
      <c r="C657" s="195">
        <f t="shared" si="21"/>
        <v>1</v>
      </c>
      <c r="D657" s="195" t="s">
        <v>1429</v>
      </c>
      <c r="E657" s="705">
        <f t="shared" si="22"/>
        <v>5</v>
      </c>
    </row>
    <row r="658" spans="2:5">
      <c r="B658" s="943">
        <v>44954</v>
      </c>
      <c r="C658" s="195">
        <f t="shared" si="21"/>
        <v>1</v>
      </c>
      <c r="D658" s="195">
        <v>40.5</v>
      </c>
      <c r="E658" s="705">
        <f t="shared" si="22"/>
        <v>4.7222222222222223</v>
      </c>
    </row>
    <row r="659" spans="2:5">
      <c r="B659" s="943">
        <v>44954</v>
      </c>
      <c r="C659" s="195">
        <f t="shared" si="21"/>
        <v>1</v>
      </c>
      <c r="D659" s="195" t="s">
        <v>1431</v>
      </c>
      <c r="E659" s="705">
        <f t="shared" si="22"/>
        <v>3.8888888888888888</v>
      </c>
    </row>
    <row r="660" spans="2:5">
      <c r="B660" s="943">
        <v>44954</v>
      </c>
      <c r="C660" s="195">
        <f t="shared" si="21"/>
        <v>1</v>
      </c>
      <c r="D660" s="195">
        <v>38.1</v>
      </c>
      <c r="E660" s="705">
        <f t="shared" si="22"/>
        <v>3.3888888888888897</v>
      </c>
    </row>
    <row r="661" spans="2:5">
      <c r="B661" s="943">
        <v>44954</v>
      </c>
      <c r="C661" s="195">
        <f t="shared" si="21"/>
        <v>1</v>
      </c>
      <c r="D661" s="195">
        <v>37.4</v>
      </c>
      <c r="E661" s="705">
        <f t="shared" si="22"/>
        <v>2.9999999999999991</v>
      </c>
    </row>
    <row r="662" spans="2:5">
      <c r="B662" s="943">
        <v>44954</v>
      </c>
      <c r="C662" s="195">
        <f t="shared" si="21"/>
        <v>1</v>
      </c>
      <c r="D662" s="195">
        <v>37.200000000000003</v>
      </c>
      <c r="E662" s="705">
        <f t="shared" si="22"/>
        <v>2.8888888888888906</v>
      </c>
    </row>
    <row r="663" spans="2:5">
      <c r="B663" s="943">
        <v>44954</v>
      </c>
      <c r="C663" s="195">
        <f t="shared" si="21"/>
        <v>1</v>
      </c>
      <c r="D663" s="195">
        <v>37.799999999999997</v>
      </c>
      <c r="E663" s="705">
        <f t="shared" si="22"/>
        <v>3.2222222222222205</v>
      </c>
    </row>
    <row r="664" spans="2:5">
      <c r="B664" s="943">
        <v>44954</v>
      </c>
      <c r="C664" s="195">
        <f t="shared" si="21"/>
        <v>1</v>
      </c>
      <c r="D664" s="195">
        <v>39.700000000000003</v>
      </c>
      <c r="E664" s="705">
        <f t="shared" si="22"/>
        <v>4.2777777777777795</v>
      </c>
    </row>
    <row r="665" spans="2:5">
      <c r="B665" s="943">
        <v>44954</v>
      </c>
      <c r="C665" s="195">
        <f t="shared" si="21"/>
        <v>1</v>
      </c>
      <c r="D665" s="195">
        <v>39.9</v>
      </c>
      <c r="E665" s="705">
        <f t="shared" si="22"/>
        <v>4.3888888888888884</v>
      </c>
    </row>
    <row r="666" spans="2:5">
      <c r="B666" s="943">
        <v>44954</v>
      </c>
      <c r="C666" s="195">
        <f t="shared" si="21"/>
        <v>1</v>
      </c>
      <c r="D666" s="195">
        <v>40.5</v>
      </c>
      <c r="E666" s="705">
        <f t="shared" si="22"/>
        <v>4.7222222222222223</v>
      </c>
    </row>
    <row r="667" spans="2:5">
      <c r="B667" s="943">
        <v>44954</v>
      </c>
      <c r="C667" s="195">
        <f t="shared" si="21"/>
        <v>1</v>
      </c>
      <c r="D667" s="195" t="s">
        <v>1429</v>
      </c>
      <c r="E667" s="705">
        <f t="shared" si="22"/>
        <v>5</v>
      </c>
    </row>
    <row r="668" spans="2:5">
      <c r="B668" s="943">
        <v>44954</v>
      </c>
      <c r="C668" s="195">
        <f t="shared" si="21"/>
        <v>1</v>
      </c>
      <c r="D668" s="195">
        <v>41.5</v>
      </c>
      <c r="E668" s="705">
        <f t="shared" si="22"/>
        <v>5.2777777777777777</v>
      </c>
    </row>
    <row r="669" spans="2:5">
      <c r="B669" s="943">
        <v>44954</v>
      </c>
      <c r="C669" s="195">
        <f t="shared" si="21"/>
        <v>1</v>
      </c>
      <c r="D669" s="195">
        <v>40.799999999999997</v>
      </c>
      <c r="E669" s="705">
        <f t="shared" si="22"/>
        <v>4.8888888888888875</v>
      </c>
    </row>
    <row r="670" spans="2:5">
      <c r="B670" s="943">
        <v>44954</v>
      </c>
      <c r="C670" s="195">
        <f t="shared" si="21"/>
        <v>1</v>
      </c>
      <c r="D670" s="195">
        <v>40.6</v>
      </c>
      <c r="E670" s="705">
        <f t="shared" si="22"/>
        <v>4.7777777777777786</v>
      </c>
    </row>
    <row r="671" spans="2:5">
      <c r="B671" s="943">
        <v>44954</v>
      </c>
      <c r="C671" s="195">
        <f t="shared" si="21"/>
        <v>1</v>
      </c>
      <c r="D671" s="195">
        <v>39.6</v>
      </c>
      <c r="E671" s="705">
        <f t="shared" si="22"/>
        <v>4.2222222222222232</v>
      </c>
    </row>
    <row r="672" spans="2:5">
      <c r="B672" s="943">
        <v>44954</v>
      </c>
      <c r="C672" s="195">
        <f t="shared" si="21"/>
        <v>1</v>
      </c>
      <c r="D672" s="195">
        <v>38.299999999999997</v>
      </c>
      <c r="E672" s="705">
        <f t="shared" si="22"/>
        <v>3.4999999999999982</v>
      </c>
    </row>
    <row r="673" spans="2:5">
      <c r="B673" s="943">
        <v>44954</v>
      </c>
      <c r="C673" s="195">
        <f t="shared" si="21"/>
        <v>1</v>
      </c>
      <c r="D673" s="195">
        <v>37.6</v>
      </c>
      <c r="E673" s="705">
        <f t="shared" si="22"/>
        <v>3.1111111111111116</v>
      </c>
    </row>
    <row r="674" spans="2:5">
      <c r="B674" s="943">
        <v>44954</v>
      </c>
      <c r="C674" s="195">
        <f t="shared" si="21"/>
        <v>1</v>
      </c>
      <c r="D674" s="195">
        <v>37.200000000000003</v>
      </c>
      <c r="E674" s="705">
        <f t="shared" si="22"/>
        <v>2.8888888888888906</v>
      </c>
    </row>
    <row r="675" spans="2:5">
      <c r="B675" s="943">
        <v>44954</v>
      </c>
      <c r="C675" s="195">
        <f t="shared" si="21"/>
        <v>1</v>
      </c>
      <c r="D675" s="195">
        <v>37.200000000000003</v>
      </c>
      <c r="E675" s="705">
        <f t="shared" si="22"/>
        <v>2.8888888888888906</v>
      </c>
    </row>
    <row r="676" spans="2:5">
      <c r="B676" s="943">
        <v>44954</v>
      </c>
      <c r="C676" s="195">
        <f t="shared" si="21"/>
        <v>1</v>
      </c>
      <c r="D676" s="195">
        <v>37.9</v>
      </c>
      <c r="E676" s="705">
        <f t="shared" si="22"/>
        <v>3.2777777777777768</v>
      </c>
    </row>
    <row r="677" spans="2:5">
      <c r="B677" s="943">
        <v>44954</v>
      </c>
      <c r="C677" s="195">
        <f t="shared" si="21"/>
        <v>1</v>
      </c>
      <c r="D677" s="195">
        <v>40.299999999999997</v>
      </c>
      <c r="E677" s="705">
        <f t="shared" si="22"/>
        <v>4.6111111111111098</v>
      </c>
    </row>
    <row r="678" spans="2:5">
      <c r="B678" s="943">
        <v>44954</v>
      </c>
      <c r="C678" s="195">
        <f t="shared" si="21"/>
        <v>1</v>
      </c>
      <c r="D678" s="195">
        <v>40.299999999999997</v>
      </c>
      <c r="E678" s="705">
        <f t="shared" si="22"/>
        <v>4.6111111111111098</v>
      </c>
    </row>
    <row r="679" spans="2:5">
      <c r="B679" s="943">
        <v>44954</v>
      </c>
      <c r="C679" s="195">
        <f t="shared" si="21"/>
        <v>1</v>
      </c>
      <c r="D679" s="195">
        <v>40.799999999999997</v>
      </c>
      <c r="E679" s="705">
        <f t="shared" si="22"/>
        <v>4.8888888888888875</v>
      </c>
    </row>
    <row r="680" spans="2:5">
      <c r="B680" s="943">
        <v>44954</v>
      </c>
      <c r="C680" s="195">
        <f t="shared" si="21"/>
        <v>1</v>
      </c>
      <c r="D680" s="195">
        <v>41.7</v>
      </c>
      <c r="E680" s="705">
        <f t="shared" si="22"/>
        <v>5.3888888888888902</v>
      </c>
    </row>
    <row r="681" spans="2:5">
      <c r="B681" s="943">
        <v>44955</v>
      </c>
      <c r="C681" s="195">
        <f t="shared" si="21"/>
        <v>1</v>
      </c>
      <c r="D681" s="195">
        <v>40.799999999999997</v>
      </c>
      <c r="E681" s="705">
        <f t="shared" si="22"/>
        <v>4.8888888888888875</v>
      </c>
    </row>
    <row r="682" spans="2:5">
      <c r="B682" s="943">
        <v>44955</v>
      </c>
      <c r="C682" s="195">
        <f t="shared" si="21"/>
        <v>1</v>
      </c>
      <c r="D682" s="195">
        <v>41.4</v>
      </c>
      <c r="E682" s="705">
        <f t="shared" si="22"/>
        <v>5.2222222222222214</v>
      </c>
    </row>
    <row r="683" spans="2:5">
      <c r="B683" s="943">
        <v>44955</v>
      </c>
      <c r="C683" s="195">
        <f t="shared" si="21"/>
        <v>1</v>
      </c>
      <c r="D683" s="195">
        <v>40.5</v>
      </c>
      <c r="E683" s="705">
        <f t="shared" si="22"/>
        <v>4.7222222222222223</v>
      </c>
    </row>
    <row r="684" spans="2:5">
      <c r="B684" s="943">
        <v>44955</v>
      </c>
      <c r="C684" s="195">
        <f t="shared" si="21"/>
        <v>1</v>
      </c>
      <c r="D684" s="195">
        <v>39.200000000000003</v>
      </c>
      <c r="E684" s="705">
        <f t="shared" si="22"/>
        <v>4.0000000000000018</v>
      </c>
    </row>
    <row r="685" spans="2:5">
      <c r="B685" s="943">
        <v>44955</v>
      </c>
      <c r="C685" s="195">
        <f t="shared" si="21"/>
        <v>1</v>
      </c>
      <c r="D685" s="195">
        <v>38.1</v>
      </c>
      <c r="E685" s="705">
        <f t="shared" si="22"/>
        <v>3.3888888888888897</v>
      </c>
    </row>
    <row r="686" spans="2:5">
      <c r="B686" s="943">
        <v>44955</v>
      </c>
      <c r="C686" s="195">
        <f t="shared" si="21"/>
        <v>1</v>
      </c>
      <c r="D686" s="195">
        <v>37.6</v>
      </c>
      <c r="E686" s="705">
        <f t="shared" si="22"/>
        <v>3.1111111111111116</v>
      </c>
    </row>
    <row r="687" spans="2:5">
      <c r="B687" s="943">
        <v>44955</v>
      </c>
      <c r="C687" s="195">
        <f t="shared" si="21"/>
        <v>1</v>
      </c>
      <c r="D687" s="195">
        <v>37.4</v>
      </c>
      <c r="E687" s="705">
        <f t="shared" si="22"/>
        <v>2.9999999999999991</v>
      </c>
    </row>
    <row r="688" spans="2:5">
      <c r="B688" s="943">
        <v>44955</v>
      </c>
      <c r="C688" s="195">
        <f t="shared" si="21"/>
        <v>1</v>
      </c>
      <c r="D688" s="195">
        <v>38.1</v>
      </c>
      <c r="E688" s="705">
        <f t="shared" si="22"/>
        <v>3.3888888888888897</v>
      </c>
    </row>
    <row r="689" spans="2:5">
      <c r="B689" s="943">
        <v>44955</v>
      </c>
      <c r="C689" s="195">
        <f t="shared" si="21"/>
        <v>1</v>
      </c>
      <c r="D689" s="195">
        <v>40.5</v>
      </c>
      <c r="E689" s="705">
        <f t="shared" si="22"/>
        <v>4.7222222222222223</v>
      </c>
    </row>
    <row r="690" spans="2:5">
      <c r="B690" s="943">
        <v>44955</v>
      </c>
      <c r="C690" s="195">
        <f t="shared" si="21"/>
        <v>1</v>
      </c>
      <c r="D690" s="195" t="s">
        <v>1429</v>
      </c>
      <c r="E690" s="705">
        <f t="shared" si="22"/>
        <v>5</v>
      </c>
    </row>
    <row r="691" spans="2:5">
      <c r="B691" s="943">
        <v>44955</v>
      </c>
      <c r="C691" s="195">
        <f t="shared" si="21"/>
        <v>1</v>
      </c>
      <c r="D691" s="195">
        <v>41.7</v>
      </c>
      <c r="E691" s="705">
        <f t="shared" si="22"/>
        <v>5.3888888888888902</v>
      </c>
    </row>
    <row r="692" spans="2:5">
      <c r="B692" s="943">
        <v>44955</v>
      </c>
      <c r="C692" s="195">
        <f t="shared" si="21"/>
        <v>1</v>
      </c>
      <c r="D692" s="195">
        <v>41.9</v>
      </c>
      <c r="E692" s="705">
        <f t="shared" si="22"/>
        <v>5.4999999999999991</v>
      </c>
    </row>
    <row r="693" spans="2:5">
      <c r="B693" s="943">
        <v>44955</v>
      </c>
      <c r="C693" s="195">
        <f t="shared" si="21"/>
        <v>1</v>
      </c>
      <c r="D693" s="195">
        <v>42.1</v>
      </c>
      <c r="E693" s="705">
        <f t="shared" si="22"/>
        <v>5.6111111111111116</v>
      </c>
    </row>
    <row r="694" spans="2:5">
      <c r="B694" s="943">
        <v>44955</v>
      </c>
      <c r="C694" s="195">
        <f t="shared" si="21"/>
        <v>1</v>
      </c>
      <c r="D694" s="195">
        <v>41.7</v>
      </c>
      <c r="E694" s="705">
        <f t="shared" si="22"/>
        <v>5.3888888888888902</v>
      </c>
    </row>
    <row r="695" spans="2:5">
      <c r="B695" s="943">
        <v>44955</v>
      </c>
      <c r="C695" s="195">
        <f t="shared" si="21"/>
        <v>1</v>
      </c>
      <c r="D695" s="195">
        <v>41.4</v>
      </c>
      <c r="E695" s="705">
        <f t="shared" si="22"/>
        <v>5.2222222222222214</v>
      </c>
    </row>
    <row r="696" spans="2:5">
      <c r="B696" s="943">
        <v>44955</v>
      </c>
      <c r="C696" s="195">
        <f t="shared" si="21"/>
        <v>1</v>
      </c>
      <c r="D696" s="195">
        <v>39.9</v>
      </c>
      <c r="E696" s="705">
        <f t="shared" si="22"/>
        <v>4.3888888888888884</v>
      </c>
    </row>
    <row r="697" spans="2:5">
      <c r="B697" s="943">
        <v>44955</v>
      </c>
      <c r="C697" s="195">
        <f t="shared" si="21"/>
        <v>1</v>
      </c>
      <c r="D697" s="195">
        <v>38.700000000000003</v>
      </c>
      <c r="E697" s="705">
        <f t="shared" si="22"/>
        <v>3.7222222222222237</v>
      </c>
    </row>
    <row r="698" spans="2:5">
      <c r="B698" s="943">
        <v>44955</v>
      </c>
      <c r="C698" s="195">
        <f t="shared" si="21"/>
        <v>1</v>
      </c>
      <c r="D698" s="195">
        <v>37.799999999999997</v>
      </c>
      <c r="E698" s="705">
        <f t="shared" si="22"/>
        <v>3.2222222222222205</v>
      </c>
    </row>
    <row r="699" spans="2:5">
      <c r="B699" s="943">
        <v>44955</v>
      </c>
      <c r="C699" s="195">
        <f t="shared" si="21"/>
        <v>1</v>
      </c>
      <c r="D699" s="195">
        <v>37.4</v>
      </c>
      <c r="E699" s="705">
        <f t="shared" si="22"/>
        <v>2.9999999999999991</v>
      </c>
    </row>
    <row r="700" spans="2:5">
      <c r="B700" s="943">
        <v>44955</v>
      </c>
      <c r="C700" s="195">
        <f t="shared" si="21"/>
        <v>1</v>
      </c>
      <c r="D700" s="195">
        <v>37.4</v>
      </c>
      <c r="E700" s="705">
        <f t="shared" si="22"/>
        <v>2.9999999999999991</v>
      </c>
    </row>
    <row r="701" spans="2:5">
      <c r="B701" s="943">
        <v>44955</v>
      </c>
      <c r="C701" s="195">
        <f t="shared" si="21"/>
        <v>1</v>
      </c>
      <c r="D701" s="195">
        <v>38.299999999999997</v>
      </c>
      <c r="E701" s="705">
        <f t="shared" si="22"/>
        <v>3.4999999999999982</v>
      </c>
    </row>
    <row r="702" spans="2:5">
      <c r="B702" s="943">
        <v>44955</v>
      </c>
      <c r="C702" s="195">
        <f t="shared" si="21"/>
        <v>1</v>
      </c>
      <c r="D702" s="195">
        <v>40.6</v>
      </c>
      <c r="E702" s="705">
        <f t="shared" si="22"/>
        <v>4.7777777777777786</v>
      </c>
    </row>
    <row r="703" spans="2:5">
      <c r="B703" s="943">
        <v>44955</v>
      </c>
      <c r="C703" s="195">
        <f t="shared" si="21"/>
        <v>1</v>
      </c>
      <c r="D703" s="195">
        <v>41.4</v>
      </c>
      <c r="E703" s="705">
        <f t="shared" si="22"/>
        <v>5.2222222222222214</v>
      </c>
    </row>
    <row r="704" spans="2:5">
      <c r="B704" s="943">
        <v>44955</v>
      </c>
      <c r="C704" s="195">
        <f t="shared" si="21"/>
        <v>1</v>
      </c>
      <c r="D704" s="195">
        <v>41.7</v>
      </c>
      <c r="E704" s="705">
        <f t="shared" si="22"/>
        <v>5.3888888888888902</v>
      </c>
    </row>
    <row r="705" spans="2:5">
      <c r="B705" s="943">
        <v>44956</v>
      </c>
      <c r="C705" s="195">
        <f t="shared" si="21"/>
        <v>1</v>
      </c>
      <c r="D705" s="195">
        <v>41.5</v>
      </c>
      <c r="E705" s="705">
        <f t="shared" si="22"/>
        <v>5.2777777777777777</v>
      </c>
    </row>
    <row r="706" spans="2:5">
      <c r="B706" s="943">
        <v>44956</v>
      </c>
      <c r="C706" s="195">
        <f t="shared" si="21"/>
        <v>1</v>
      </c>
      <c r="D706" s="195" t="s">
        <v>1429</v>
      </c>
      <c r="E706" s="705">
        <f t="shared" si="22"/>
        <v>5</v>
      </c>
    </row>
    <row r="707" spans="2:5">
      <c r="B707" s="943">
        <v>44956</v>
      </c>
      <c r="C707" s="195">
        <f t="shared" si="21"/>
        <v>1</v>
      </c>
      <c r="D707" s="195">
        <v>41.4</v>
      </c>
      <c r="E707" s="705">
        <f t="shared" si="22"/>
        <v>5.2222222222222214</v>
      </c>
    </row>
    <row r="708" spans="2:5">
      <c r="B708" s="943">
        <v>44956</v>
      </c>
      <c r="C708" s="195">
        <f t="shared" si="21"/>
        <v>1</v>
      </c>
      <c r="D708" s="195" t="s">
        <v>1429</v>
      </c>
      <c r="E708" s="705">
        <f t="shared" si="22"/>
        <v>5</v>
      </c>
    </row>
    <row r="709" spans="2:5">
      <c r="B709" s="943">
        <v>44956</v>
      </c>
      <c r="C709" s="195">
        <f t="shared" si="21"/>
        <v>1</v>
      </c>
      <c r="D709" s="195">
        <v>39.6</v>
      </c>
      <c r="E709" s="705">
        <f t="shared" si="22"/>
        <v>4.2222222222222232</v>
      </c>
    </row>
    <row r="710" spans="2:5">
      <c r="B710" s="943">
        <v>44956</v>
      </c>
      <c r="C710" s="195">
        <f t="shared" si="21"/>
        <v>1</v>
      </c>
      <c r="D710" s="195">
        <v>38.700000000000003</v>
      </c>
      <c r="E710" s="705">
        <f t="shared" si="22"/>
        <v>3.7222222222222237</v>
      </c>
    </row>
    <row r="711" spans="2:5">
      <c r="B711" s="943">
        <v>44956</v>
      </c>
      <c r="C711" s="195">
        <f t="shared" si="21"/>
        <v>1</v>
      </c>
      <c r="D711" s="195">
        <v>37.9</v>
      </c>
      <c r="E711" s="705">
        <f t="shared" si="22"/>
        <v>3.2777777777777768</v>
      </c>
    </row>
    <row r="712" spans="2:5">
      <c r="B712" s="943">
        <v>44956</v>
      </c>
      <c r="C712" s="195">
        <f t="shared" si="21"/>
        <v>1</v>
      </c>
      <c r="D712" s="195">
        <v>37.9</v>
      </c>
      <c r="E712" s="705">
        <f t="shared" si="22"/>
        <v>3.2777777777777768</v>
      </c>
    </row>
    <row r="713" spans="2:5">
      <c r="B713" s="943">
        <v>44956</v>
      </c>
      <c r="C713" s="195">
        <f t="shared" si="21"/>
        <v>1</v>
      </c>
      <c r="D713" s="195">
        <v>38.700000000000003</v>
      </c>
      <c r="E713" s="705">
        <f t="shared" si="22"/>
        <v>3.7222222222222237</v>
      </c>
    </row>
    <row r="714" spans="2:5">
      <c r="B714" s="943">
        <v>44956</v>
      </c>
      <c r="C714" s="195">
        <f t="shared" ref="C714:C777" si="23">MONTH(B714)</f>
        <v>1</v>
      </c>
      <c r="D714" s="195">
        <v>40.799999999999997</v>
      </c>
      <c r="E714" s="705">
        <f t="shared" ref="E714:E777" si="24">CONVERT(D714,"F","C")</f>
        <v>4.8888888888888875</v>
      </c>
    </row>
    <row r="715" spans="2:5">
      <c r="B715" s="943">
        <v>44956</v>
      </c>
      <c r="C715" s="195">
        <f t="shared" si="23"/>
        <v>1</v>
      </c>
      <c r="D715" s="195" t="s">
        <v>1429</v>
      </c>
      <c r="E715" s="705">
        <f t="shared" si="24"/>
        <v>5</v>
      </c>
    </row>
    <row r="716" spans="2:5">
      <c r="B716" s="943">
        <v>44956</v>
      </c>
      <c r="C716" s="195">
        <f t="shared" si="23"/>
        <v>1</v>
      </c>
      <c r="D716" s="195">
        <v>41.7</v>
      </c>
      <c r="E716" s="705">
        <f t="shared" si="24"/>
        <v>5.3888888888888902</v>
      </c>
    </row>
    <row r="717" spans="2:5">
      <c r="B717" s="943">
        <v>44956</v>
      </c>
      <c r="C717" s="195">
        <f t="shared" si="23"/>
        <v>1</v>
      </c>
      <c r="D717" s="195">
        <v>41.7</v>
      </c>
      <c r="E717" s="705">
        <f t="shared" si="24"/>
        <v>5.3888888888888902</v>
      </c>
    </row>
    <row r="718" spans="2:5">
      <c r="B718" s="943">
        <v>44956</v>
      </c>
      <c r="C718" s="195">
        <f t="shared" si="23"/>
        <v>1</v>
      </c>
      <c r="D718" s="195">
        <v>42.3</v>
      </c>
      <c r="E718" s="705">
        <f t="shared" si="24"/>
        <v>5.7222222222222205</v>
      </c>
    </row>
    <row r="719" spans="2:5">
      <c r="B719" s="943">
        <v>44956</v>
      </c>
      <c r="C719" s="195">
        <f t="shared" si="23"/>
        <v>1</v>
      </c>
      <c r="D719" s="195">
        <v>42.1</v>
      </c>
      <c r="E719" s="705">
        <f t="shared" si="24"/>
        <v>5.6111111111111116</v>
      </c>
    </row>
    <row r="720" spans="2:5">
      <c r="B720" s="943">
        <v>44956</v>
      </c>
      <c r="C720" s="195">
        <f t="shared" si="23"/>
        <v>1</v>
      </c>
      <c r="D720" s="195">
        <v>41.7</v>
      </c>
      <c r="E720" s="705">
        <f t="shared" si="24"/>
        <v>5.3888888888888902</v>
      </c>
    </row>
    <row r="721" spans="2:5">
      <c r="B721" s="943">
        <v>44956</v>
      </c>
      <c r="C721" s="195">
        <f t="shared" si="23"/>
        <v>1</v>
      </c>
      <c r="D721" s="195">
        <v>40.6</v>
      </c>
      <c r="E721" s="705">
        <f t="shared" si="24"/>
        <v>4.7777777777777786</v>
      </c>
    </row>
    <row r="722" spans="2:5">
      <c r="B722" s="943">
        <v>44956</v>
      </c>
      <c r="C722" s="195">
        <f t="shared" si="23"/>
        <v>1</v>
      </c>
      <c r="D722" s="195">
        <v>39.4</v>
      </c>
      <c r="E722" s="705">
        <f t="shared" si="24"/>
        <v>4.1111111111111098</v>
      </c>
    </row>
    <row r="723" spans="2:5">
      <c r="B723" s="943">
        <v>44956</v>
      </c>
      <c r="C723" s="195">
        <f t="shared" si="23"/>
        <v>1</v>
      </c>
      <c r="D723" s="195">
        <v>38.5</v>
      </c>
      <c r="E723" s="705">
        <f t="shared" si="24"/>
        <v>3.6111111111111112</v>
      </c>
    </row>
    <row r="724" spans="2:5">
      <c r="B724" s="943">
        <v>44956</v>
      </c>
      <c r="C724" s="195">
        <f t="shared" si="23"/>
        <v>1</v>
      </c>
      <c r="D724" s="195">
        <v>38.1</v>
      </c>
      <c r="E724" s="705">
        <f t="shared" si="24"/>
        <v>3.3888888888888897</v>
      </c>
    </row>
    <row r="725" spans="2:5">
      <c r="B725" s="943">
        <v>44956</v>
      </c>
      <c r="C725" s="195">
        <f t="shared" si="23"/>
        <v>1</v>
      </c>
      <c r="D725" s="195">
        <v>37.9</v>
      </c>
      <c r="E725" s="705">
        <f t="shared" si="24"/>
        <v>3.2777777777777768</v>
      </c>
    </row>
    <row r="726" spans="2:5">
      <c r="B726" s="943">
        <v>44956</v>
      </c>
      <c r="C726" s="195">
        <f t="shared" si="23"/>
        <v>1</v>
      </c>
      <c r="D726" s="195">
        <v>38.5</v>
      </c>
      <c r="E726" s="705">
        <f t="shared" si="24"/>
        <v>3.6111111111111112</v>
      </c>
    </row>
    <row r="727" spans="2:5">
      <c r="B727" s="943">
        <v>44956</v>
      </c>
      <c r="C727" s="195">
        <f t="shared" si="23"/>
        <v>1</v>
      </c>
      <c r="D727" s="195">
        <v>41.2</v>
      </c>
      <c r="E727" s="705">
        <f t="shared" si="24"/>
        <v>5.1111111111111125</v>
      </c>
    </row>
    <row r="728" spans="2:5">
      <c r="B728" s="943">
        <v>44956</v>
      </c>
      <c r="C728" s="195">
        <f t="shared" si="23"/>
        <v>1</v>
      </c>
      <c r="D728" s="195">
        <v>41.7</v>
      </c>
      <c r="E728" s="705">
        <f t="shared" si="24"/>
        <v>5.3888888888888902</v>
      </c>
    </row>
    <row r="729" spans="2:5">
      <c r="B729" s="943">
        <v>44957</v>
      </c>
      <c r="C729" s="195">
        <f t="shared" si="23"/>
        <v>1</v>
      </c>
      <c r="D729" s="195">
        <v>42.1</v>
      </c>
      <c r="E729" s="705">
        <f t="shared" si="24"/>
        <v>5.6111111111111116</v>
      </c>
    </row>
    <row r="730" spans="2:5">
      <c r="B730" s="943">
        <v>44957</v>
      </c>
      <c r="C730" s="195">
        <f t="shared" si="23"/>
        <v>1</v>
      </c>
      <c r="D730" s="195">
        <v>42.4</v>
      </c>
      <c r="E730" s="705">
        <f t="shared" si="24"/>
        <v>5.7777777777777768</v>
      </c>
    </row>
    <row r="731" spans="2:5">
      <c r="B731" s="943">
        <v>44957</v>
      </c>
      <c r="C731" s="195">
        <f t="shared" si="23"/>
        <v>1</v>
      </c>
      <c r="D731" s="195">
        <v>42.1</v>
      </c>
      <c r="E731" s="705">
        <f t="shared" si="24"/>
        <v>5.6111111111111116</v>
      </c>
    </row>
    <row r="732" spans="2:5">
      <c r="B732" s="943">
        <v>44957</v>
      </c>
      <c r="C732" s="195">
        <f t="shared" si="23"/>
        <v>1</v>
      </c>
      <c r="D732" s="195">
        <v>41.7</v>
      </c>
      <c r="E732" s="705">
        <f t="shared" si="24"/>
        <v>5.3888888888888902</v>
      </c>
    </row>
    <row r="733" spans="2:5">
      <c r="B733" s="943">
        <v>44957</v>
      </c>
      <c r="C733" s="195">
        <f t="shared" si="23"/>
        <v>1</v>
      </c>
      <c r="D733" s="195">
        <v>41.5</v>
      </c>
      <c r="E733" s="705">
        <f t="shared" si="24"/>
        <v>5.2777777777777777</v>
      </c>
    </row>
    <row r="734" spans="2:5">
      <c r="B734" s="943">
        <v>44957</v>
      </c>
      <c r="C734" s="195">
        <f t="shared" si="23"/>
        <v>1</v>
      </c>
      <c r="D734" s="195">
        <v>40.299999999999997</v>
      </c>
      <c r="E734" s="705">
        <f t="shared" si="24"/>
        <v>4.6111111111111098</v>
      </c>
    </row>
    <row r="735" spans="2:5">
      <c r="B735" s="943">
        <v>44957</v>
      </c>
      <c r="C735" s="195">
        <f t="shared" si="23"/>
        <v>1</v>
      </c>
      <c r="D735" s="195">
        <v>39.4</v>
      </c>
      <c r="E735" s="705">
        <f t="shared" si="24"/>
        <v>4.1111111111111098</v>
      </c>
    </row>
    <row r="736" spans="2:5">
      <c r="B736" s="943">
        <v>44957</v>
      </c>
      <c r="C736" s="195">
        <f t="shared" si="23"/>
        <v>1</v>
      </c>
      <c r="D736" s="195">
        <v>38.700000000000003</v>
      </c>
      <c r="E736" s="705">
        <f t="shared" si="24"/>
        <v>3.7222222222222237</v>
      </c>
    </row>
    <row r="737" spans="2:5">
      <c r="B737" s="943">
        <v>44957</v>
      </c>
      <c r="C737" s="195">
        <f t="shared" si="23"/>
        <v>1</v>
      </c>
      <c r="D737" s="195">
        <v>38.5</v>
      </c>
      <c r="E737" s="705">
        <f t="shared" si="24"/>
        <v>3.6111111111111112</v>
      </c>
    </row>
    <row r="738" spans="2:5">
      <c r="B738" s="943">
        <v>44957</v>
      </c>
      <c r="C738" s="195">
        <f t="shared" si="23"/>
        <v>1</v>
      </c>
      <c r="D738" s="195">
        <v>39.700000000000003</v>
      </c>
      <c r="E738" s="705">
        <f t="shared" si="24"/>
        <v>4.2777777777777795</v>
      </c>
    </row>
    <row r="739" spans="2:5">
      <c r="B739" s="943">
        <v>44957</v>
      </c>
      <c r="C739" s="195">
        <f t="shared" si="23"/>
        <v>1</v>
      </c>
      <c r="D739" s="195" t="s">
        <v>1429</v>
      </c>
      <c r="E739" s="705">
        <f t="shared" si="24"/>
        <v>5</v>
      </c>
    </row>
    <row r="740" spans="2:5">
      <c r="B740" s="943">
        <v>44957</v>
      </c>
      <c r="C740" s="195">
        <f t="shared" si="23"/>
        <v>1</v>
      </c>
      <c r="D740" s="195">
        <v>41.7</v>
      </c>
      <c r="E740" s="705">
        <f t="shared" si="24"/>
        <v>5.3888888888888902</v>
      </c>
    </row>
    <row r="741" spans="2:5">
      <c r="B741" s="943">
        <v>44957</v>
      </c>
      <c r="C741" s="195">
        <f t="shared" si="23"/>
        <v>1</v>
      </c>
      <c r="D741" s="195">
        <v>41.7</v>
      </c>
      <c r="E741" s="705">
        <f t="shared" si="24"/>
        <v>5.3888888888888902</v>
      </c>
    </row>
    <row r="742" spans="2:5">
      <c r="B742" s="943">
        <v>44957</v>
      </c>
      <c r="C742" s="195">
        <f t="shared" si="23"/>
        <v>1</v>
      </c>
      <c r="D742" s="195">
        <v>42.1</v>
      </c>
      <c r="E742" s="705">
        <f t="shared" si="24"/>
        <v>5.6111111111111116</v>
      </c>
    </row>
    <row r="743" spans="2:5">
      <c r="B743" s="943">
        <v>44957</v>
      </c>
      <c r="C743" s="195">
        <f t="shared" si="23"/>
        <v>1</v>
      </c>
      <c r="D743" s="195">
        <v>42.1</v>
      </c>
      <c r="E743" s="705">
        <f t="shared" si="24"/>
        <v>5.6111111111111116</v>
      </c>
    </row>
    <row r="744" spans="2:5">
      <c r="B744" s="943">
        <v>44957</v>
      </c>
      <c r="C744" s="195">
        <f t="shared" si="23"/>
        <v>1</v>
      </c>
      <c r="D744" s="195">
        <v>41.9</v>
      </c>
      <c r="E744" s="705">
        <f t="shared" si="24"/>
        <v>5.4999999999999991</v>
      </c>
    </row>
    <row r="745" spans="2:5">
      <c r="B745" s="943">
        <v>44957</v>
      </c>
      <c r="C745" s="195">
        <f t="shared" si="23"/>
        <v>1</v>
      </c>
      <c r="D745" s="195">
        <v>41.7</v>
      </c>
      <c r="E745" s="705">
        <f t="shared" si="24"/>
        <v>5.3888888888888902</v>
      </c>
    </row>
    <row r="746" spans="2:5">
      <c r="B746" s="943">
        <v>44957</v>
      </c>
      <c r="C746" s="195">
        <f t="shared" si="23"/>
        <v>1</v>
      </c>
      <c r="D746" s="195">
        <v>40.6</v>
      </c>
      <c r="E746" s="705">
        <f t="shared" si="24"/>
        <v>4.7777777777777786</v>
      </c>
    </row>
    <row r="747" spans="2:5">
      <c r="B747" s="943">
        <v>44957</v>
      </c>
      <c r="C747" s="195">
        <f t="shared" si="23"/>
        <v>1</v>
      </c>
      <c r="D747" s="195">
        <v>39.6</v>
      </c>
      <c r="E747" s="705">
        <f t="shared" si="24"/>
        <v>4.2222222222222232</v>
      </c>
    </row>
    <row r="748" spans="2:5">
      <c r="B748" s="943">
        <v>44957</v>
      </c>
      <c r="C748" s="195">
        <f t="shared" si="23"/>
        <v>1</v>
      </c>
      <c r="D748" s="195">
        <v>38.799999999999997</v>
      </c>
      <c r="E748" s="705">
        <f t="shared" si="24"/>
        <v>3.7777777777777759</v>
      </c>
    </row>
    <row r="749" spans="2:5">
      <c r="B749" s="943">
        <v>44957</v>
      </c>
      <c r="C749" s="195">
        <f t="shared" si="23"/>
        <v>1</v>
      </c>
      <c r="D749" s="195">
        <v>38.5</v>
      </c>
      <c r="E749" s="705">
        <f t="shared" si="24"/>
        <v>3.6111111111111112</v>
      </c>
    </row>
    <row r="750" spans="2:5">
      <c r="B750" s="943">
        <v>44957</v>
      </c>
      <c r="C750" s="195">
        <f t="shared" si="23"/>
        <v>1</v>
      </c>
      <c r="D750" s="195">
        <v>38.1</v>
      </c>
      <c r="E750" s="705">
        <f t="shared" si="24"/>
        <v>3.3888888888888897</v>
      </c>
    </row>
    <row r="751" spans="2:5">
      <c r="B751" s="943">
        <v>44957</v>
      </c>
      <c r="C751" s="195">
        <f t="shared" si="23"/>
        <v>1</v>
      </c>
      <c r="D751" s="195">
        <v>38.700000000000003</v>
      </c>
      <c r="E751" s="705">
        <f t="shared" si="24"/>
        <v>3.7222222222222237</v>
      </c>
    </row>
    <row r="752" spans="2:5">
      <c r="B752" s="943">
        <v>44957</v>
      </c>
      <c r="C752" s="195">
        <f t="shared" si="23"/>
        <v>1</v>
      </c>
      <c r="D752" s="195">
        <v>40.799999999999997</v>
      </c>
      <c r="E752" s="705">
        <f t="shared" si="24"/>
        <v>4.8888888888888875</v>
      </c>
    </row>
    <row r="753" spans="2:5">
      <c r="B753" s="943">
        <v>44958</v>
      </c>
      <c r="C753" s="195">
        <f t="shared" si="23"/>
        <v>2</v>
      </c>
      <c r="D753" s="195">
        <v>41.7</v>
      </c>
      <c r="E753" s="705">
        <f t="shared" si="24"/>
        <v>5.3888888888888902</v>
      </c>
    </row>
    <row r="754" spans="2:5">
      <c r="B754" s="943">
        <v>44958</v>
      </c>
      <c r="C754" s="195">
        <f t="shared" si="23"/>
        <v>2</v>
      </c>
      <c r="D754" s="195">
        <v>42.1</v>
      </c>
      <c r="E754" s="705">
        <f t="shared" si="24"/>
        <v>5.6111111111111116</v>
      </c>
    </row>
    <row r="755" spans="2:5">
      <c r="B755" s="943">
        <v>44958</v>
      </c>
      <c r="C755" s="195">
        <f t="shared" si="23"/>
        <v>2</v>
      </c>
      <c r="D755" s="195">
        <v>42.4</v>
      </c>
      <c r="E755" s="705">
        <f t="shared" si="24"/>
        <v>5.7777777777777768</v>
      </c>
    </row>
    <row r="756" spans="2:5">
      <c r="B756" s="943">
        <v>44958</v>
      </c>
      <c r="C756" s="195">
        <f t="shared" si="23"/>
        <v>2</v>
      </c>
      <c r="D756" s="195" t="s">
        <v>1429</v>
      </c>
      <c r="E756" s="705">
        <f t="shared" si="24"/>
        <v>5</v>
      </c>
    </row>
    <row r="757" spans="2:5">
      <c r="B757" s="943">
        <v>44958</v>
      </c>
      <c r="C757" s="195">
        <f t="shared" si="23"/>
        <v>2</v>
      </c>
      <c r="D757" s="195">
        <v>41.4</v>
      </c>
      <c r="E757" s="705">
        <f t="shared" si="24"/>
        <v>5.2222222222222214</v>
      </c>
    </row>
    <row r="758" spans="2:5">
      <c r="B758" s="943">
        <v>44958</v>
      </c>
      <c r="C758" s="195">
        <f t="shared" si="23"/>
        <v>2</v>
      </c>
      <c r="D758" s="195" t="s">
        <v>1429</v>
      </c>
      <c r="E758" s="705">
        <f t="shared" si="24"/>
        <v>5</v>
      </c>
    </row>
    <row r="759" spans="2:5">
      <c r="B759" s="943">
        <v>44958</v>
      </c>
      <c r="C759" s="195">
        <f t="shared" si="23"/>
        <v>2</v>
      </c>
      <c r="D759" s="195">
        <v>39.9</v>
      </c>
      <c r="E759" s="705">
        <f t="shared" si="24"/>
        <v>4.3888888888888884</v>
      </c>
    </row>
    <row r="760" spans="2:5">
      <c r="B760" s="943">
        <v>44958</v>
      </c>
      <c r="C760" s="195">
        <f t="shared" si="23"/>
        <v>2</v>
      </c>
      <c r="D760" s="195" t="s">
        <v>1431</v>
      </c>
      <c r="E760" s="705">
        <f t="shared" si="24"/>
        <v>3.8888888888888888</v>
      </c>
    </row>
    <row r="761" spans="2:5">
      <c r="B761" s="943">
        <v>44958</v>
      </c>
      <c r="C761" s="195">
        <f t="shared" si="23"/>
        <v>2</v>
      </c>
      <c r="D761" s="195">
        <v>38.5</v>
      </c>
      <c r="E761" s="705">
        <f t="shared" si="24"/>
        <v>3.6111111111111112</v>
      </c>
    </row>
    <row r="762" spans="2:5">
      <c r="B762" s="943">
        <v>44958</v>
      </c>
      <c r="C762" s="195">
        <f t="shared" si="23"/>
        <v>2</v>
      </c>
      <c r="D762" s="195">
        <v>38.1</v>
      </c>
      <c r="E762" s="705">
        <f t="shared" si="24"/>
        <v>3.3888888888888897</v>
      </c>
    </row>
    <row r="763" spans="2:5">
      <c r="B763" s="943">
        <v>44958</v>
      </c>
      <c r="C763" s="195">
        <f t="shared" si="23"/>
        <v>2</v>
      </c>
      <c r="D763" s="195">
        <v>39.4</v>
      </c>
      <c r="E763" s="705">
        <f t="shared" si="24"/>
        <v>4.1111111111111098</v>
      </c>
    </row>
    <row r="764" spans="2:5">
      <c r="B764" s="943">
        <v>44958</v>
      </c>
      <c r="C764" s="195">
        <f t="shared" si="23"/>
        <v>2</v>
      </c>
      <c r="D764" s="195">
        <v>41.2</v>
      </c>
      <c r="E764" s="705">
        <f t="shared" si="24"/>
        <v>5.1111111111111125</v>
      </c>
    </row>
    <row r="765" spans="2:5">
      <c r="B765" s="943">
        <v>44958</v>
      </c>
      <c r="C765" s="195">
        <f t="shared" si="23"/>
        <v>2</v>
      </c>
      <c r="D765" s="195">
        <v>41.5</v>
      </c>
      <c r="E765" s="705">
        <f t="shared" si="24"/>
        <v>5.2777777777777777</v>
      </c>
    </row>
    <row r="766" spans="2:5">
      <c r="B766" s="943">
        <v>44958</v>
      </c>
      <c r="C766" s="195">
        <f t="shared" si="23"/>
        <v>2</v>
      </c>
      <c r="D766" s="195">
        <v>41.5</v>
      </c>
      <c r="E766" s="705">
        <f t="shared" si="24"/>
        <v>5.2777777777777777</v>
      </c>
    </row>
    <row r="767" spans="2:5">
      <c r="B767" s="943">
        <v>44958</v>
      </c>
      <c r="C767" s="195">
        <f t="shared" si="23"/>
        <v>2</v>
      </c>
      <c r="D767" s="195">
        <v>41.7</v>
      </c>
      <c r="E767" s="705">
        <f t="shared" si="24"/>
        <v>5.3888888888888902</v>
      </c>
    </row>
    <row r="768" spans="2:5">
      <c r="B768" s="943">
        <v>44958</v>
      </c>
      <c r="C768" s="195">
        <f t="shared" si="23"/>
        <v>2</v>
      </c>
      <c r="D768" s="195">
        <v>41.7</v>
      </c>
      <c r="E768" s="705">
        <f t="shared" si="24"/>
        <v>5.3888888888888902</v>
      </c>
    </row>
    <row r="769" spans="2:5">
      <c r="B769" s="943">
        <v>44958</v>
      </c>
      <c r="C769" s="195">
        <f t="shared" si="23"/>
        <v>2</v>
      </c>
      <c r="D769" s="195">
        <v>41.5</v>
      </c>
      <c r="E769" s="705">
        <f t="shared" si="24"/>
        <v>5.2777777777777777</v>
      </c>
    </row>
    <row r="770" spans="2:5">
      <c r="B770" s="943">
        <v>44958</v>
      </c>
      <c r="C770" s="195">
        <f t="shared" si="23"/>
        <v>2</v>
      </c>
      <c r="D770" s="195">
        <v>41.4</v>
      </c>
      <c r="E770" s="705">
        <f t="shared" si="24"/>
        <v>5.2222222222222214</v>
      </c>
    </row>
    <row r="771" spans="2:5">
      <c r="B771" s="943">
        <v>44958</v>
      </c>
      <c r="C771" s="195">
        <f t="shared" si="23"/>
        <v>2</v>
      </c>
      <c r="D771" s="195">
        <v>40.6</v>
      </c>
      <c r="E771" s="705">
        <f t="shared" si="24"/>
        <v>4.7777777777777786</v>
      </c>
    </row>
    <row r="772" spans="2:5">
      <c r="B772" s="943">
        <v>44958</v>
      </c>
      <c r="C772" s="195">
        <f t="shared" si="23"/>
        <v>2</v>
      </c>
      <c r="D772" s="195">
        <v>39.6</v>
      </c>
      <c r="E772" s="705">
        <f t="shared" si="24"/>
        <v>4.2222222222222232</v>
      </c>
    </row>
    <row r="773" spans="2:5">
      <c r="B773" s="943">
        <v>44958</v>
      </c>
      <c r="C773" s="195">
        <f t="shared" si="23"/>
        <v>2</v>
      </c>
      <c r="D773" s="195" t="s">
        <v>1431</v>
      </c>
      <c r="E773" s="705">
        <f t="shared" si="24"/>
        <v>3.8888888888888888</v>
      </c>
    </row>
    <row r="774" spans="2:5">
      <c r="B774" s="943">
        <v>44958</v>
      </c>
      <c r="C774" s="195">
        <f t="shared" si="23"/>
        <v>2</v>
      </c>
      <c r="D774" s="195">
        <v>38.5</v>
      </c>
      <c r="E774" s="705">
        <f t="shared" si="24"/>
        <v>3.6111111111111112</v>
      </c>
    </row>
    <row r="775" spans="2:5">
      <c r="B775" s="943">
        <v>44958</v>
      </c>
      <c r="C775" s="195">
        <f t="shared" si="23"/>
        <v>2</v>
      </c>
      <c r="D775" s="195">
        <v>38.299999999999997</v>
      </c>
      <c r="E775" s="705">
        <f t="shared" si="24"/>
        <v>3.4999999999999982</v>
      </c>
    </row>
    <row r="776" spans="2:5">
      <c r="B776" s="943">
        <v>44958</v>
      </c>
      <c r="C776" s="195">
        <f t="shared" si="23"/>
        <v>2</v>
      </c>
      <c r="D776" s="195" t="s">
        <v>1431</v>
      </c>
      <c r="E776" s="705">
        <f t="shared" si="24"/>
        <v>3.8888888888888888</v>
      </c>
    </row>
    <row r="777" spans="2:5">
      <c r="B777" s="943">
        <v>44959</v>
      </c>
      <c r="C777" s="195">
        <f t="shared" si="23"/>
        <v>2</v>
      </c>
      <c r="D777" s="195">
        <v>40.799999999999997</v>
      </c>
      <c r="E777" s="705">
        <f t="shared" si="24"/>
        <v>4.8888888888888875</v>
      </c>
    </row>
    <row r="778" spans="2:5">
      <c r="B778" s="943">
        <v>44959</v>
      </c>
      <c r="C778" s="195">
        <f t="shared" ref="C778:C841" si="25">MONTH(B778)</f>
        <v>2</v>
      </c>
      <c r="D778" s="195" t="s">
        <v>1429</v>
      </c>
      <c r="E778" s="705">
        <f t="shared" ref="E778:E841" si="26">CONVERT(D778,"F","C")</f>
        <v>5</v>
      </c>
    </row>
    <row r="779" spans="2:5">
      <c r="B779" s="943">
        <v>44959</v>
      </c>
      <c r="C779" s="195">
        <f t="shared" si="25"/>
        <v>2</v>
      </c>
      <c r="D779" s="195">
        <v>41.4</v>
      </c>
      <c r="E779" s="705">
        <f t="shared" si="26"/>
        <v>5.2222222222222214</v>
      </c>
    </row>
    <row r="780" spans="2:5">
      <c r="B780" s="943">
        <v>44959</v>
      </c>
      <c r="C780" s="195">
        <f t="shared" si="25"/>
        <v>2</v>
      </c>
      <c r="D780" s="195">
        <v>41.5</v>
      </c>
      <c r="E780" s="705">
        <f t="shared" si="26"/>
        <v>5.2777777777777777</v>
      </c>
    </row>
    <row r="781" spans="2:5">
      <c r="B781" s="943">
        <v>44959</v>
      </c>
      <c r="C781" s="195">
        <f t="shared" si="25"/>
        <v>2</v>
      </c>
      <c r="D781" s="195">
        <v>40.6</v>
      </c>
      <c r="E781" s="705">
        <f t="shared" si="26"/>
        <v>4.7777777777777786</v>
      </c>
    </row>
    <row r="782" spans="2:5">
      <c r="B782" s="943">
        <v>44959</v>
      </c>
      <c r="C782" s="195">
        <f t="shared" si="25"/>
        <v>2</v>
      </c>
      <c r="D782" s="195">
        <v>40.799999999999997</v>
      </c>
      <c r="E782" s="705">
        <f t="shared" si="26"/>
        <v>4.8888888888888875</v>
      </c>
    </row>
    <row r="783" spans="2:5">
      <c r="B783" s="943">
        <v>44959</v>
      </c>
      <c r="C783" s="195">
        <f t="shared" si="25"/>
        <v>2</v>
      </c>
      <c r="D783" s="195">
        <v>40.5</v>
      </c>
      <c r="E783" s="705">
        <f t="shared" si="26"/>
        <v>4.7222222222222223</v>
      </c>
    </row>
    <row r="784" spans="2:5">
      <c r="B784" s="943">
        <v>44959</v>
      </c>
      <c r="C784" s="195">
        <f t="shared" si="25"/>
        <v>2</v>
      </c>
      <c r="D784" s="195">
        <v>39.4</v>
      </c>
      <c r="E784" s="705">
        <f t="shared" si="26"/>
        <v>4.1111111111111098</v>
      </c>
    </row>
    <row r="785" spans="2:5">
      <c r="B785" s="943">
        <v>44959</v>
      </c>
      <c r="C785" s="195">
        <f t="shared" si="25"/>
        <v>2</v>
      </c>
      <c r="D785" s="195">
        <v>38.700000000000003</v>
      </c>
      <c r="E785" s="705">
        <f t="shared" si="26"/>
        <v>3.7222222222222237</v>
      </c>
    </row>
    <row r="786" spans="2:5">
      <c r="B786" s="943">
        <v>44959</v>
      </c>
      <c r="C786" s="195">
        <f t="shared" si="25"/>
        <v>2</v>
      </c>
      <c r="D786" s="195">
        <v>38.1</v>
      </c>
      <c r="E786" s="705">
        <f t="shared" si="26"/>
        <v>3.3888888888888897</v>
      </c>
    </row>
    <row r="787" spans="2:5">
      <c r="B787" s="943">
        <v>44959</v>
      </c>
      <c r="C787" s="195">
        <f t="shared" si="25"/>
        <v>2</v>
      </c>
      <c r="D787" s="195">
        <v>37.9</v>
      </c>
      <c r="E787" s="705">
        <f t="shared" si="26"/>
        <v>3.2777777777777768</v>
      </c>
    </row>
    <row r="788" spans="2:5">
      <c r="B788" s="943">
        <v>44959</v>
      </c>
      <c r="C788" s="195">
        <f t="shared" si="25"/>
        <v>2</v>
      </c>
      <c r="D788" s="195" t="s">
        <v>1431</v>
      </c>
      <c r="E788" s="705">
        <f t="shared" si="26"/>
        <v>3.8888888888888888</v>
      </c>
    </row>
    <row r="789" spans="2:5">
      <c r="B789" s="943">
        <v>44959</v>
      </c>
      <c r="C789" s="195">
        <f t="shared" si="25"/>
        <v>2</v>
      </c>
      <c r="D789" s="195">
        <v>40.299999999999997</v>
      </c>
      <c r="E789" s="705">
        <f t="shared" si="26"/>
        <v>4.6111111111111098</v>
      </c>
    </row>
    <row r="790" spans="2:5">
      <c r="B790" s="943">
        <v>44959</v>
      </c>
      <c r="C790" s="195">
        <f t="shared" si="25"/>
        <v>2</v>
      </c>
      <c r="D790" s="195">
        <v>40.5</v>
      </c>
      <c r="E790" s="705">
        <f t="shared" si="26"/>
        <v>4.7222222222222223</v>
      </c>
    </row>
    <row r="791" spans="2:5">
      <c r="B791" s="943">
        <v>44959</v>
      </c>
      <c r="C791" s="195">
        <f t="shared" si="25"/>
        <v>2</v>
      </c>
      <c r="D791" s="195" t="s">
        <v>1429</v>
      </c>
      <c r="E791" s="705">
        <f t="shared" si="26"/>
        <v>5</v>
      </c>
    </row>
    <row r="792" spans="2:5">
      <c r="B792" s="943">
        <v>44959</v>
      </c>
      <c r="C792" s="195">
        <f t="shared" si="25"/>
        <v>2</v>
      </c>
      <c r="D792" s="195" t="s">
        <v>1429</v>
      </c>
      <c r="E792" s="705">
        <f t="shared" si="26"/>
        <v>5</v>
      </c>
    </row>
    <row r="793" spans="2:5">
      <c r="B793" s="943">
        <v>44959</v>
      </c>
      <c r="C793" s="195">
        <f t="shared" si="25"/>
        <v>2</v>
      </c>
      <c r="D793" s="195">
        <v>41.4</v>
      </c>
      <c r="E793" s="705">
        <f t="shared" si="26"/>
        <v>5.2222222222222214</v>
      </c>
    </row>
    <row r="794" spans="2:5">
      <c r="B794" s="943">
        <v>44959</v>
      </c>
      <c r="C794" s="195">
        <f t="shared" si="25"/>
        <v>2</v>
      </c>
      <c r="D794" s="195">
        <v>41.2</v>
      </c>
      <c r="E794" s="705">
        <f t="shared" si="26"/>
        <v>5.1111111111111125</v>
      </c>
    </row>
    <row r="795" spans="2:5">
      <c r="B795" s="943">
        <v>44959</v>
      </c>
      <c r="C795" s="195">
        <f t="shared" si="25"/>
        <v>2</v>
      </c>
      <c r="D795" s="195" t="s">
        <v>1429</v>
      </c>
      <c r="E795" s="705">
        <f t="shared" si="26"/>
        <v>5</v>
      </c>
    </row>
    <row r="796" spans="2:5">
      <c r="B796" s="943">
        <v>44959</v>
      </c>
      <c r="C796" s="195">
        <f t="shared" si="25"/>
        <v>2</v>
      </c>
      <c r="D796" s="195">
        <v>40.1</v>
      </c>
      <c r="E796" s="705">
        <f t="shared" si="26"/>
        <v>4.5000000000000009</v>
      </c>
    </row>
    <row r="797" spans="2:5">
      <c r="B797" s="943">
        <v>44959</v>
      </c>
      <c r="C797" s="195">
        <f t="shared" si="25"/>
        <v>2</v>
      </c>
      <c r="D797" s="195" t="s">
        <v>1431</v>
      </c>
      <c r="E797" s="705">
        <f t="shared" si="26"/>
        <v>3.8888888888888888</v>
      </c>
    </row>
    <row r="798" spans="2:5">
      <c r="B798" s="943">
        <v>44959</v>
      </c>
      <c r="C798" s="195">
        <f t="shared" si="25"/>
        <v>2</v>
      </c>
      <c r="D798" s="195">
        <v>38.299999999999997</v>
      </c>
      <c r="E798" s="705">
        <f t="shared" si="26"/>
        <v>3.4999999999999982</v>
      </c>
    </row>
    <row r="799" spans="2:5">
      <c r="B799" s="943">
        <v>44959</v>
      </c>
      <c r="C799" s="195">
        <f t="shared" si="25"/>
        <v>2</v>
      </c>
      <c r="D799" s="195">
        <v>37.9</v>
      </c>
      <c r="E799" s="705">
        <f t="shared" si="26"/>
        <v>3.2777777777777768</v>
      </c>
    </row>
    <row r="800" spans="2:5">
      <c r="B800" s="943">
        <v>44959</v>
      </c>
      <c r="C800" s="195">
        <f t="shared" si="25"/>
        <v>2</v>
      </c>
      <c r="D800" s="195">
        <v>37.799999999999997</v>
      </c>
      <c r="E800" s="705">
        <f t="shared" si="26"/>
        <v>3.2222222222222205</v>
      </c>
    </row>
    <row r="801" spans="2:5">
      <c r="B801" s="943">
        <v>44960</v>
      </c>
      <c r="C801" s="195">
        <f t="shared" si="25"/>
        <v>2</v>
      </c>
      <c r="D801" s="195">
        <v>38.5</v>
      </c>
      <c r="E801" s="705">
        <f t="shared" si="26"/>
        <v>3.6111111111111112</v>
      </c>
    </row>
    <row r="802" spans="2:5">
      <c r="B802" s="943">
        <v>44960</v>
      </c>
      <c r="C802" s="195">
        <f t="shared" si="25"/>
        <v>2</v>
      </c>
      <c r="D802" s="195">
        <v>40.6</v>
      </c>
      <c r="E802" s="705">
        <f t="shared" si="26"/>
        <v>4.7777777777777786</v>
      </c>
    </row>
    <row r="803" spans="2:5">
      <c r="B803" s="943">
        <v>44960</v>
      </c>
      <c r="C803" s="195">
        <f t="shared" si="25"/>
        <v>2</v>
      </c>
      <c r="D803" s="195">
        <v>40.5</v>
      </c>
      <c r="E803" s="705">
        <f t="shared" si="26"/>
        <v>4.7222222222222223</v>
      </c>
    </row>
    <row r="804" spans="2:5">
      <c r="B804" s="943">
        <v>44960</v>
      </c>
      <c r="C804" s="195">
        <f t="shared" si="25"/>
        <v>2</v>
      </c>
      <c r="D804" s="195">
        <v>40.6</v>
      </c>
      <c r="E804" s="705">
        <f t="shared" si="26"/>
        <v>4.7777777777777786</v>
      </c>
    </row>
    <row r="805" spans="2:5">
      <c r="B805" s="943">
        <v>44960</v>
      </c>
      <c r="C805" s="195">
        <f t="shared" si="25"/>
        <v>2</v>
      </c>
      <c r="D805" s="195">
        <v>40.799999999999997</v>
      </c>
      <c r="E805" s="705">
        <f t="shared" si="26"/>
        <v>4.8888888888888875</v>
      </c>
    </row>
    <row r="806" spans="2:5">
      <c r="B806" s="943">
        <v>44960</v>
      </c>
      <c r="C806" s="195">
        <f t="shared" si="25"/>
        <v>2</v>
      </c>
      <c r="D806" s="195">
        <v>40.299999999999997</v>
      </c>
      <c r="E806" s="705">
        <f t="shared" si="26"/>
        <v>4.6111111111111098</v>
      </c>
    </row>
    <row r="807" spans="2:5">
      <c r="B807" s="943">
        <v>44960</v>
      </c>
      <c r="C807" s="195">
        <f t="shared" si="25"/>
        <v>2</v>
      </c>
      <c r="D807" s="195">
        <v>40.6</v>
      </c>
      <c r="E807" s="705">
        <f t="shared" si="26"/>
        <v>4.7777777777777786</v>
      </c>
    </row>
    <row r="808" spans="2:5">
      <c r="B808" s="943">
        <v>44960</v>
      </c>
      <c r="C808" s="195">
        <f t="shared" si="25"/>
        <v>2</v>
      </c>
      <c r="D808" s="195">
        <v>40.299999999999997</v>
      </c>
      <c r="E808" s="705">
        <f t="shared" si="26"/>
        <v>4.6111111111111098</v>
      </c>
    </row>
    <row r="809" spans="2:5">
      <c r="B809" s="943">
        <v>44960</v>
      </c>
      <c r="C809" s="195">
        <f t="shared" si="25"/>
        <v>2</v>
      </c>
      <c r="D809" s="195">
        <v>39.200000000000003</v>
      </c>
      <c r="E809" s="705">
        <f t="shared" si="26"/>
        <v>4.0000000000000018</v>
      </c>
    </row>
    <row r="810" spans="2:5">
      <c r="B810" s="943">
        <v>44960</v>
      </c>
      <c r="C810" s="195">
        <f t="shared" si="25"/>
        <v>2</v>
      </c>
      <c r="D810" s="195">
        <v>38.299999999999997</v>
      </c>
      <c r="E810" s="705">
        <f t="shared" si="26"/>
        <v>3.4999999999999982</v>
      </c>
    </row>
    <row r="811" spans="2:5">
      <c r="B811" s="943">
        <v>44960</v>
      </c>
      <c r="C811" s="195">
        <f t="shared" si="25"/>
        <v>2</v>
      </c>
      <c r="D811" s="195">
        <v>37.799999999999997</v>
      </c>
      <c r="E811" s="705">
        <f t="shared" si="26"/>
        <v>3.2222222222222205</v>
      </c>
    </row>
    <row r="812" spans="2:5">
      <c r="B812" s="943">
        <v>44960</v>
      </c>
      <c r="C812" s="195">
        <f t="shared" si="25"/>
        <v>2</v>
      </c>
      <c r="D812" s="195">
        <v>37.799999999999997</v>
      </c>
      <c r="E812" s="705">
        <f t="shared" si="26"/>
        <v>3.2222222222222205</v>
      </c>
    </row>
    <row r="813" spans="2:5">
      <c r="B813" s="943">
        <v>44960</v>
      </c>
      <c r="C813" s="195">
        <f t="shared" si="25"/>
        <v>2</v>
      </c>
      <c r="D813" s="195">
        <v>38.700000000000003</v>
      </c>
      <c r="E813" s="705">
        <f t="shared" si="26"/>
        <v>3.7222222222222237</v>
      </c>
    </row>
    <row r="814" spans="2:5">
      <c r="B814" s="943">
        <v>44960</v>
      </c>
      <c r="C814" s="195">
        <f t="shared" si="25"/>
        <v>2</v>
      </c>
      <c r="D814" s="195">
        <v>40.1</v>
      </c>
      <c r="E814" s="705">
        <f t="shared" si="26"/>
        <v>4.5000000000000009</v>
      </c>
    </row>
    <row r="815" spans="2:5">
      <c r="B815" s="943">
        <v>44960</v>
      </c>
      <c r="C815" s="195">
        <f t="shared" si="25"/>
        <v>2</v>
      </c>
      <c r="D815" s="195">
        <v>40.1</v>
      </c>
      <c r="E815" s="705">
        <f t="shared" si="26"/>
        <v>4.5000000000000009</v>
      </c>
    </row>
    <row r="816" spans="2:5">
      <c r="B816" s="943">
        <v>44960</v>
      </c>
      <c r="C816" s="195">
        <f t="shared" si="25"/>
        <v>2</v>
      </c>
      <c r="D816" s="195">
        <v>40.799999999999997</v>
      </c>
      <c r="E816" s="705">
        <f t="shared" si="26"/>
        <v>4.8888888888888875</v>
      </c>
    </row>
    <row r="817" spans="2:5">
      <c r="B817" s="943">
        <v>44960</v>
      </c>
      <c r="C817" s="195">
        <f t="shared" si="25"/>
        <v>2</v>
      </c>
      <c r="D817" s="195">
        <v>41.5</v>
      </c>
      <c r="E817" s="705">
        <f t="shared" si="26"/>
        <v>5.2777777777777777</v>
      </c>
    </row>
    <row r="818" spans="2:5">
      <c r="B818" s="943">
        <v>44960</v>
      </c>
      <c r="C818" s="195">
        <f t="shared" si="25"/>
        <v>2</v>
      </c>
      <c r="D818" s="195">
        <v>41.4</v>
      </c>
      <c r="E818" s="705">
        <f t="shared" si="26"/>
        <v>5.2222222222222214</v>
      </c>
    </row>
    <row r="819" spans="2:5">
      <c r="B819" s="943">
        <v>44960</v>
      </c>
      <c r="C819" s="195">
        <f t="shared" si="25"/>
        <v>2</v>
      </c>
      <c r="D819" s="195">
        <v>41.2</v>
      </c>
      <c r="E819" s="705">
        <f t="shared" si="26"/>
        <v>5.1111111111111125</v>
      </c>
    </row>
    <row r="820" spans="2:5">
      <c r="B820" s="943">
        <v>44960</v>
      </c>
      <c r="C820" s="195">
        <f t="shared" si="25"/>
        <v>2</v>
      </c>
      <c r="D820" s="195">
        <v>40.1</v>
      </c>
      <c r="E820" s="705">
        <f t="shared" si="26"/>
        <v>4.5000000000000009</v>
      </c>
    </row>
    <row r="821" spans="2:5">
      <c r="B821" s="943">
        <v>44960</v>
      </c>
      <c r="C821" s="195">
        <f t="shared" si="25"/>
        <v>2</v>
      </c>
      <c r="D821" s="195">
        <v>38.700000000000003</v>
      </c>
      <c r="E821" s="705">
        <f t="shared" si="26"/>
        <v>3.7222222222222237</v>
      </c>
    </row>
    <row r="822" spans="2:5">
      <c r="B822" s="943">
        <v>44960</v>
      </c>
      <c r="C822" s="195">
        <f t="shared" si="25"/>
        <v>2</v>
      </c>
      <c r="D822" s="195">
        <v>37.4</v>
      </c>
      <c r="E822" s="705">
        <f t="shared" si="26"/>
        <v>2.9999999999999991</v>
      </c>
    </row>
    <row r="823" spans="2:5">
      <c r="B823" s="943">
        <v>44960</v>
      </c>
      <c r="C823" s="195">
        <f t="shared" si="25"/>
        <v>2</v>
      </c>
      <c r="D823" s="195">
        <v>36.700000000000003</v>
      </c>
      <c r="E823" s="705">
        <f t="shared" si="26"/>
        <v>2.6111111111111125</v>
      </c>
    </row>
    <row r="824" spans="2:5">
      <c r="B824" s="943">
        <v>44960</v>
      </c>
      <c r="C824" s="195">
        <f t="shared" si="25"/>
        <v>2</v>
      </c>
      <c r="D824" s="195">
        <v>36.299999999999997</v>
      </c>
      <c r="E824" s="705">
        <f t="shared" si="26"/>
        <v>2.3888888888888871</v>
      </c>
    </row>
    <row r="825" spans="2:5">
      <c r="B825" s="943">
        <v>44961</v>
      </c>
      <c r="C825" s="195">
        <f t="shared" si="25"/>
        <v>2</v>
      </c>
      <c r="D825" s="195">
        <v>36.299999999999997</v>
      </c>
      <c r="E825" s="705">
        <f t="shared" si="26"/>
        <v>2.3888888888888871</v>
      </c>
    </row>
    <row r="826" spans="2:5">
      <c r="B826" s="943">
        <v>44961</v>
      </c>
      <c r="C826" s="195">
        <f t="shared" si="25"/>
        <v>2</v>
      </c>
      <c r="D826" s="195">
        <v>37.200000000000003</v>
      </c>
      <c r="E826" s="705">
        <f t="shared" si="26"/>
        <v>2.8888888888888906</v>
      </c>
    </row>
    <row r="827" spans="2:5">
      <c r="B827" s="943">
        <v>44961</v>
      </c>
      <c r="C827" s="195">
        <f t="shared" si="25"/>
        <v>2</v>
      </c>
      <c r="D827" s="195">
        <v>40.6</v>
      </c>
      <c r="E827" s="705">
        <f t="shared" si="26"/>
        <v>4.7777777777777786</v>
      </c>
    </row>
    <row r="828" spans="2:5">
      <c r="B828" s="943">
        <v>44961</v>
      </c>
      <c r="C828" s="195">
        <f t="shared" si="25"/>
        <v>2</v>
      </c>
      <c r="D828" s="195">
        <v>41.2</v>
      </c>
      <c r="E828" s="705">
        <f t="shared" si="26"/>
        <v>5.1111111111111125</v>
      </c>
    </row>
    <row r="829" spans="2:5">
      <c r="B829" s="943">
        <v>44961</v>
      </c>
      <c r="C829" s="195">
        <f t="shared" si="25"/>
        <v>2</v>
      </c>
      <c r="D829" s="195" t="s">
        <v>1429</v>
      </c>
      <c r="E829" s="705">
        <f t="shared" si="26"/>
        <v>5</v>
      </c>
    </row>
    <row r="830" spans="2:5">
      <c r="B830" s="943">
        <v>44961</v>
      </c>
      <c r="C830" s="195">
        <f t="shared" si="25"/>
        <v>2</v>
      </c>
      <c r="D830" s="195">
        <v>39.9</v>
      </c>
      <c r="E830" s="705">
        <f t="shared" si="26"/>
        <v>4.3888888888888884</v>
      </c>
    </row>
    <row r="831" spans="2:5">
      <c r="B831" s="943">
        <v>44961</v>
      </c>
      <c r="C831" s="195">
        <f t="shared" si="25"/>
        <v>2</v>
      </c>
      <c r="D831" s="195">
        <v>39.9</v>
      </c>
      <c r="E831" s="705">
        <f t="shared" si="26"/>
        <v>4.3888888888888884</v>
      </c>
    </row>
    <row r="832" spans="2:5">
      <c r="B832" s="943">
        <v>44961</v>
      </c>
      <c r="C832" s="195">
        <f t="shared" si="25"/>
        <v>2</v>
      </c>
      <c r="D832" s="195">
        <v>39.6</v>
      </c>
      <c r="E832" s="705">
        <f t="shared" si="26"/>
        <v>4.2222222222222232</v>
      </c>
    </row>
    <row r="833" spans="2:5">
      <c r="B833" s="943">
        <v>44961</v>
      </c>
      <c r="C833" s="195">
        <f t="shared" si="25"/>
        <v>2</v>
      </c>
      <c r="D833" s="195">
        <v>37.4</v>
      </c>
      <c r="E833" s="705">
        <f t="shared" si="26"/>
        <v>2.9999999999999991</v>
      </c>
    </row>
    <row r="834" spans="2:5">
      <c r="B834" s="943">
        <v>44961</v>
      </c>
      <c r="C834" s="195">
        <f t="shared" si="25"/>
        <v>2</v>
      </c>
      <c r="D834" s="195">
        <v>36.1</v>
      </c>
      <c r="E834" s="705">
        <f t="shared" si="26"/>
        <v>2.2777777777777786</v>
      </c>
    </row>
    <row r="835" spans="2:5">
      <c r="B835" s="943">
        <v>44961</v>
      </c>
      <c r="C835" s="195">
        <f t="shared" si="25"/>
        <v>2</v>
      </c>
      <c r="D835" s="195">
        <v>35.1</v>
      </c>
      <c r="E835" s="705">
        <f t="shared" si="26"/>
        <v>1.722222222222223</v>
      </c>
    </row>
    <row r="836" spans="2:5">
      <c r="B836" s="943">
        <v>44961</v>
      </c>
      <c r="C836" s="195">
        <f t="shared" si="25"/>
        <v>2</v>
      </c>
      <c r="D836" s="195">
        <v>34.5</v>
      </c>
      <c r="E836" s="705">
        <f t="shared" si="26"/>
        <v>1.3888888888888888</v>
      </c>
    </row>
    <row r="837" spans="2:5">
      <c r="B837" s="943">
        <v>44961</v>
      </c>
      <c r="C837" s="195">
        <f t="shared" si="25"/>
        <v>2</v>
      </c>
      <c r="D837" s="195">
        <v>35.4</v>
      </c>
      <c r="E837" s="705">
        <f t="shared" si="26"/>
        <v>1.888888888888888</v>
      </c>
    </row>
    <row r="838" spans="2:5">
      <c r="B838" s="943">
        <v>44961</v>
      </c>
      <c r="C838" s="195">
        <f t="shared" si="25"/>
        <v>2</v>
      </c>
      <c r="D838" s="195">
        <v>38.700000000000003</v>
      </c>
      <c r="E838" s="705">
        <f t="shared" si="26"/>
        <v>3.7222222222222237</v>
      </c>
    </row>
    <row r="839" spans="2:5">
      <c r="B839" s="943">
        <v>44961</v>
      </c>
      <c r="C839" s="195">
        <f t="shared" si="25"/>
        <v>2</v>
      </c>
      <c r="D839" s="195">
        <v>39.4</v>
      </c>
      <c r="E839" s="705">
        <f t="shared" si="26"/>
        <v>4.1111111111111098</v>
      </c>
    </row>
    <row r="840" spans="2:5">
      <c r="B840" s="943">
        <v>44961</v>
      </c>
      <c r="C840" s="195">
        <f t="shared" si="25"/>
        <v>2</v>
      </c>
      <c r="D840" s="195">
        <v>38.700000000000003</v>
      </c>
      <c r="E840" s="705">
        <f t="shared" si="26"/>
        <v>3.7222222222222237</v>
      </c>
    </row>
    <row r="841" spans="2:5">
      <c r="B841" s="943">
        <v>44961</v>
      </c>
      <c r="C841" s="195">
        <f t="shared" si="25"/>
        <v>2</v>
      </c>
      <c r="D841" s="195">
        <v>39.700000000000003</v>
      </c>
      <c r="E841" s="705">
        <f t="shared" si="26"/>
        <v>4.2777777777777795</v>
      </c>
    </row>
    <row r="842" spans="2:5">
      <c r="B842" s="943">
        <v>44961</v>
      </c>
      <c r="C842" s="195">
        <f t="shared" ref="C842:C905" si="27">MONTH(B842)</f>
        <v>2</v>
      </c>
      <c r="D842" s="195">
        <v>40.299999999999997</v>
      </c>
      <c r="E842" s="705">
        <f t="shared" ref="E842:E905" si="28">CONVERT(D842,"F","C")</f>
        <v>4.6111111111111098</v>
      </c>
    </row>
    <row r="843" spans="2:5">
      <c r="B843" s="943">
        <v>44961</v>
      </c>
      <c r="C843" s="195">
        <f t="shared" si="27"/>
        <v>2</v>
      </c>
      <c r="D843" s="195">
        <v>39.6</v>
      </c>
      <c r="E843" s="705">
        <f t="shared" si="28"/>
        <v>4.2222222222222232</v>
      </c>
    </row>
    <row r="844" spans="2:5">
      <c r="B844" s="943">
        <v>44961</v>
      </c>
      <c r="C844" s="195">
        <f t="shared" si="27"/>
        <v>2</v>
      </c>
      <c r="D844" s="195">
        <v>39.6</v>
      </c>
      <c r="E844" s="705">
        <f t="shared" si="28"/>
        <v>4.2222222222222232</v>
      </c>
    </row>
    <row r="845" spans="2:5">
      <c r="B845" s="943">
        <v>44961</v>
      </c>
      <c r="C845" s="195">
        <f t="shared" si="27"/>
        <v>2</v>
      </c>
      <c r="D845" s="195">
        <v>38.5</v>
      </c>
      <c r="E845" s="705">
        <f t="shared" si="28"/>
        <v>3.6111111111111112</v>
      </c>
    </row>
    <row r="846" spans="2:5">
      <c r="B846" s="943">
        <v>44961</v>
      </c>
      <c r="C846" s="195">
        <f t="shared" si="27"/>
        <v>2</v>
      </c>
      <c r="D846" s="195">
        <v>36.700000000000003</v>
      </c>
      <c r="E846" s="705">
        <f t="shared" si="28"/>
        <v>2.6111111111111125</v>
      </c>
    </row>
    <row r="847" spans="2:5">
      <c r="B847" s="943">
        <v>44961</v>
      </c>
      <c r="C847" s="195">
        <f t="shared" si="27"/>
        <v>2</v>
      </c>
      <c r="D847" s="195">
        <v>35.200000000000003</v>
      </c>
      <c r="E847" s="705">
        <f t="shared" si="28"/>
        <v>1.7777777777777792</v>
      </c>
    </row>
    <row r="848" spans="2:5">
      <c r="B848" s="943">
        <v>44961</v>
      </c>
      <c r="C848" s="195">
        <f t="shared" si="27"/>
        <v>2</v>
      </c>
      <c r="D848" s="195">
        <v>34.5</v>
      </c>
      <c r="E848" s="705">
        <f t="shared" si="28"/>
        <v>1.3888888888888888</v>
      </c>
    </row>
    <row r="849" spans="2:5">
      <c r="B849" s="943">
        <v>44962</v>
      </c>
      <c r="C849" s="195">
        <f t="shared" si="27"/>
        <v>2</v>
      </c>
      <c r="D849" s="195">
        <v>34.200000000000003</v>
      </c>
      <c r="E849" s="705">
        <f t="shared" si="28"/>
        <v>1.2222222222222239</v>
      </c>
    </row>
    <row r="850" spans="2:5">
      <c r="B850" s="943">
        <v>44962</v>
      </c>
      <c r="C850" s="195">
        <f t="shared" si="27"/>
        <v>2</v>
      </c>
      <c r="D850" s="195">
        <v>34.700000000000003</v>
      </c>
      <c r="E850" s="705">
        <f t="shared" si="28"/>
        <v>1.5000000000000016</v>
      </c>
    </row>
    <row r="851" spans="2:5">
      <c r="B851" s="943">
        <v>44962</v>
      </c>
      <c r="C851" s="195">
        <f t="shared" si="27"/>
        <v>2</v>
      </c>
      <c r="D851" s="195">
        <v>37.9</v>
      </c>
      <c r="E851" s="705">
        <f t="shared" si="28"/>
        <v>3.2777777777777768</v>
      </c>
    </row>
    <row r="852" spans="2:5">
      <c r="B852" s="943">
        <v>44962</v>
      </c>
      <c r="C852" s="195">
        <f t="shared" si="27"/>
        <v>2</v>
      </c>
      <c r="D852" s="195">
        <v>38.799999999999997</v>
      </c>
      <c r="E852" s="705">
        <f t="shared" si="28"/>
        <v>3.7777777777777759</v>
      </c>
    </row>
    <row r="853" spans="2:5">
      <c r="B853" s="943">
        <v>44962</v>
      </c>
      <c r="C853" s="195">
        <f t="shared" si="27"/>
        <v>2</v>
      </c>
      <c r="D853" s="195">
        <v>39.6</v>
      </c>
      <c r="E853" s="705">
        <f t="shared" si="28"/>
        <v>4.2222222222222232</v>
      </c>
    </row>
    <row r="854" spans="2:5">
      <c r="B854" s="943">
        <v>44962</v>
      </c>
      <c r="C854" s="195">
        <f t="shared" si="27"/>
        <v>2</v>
      </c>
      <c r="D854" s="195">
        <v>40.1</v>
      </c>
      <c r="E854" s="705">
        <f t="shared" si="28"/>
        <v>4.5000000000000009</v>
      </c>
    </row>
    <row r="855" spans="2:5">
      <c r="B855" s="943">
        <v>44962</v>
      </c>
      <c r="C855" s="195">
        <f t="shared" si="27"/>
        <v>2</v>
      </c>
      <c r="D855" s="195">
        <v>39.9</v>
      </c>
      <c r="E855" s="705">
        <f t="shared" si="28"/>
        <v>4.3888888888888884</v>
      </c>
    </row>
    <row r="856" spans="2:5">
      <c r="B856" s="943">
        <v>44962</v>
      </c>
      <c r="C856" s="195">
        <f t="shared" si="27"/>
        <v>2</v>
      </c>
      <c r="D856" s="195">
        <v>39.4</v>
      </c>
      <c r="E856" s="705">
        <f t="shared" si="28"/>
        <v>4.1111111111111098</v>
      </c>
    </row>
    <row r="857" spans="2:5">
      <c r="B857" s="943">
        <v>44962</v>
      </c>
      <c r="C857" s="195">
        <f t="shared" si="27"/>
        <v>2</v>
      </c>
      <c r="D857" s="195" t="s">
        <v>1431</v>
      </c>
      <c r="E857" s="705">
        <f t="shared" si="28"/>
        <v>3.8888888888888888</v>
      </c>
    </row>
    <row r="858" spans="2:5">
      <c r="B858" s="943">
        <v>44962</v>
      </c>
      <c r="C858" s="195">
        <f t="shared" si="27"/>
        <v>2</v>
      </c>
      <c r="D858" s="195">
        <v>37.9</v>
      </c>
      <c r="E858" s="705">
        <f t="shared" si="28"/>
        <v>3.2777777777777768</v>
      </c>
    </row>
    <row r="859" spans="2:5">
      <c r="B859" s="943">
        <v>44962</v>
      </c>
      <c r="C859" s="195">
        <f t="shared" si="27"/>
        <v>2</v>
      </c>
      <c r="D859" s="195">
        <v>36.299999999999997</v>
      </c>
      <c r="E859" s="705">
        <f t="shared" si="28"/>
        <v>2.3888888888888871</v>
      </c>
    </row>
    <row r="860" spans="2:5">
      <c r="B860" s="943">
        <v>44962</v>
      </c>
      <c r="C860" s="195">
        <f t="shared" si="27"/>
        <v>2</v>
      </c>
      <c r="D860" s="195">
        <v>35.200000000000003</v>
      </c>
      <c r="E860" s="705">
        <f t="shared" si="28"/>
        <v>1.7777777777777792</v>
      </c>
    </row>
    <row r="861" spans="2:5">
      <c r="B861" s="943">
        <v>44962</v>
      </c>
      <c r="C861" s="195">
        <f t="shared" si="27"/>
        <v>2</v>
      </c>
      <c r="D861" s="195">
        <v>35.200000000000003</v>
      </c>
      <c r="E861" s="705">
        <f t="shared" si="28"/>
        <v>1.7777777777777792</v>
      </c>
    </row>
    <row r="862" spans="2:5">
      <c r="B862" s="943">
        <v>44962</v>
      </c>
      <c r="C862" s="195">
        <f t="shared" si="27"/>
        <v>2</v>
      </c>
      <c r="D862" s="195">
        <v>36.299999999999997</v>
      </c>
      <c r="E862" s="705">
        <f t="shared" si="28"/>
        <v>2.3888888888888871</v>
      </c>
    </row>
    <row r="863" spans="2:5">
      <c r="B863" s="943">
        <v>44962</v>
      </c>
      <c r="C863" s="195">
        <f t="shared" si="27"/>
        <v>2</v>
      </c>
      <c r="D863" s="195">
        <v>37.9</v>
      </c>
      <c r="E863" s="705">
        <f t="shared" si="28"/>
        <v>3.2777777777777768</v>
      </c>
    </row>
    <row r="864" spans="2:5">
      <c r="B864" s="943">
        <v>44962</v>
      </c>
      <c r="C864" s="195">
        <f t="shared" si="27"/>
        <v>2</v>
      </c>
      <c r="D864" s="195" t="s">
        <v>1431</v>
      </c>
      <c r="E864" s="705">
        <f t="shared" si="28"/>
        <v>3.8888888888888888</v>
      </c>
    </row>
    <row r="865" spans="2:5">
      <c r="B865" s="943">
        <v>44962</v>
      </c>
      <c r="C865" s="195">
        <f t="shared" si="27"/>
        <v>2</v>
      </c>
      <c r="D865" s="195">
        <v>39.9</v>
      </c>
      <c r="E865" s="705">
        <f t="shared" si="28"/>
        <v>4.3888888888888884</v>
      </c>
    </row>
    <row r="866" spans="2:5">
      <c r="B866" s="943">
        <v>44962</v>
      </c>
      <c r="C866" s="195">
        <f t="shared" si="27"/>
        <v>2</v>
      </c>
      <c r="D866" s="195">
        <v>40.5</v>
      </c>
      <c r="E866" s="705">
        <f t="shared" si="28"/>
        <v>4.7222222222222223</v>
      </c>
    </row>
    <row r="867" spans="2:5">
      <c r="B867" s="943">
        <v>44962</v>
      </c>
      <c r="C867" s="195">
        <f t="shared" si="27"/>
        <v>2</v>
      </c>
      <c r="D867" s="195">
        <v>40.799999999999997</v>
      </c>
      <c r="E867" s="705">
        <f t="shared" si="28"/>
        <v>4.8888888888888875</v>
      </c>
    </row>
    <row r="868" spans="2:5">
      <c r="B868" s="943">
        <v>44962</v>
      </c>
      <c r="C868" s="195">
        <f t="shared" si="27"/>
        <v>2</v>
      </c>
      <c r="D868" s="195">
        <v>40.799999999999997</v>
      </c>
      <c r="E868" s="705">
        <f t="shared" si="28"/>
        <v>4.8888888888888875</v>
      </c>
    </row>
    <row r="869" spans="2:5">
      <c r="B869" s="943">
        <v>44962</v>
      </c>
      <c r="C869" s="195">
        <f t="shared" si="27"/>
        <v>2</v>
      </c>
      <c r="D869" s="195">
        <v>40.299999999999997</v>
      </c>
      <c r="E869" s="705">
        <f t="shared" si="28"/>
        <v>4.6111111111111098</v>
      </c>
    </row>
    <row r="870" spans="2:5">
      <c r="B870" s="943">
        <v>44962</v>
      </c>
      <c r="C870" s="195">
        <f t="shared" si="27"/>
        <v>2</v>
      </c>
      <c r="D870" s="195">
        <v>39.200000000000003</v>
      </c>
      <c r="E870" s="705">
        <f t="shared" si="28"/>
        <v>4.0000000000000018</v>
      </c>
    </row>
    <row r="871" spans="2:5">
      <c r="B871" s="943">
        <v>44962</v>
      </c>
      <c r="C871" s="195">
        <f t="shared" si="27"/>
        <v>2</v>
      </c>
      <c r="D871" s="195">
        <v>37.6</v>
      </c>
      <c r="E871" s="705">
        <f t="shared" si="28"/>
        <v>3.1111111111111116</v>
      </c>
    </row>
    <row r="872" spans="2:5">
      <c r="B872" s="943">
        <v>44962</v>
      </c>
      <c r="C872" s="195">
        <f t="shared" si="27"/>
        <v>2</v>
      </c>
      <c r="D872" s="195">
        <v>36.5</v>
      </c>
      <c r="E872" s="705">
        <f t="shared" si="28"/>
        <v>2.5</v>
      </c>
    </row>
    <row r="873" spans="2:5">
      <c r="B873" s="943">
        <v>44963</v>
      </c>
      <c r="C873" s="195">
        <f t="shared" si="27"/>
        <v>2</v>
      </c>
      <c r="D873" s="195">
        <v>35.799999999999997</v>
      </c>
      <c r="E873" s="705">
        <f t="shared" si="28"/>
        <v>2.1111111111111094</v>
      </c>
    </row>
    <row r="874" spans="2:5">
      <c r="B874" s="943">
        <v>44963</v>
      </c>
      <c r="C874" s="195">
        <f t="shared" si="27"/>
        <v>2</v>
      </c>
      <c r="D874" s="195">
        <v>35.799999999999997</v>
      </c>
      <c r="E874" s="705">
        <f t="shared" si="28"/>
        <v>2.1111111111111094</v>
      </c>
    </row>
    <row r="875" spans="2:5">
      <c r="B875" s="943">
        <v>44963</v>
      </c>
      <c r="C875" s="195">
        <f t="shared" si="27"/>
        <v>2</v>
      </c>
      <c r="D875" s="195">
        <v>37.200000000000003</v>
      </c>
      <c r="E875" s="705">
        <f t="shared" si="28"/>
        <v>2.8888888888888906</v>
      </c>
    </row>
    <row r="876" spans="2:5">
      <c r="B876" s="943">
        <v>44963</v>
      </c>
      <c r="C876" s="195">
        <f t="shared" si="27"/>
        <v>2</v>
      </c>
      <c r="D876" s="195">
        <v>38.700000000000003</v>
      </c>
      <c r="E876" s="705">
        <f t="shared" si="28"/>
        <v>3.7222222222222237</v>
      </c>
    </row>
    <row r="877" spans="2:5">
      <c r="B877" s="943">
        <v>44963</v>
      </c>
      <c r="C877" s="195">
        <f t="shared" si="27"/>
        <v>2</v>
      </c>
      <c r="D877" s="195">
        <v>39.6</v>
      </c>
      <c r="E877" s="705">
        <f t="shared" si="28"/>
        <v>4.2222222222222232</v>
      </c>
    </row>
    <row r="878" spans="2:5">
      <c r="B878" s="943">
        <v>44963</v>
      </c>
      <c r="C878" s="195">
        <f t="shared" si="27"/>
        <v>2</v>
      </c>
      <c r="D878" s="195">
        <v>40.299999999999997</v>
      </c>
      <c r="E878" s="705">
        <f t="shared" si="28"/>
        <v>4.6111111111111098</v>
      </c>
    </row>
    <row r="879" spans="2:5">
      <c r="B879" s="943">
        <v>44963</v>
      </c>
      <c r="C879" s="195">
        <f t="shared" si="27"/>
        <v>2</v>
      </c>
      <c r="D879" s="195" t="s">
        <v>1429</v>
      </c>
      <c r="E879" s="705">
        <f t="shared" si="28"/>
        <v>5</v>
      </c>
    </row>
    <row r="880" spans="2:5">
      <c r="B880" s="943">
        <v>44963</v>
      </c>
      <c r="C880" s="195">
        <f t="shared" si="27"/>
        <v>2</v>
      </c>
      <c r="D880" s="195">
        <v>40.799999999999997</v>
      </c>
      <c r="E880" s="705">
        <f t="shared" si="28"/>
        <v>4.8888888888888875</v>
      </c>
    </row>
    <row r="881" spans="2:5">
      <c r="B881" s="943">
        <v>44963</v>
      </c>
      <c r="C881" s="195">
        <f t="shared" si="27"/>
        <v>2</v>
      </c>
      <c r="D881" s="195">
        <v>40.799999999999997</v>
      </c>
      <c r="E881" s="705">
        <f t="shared" si="28"/>
        <v>4.8888888888888875</v>
      </c>
    </row>
    <row r="882" spans="2:5">
      <c r="B882" s="943">
        <v>44963</v>
      </c>
      <c r="C882" s="195">
        <f t="shared" si="27"/>
        <v>2</v>
      </c>
      <c r="D882" s="195">
        <v>39.700000000000003</v>
      </c>
      <c r="E882" s="705">
        <f t="shared" si="28"/>
        <v>4.2777777777777795</v>
      </c>
    </row>
    <row r="883" spans="2:5">
      <c r="B883" s="943">
        <v>44963</v>
      </c>
      <c r="C883" s="195">
        <f t="shared" si="27"/>
        <v>2</v>
      </c>
      <c r="D883" s="195">
        <v>37.9</v>
      </c>
      <c r="E883" s="705">
        <f t="shared" si="28"/>
        <v>3.2777777777777768</v>
      </c>
    </row>
    <row r="884" spans="2:5">
      <c r="B884" s="943">
        <v>44963</v>
      </c>
      <c r="C884" s="195">
        <f t="shared" si="27"/>
        <v>2</v>
      </c>
      <c r="D884" s="195">
        <v>36.700000000000003</v>
      </c>
      <c r="E884" s="705">
        <f t="shared" si="28"/>
        <v>2.6111111111111125</v>
      </c>
    </row>
    <row r="885" spans="2:5">
      <c r="B885" s="943">
        <v>44963</v>
      </c>
      <c r="C885" s="195">
        <f t="shared" si="27"/>
        <v>2</v>
      </c>
      <c r="D885" s="195" t="s">
        <v>1433</v>
      </c>
      <c r="E885" s="705">
        <f t="shared" si="28"/>
        <v>2.2222222222222223</v>
      </c>
    </row>
    <row r="886" spans="2:5">
      <c r="B886" s="943">
        <v>44963</v>
      </c>
      <c r="C886" s="195">
        <f t="shared" si="27"/>
        <v>2</v>
      </c>
      <c r="D886" s="195" t="s">
        <v>1433</v>
      </c>
      <c r="E886" s="705">
        <f t="shared" si="28"/>
        <v>2.2222222222222223</v>
      </c>
    </row>
    <row r="887" spans="2:5">
      <c r="B887" s="943">
        <v>44963</v>
      </c>
      <c r="C887" s="195">
        <f t="shared" si="27"/>
        <v>2</v>
      </c>
      <c r="D887" s="195">
        <v>37.4</v>
      </c>
      <c r="E887" s="705">
        <f t="shared" si="28"/>
        <v>2.9999999999999991</v>
      </c>
    </row>
    <row r="888" spans="2:5">
      <c r="B888" s="943">
        <v>44963</v>
      </c>
      <c r="C888" s="195">
        <f t="shared" si="27"/>
        <v>2</v>
      </c>
      <c r="D888" s="195">
        <v>38.799999999999997</v>
      </c>
      <c r="E888" s="705">
        <f t="shared" si="28"/>
        <v>3.7777777777777759</v>
      </c>
    </row>
    <row r="889" spans="2:5">
      <c r="B889" s="943">
        <v>44963</v>
      </c>
      <c r="C889" s="195">
        <f t="shared" si="27"/>
        <v>2</v>
      </c>
      <c r="D889" s="195">
        <v>40.1</v>
      </c>
      <c r="E889" s="705">
        <f t="shared" si="28"/>
        <v>4.5000000000000009</v>
      </c>
    </row>
    <row r="890" spans="2:5">
      <c r="B890" s="943">
        <v>44963</v>
      </c>
      <c r="C890" s="195">
        <f t="shared" si="27"/>
        <v>2</v>
      </c>
      <c r="D890" s="195">
        <v>41.2</v>
      </c>
      <c r="E890" s="705">
        <f t="shared" si="28"/>
        <v>5.1111111111111125</v>
      </c>
    </row>
    <row r="891" spans="2:5">
      <c r="B891" s="943">
        <v>44963</v>
      </c>
      <c r="C891" s="195">
        <f t="shared" si="27"/>
        <v>2</v>
      </c>
      <c r="D891" s="195">
        <v>41.4</v>
      </c>
      <c r="E891" s="705">
        <f t="shared" si="28"/>
        <v>5.2222222222222214</v>
      </c>
    </row>
    <row r="892" spans="2:5">
      <c r="B892" s="943">
        <v>44963</v>
      </c>
      <c r="C892" s="195">
        <f t="shared" si="27"/>
        <v>2</v>
      </c>
      <c r="D892" s="195">
        <v>41.5</v>
      </c>
      <c r="E892" s="705">
        <f t="shared" si="28"/>
        <v>5.2777777777777777</v>
      </c>
    </row>
    <row r="893" spans="2:5">
      <c r="B893" s="943">
        <v>44963</v>
      </c>
      <c r="C893" s="195">
        <f t="shared" si="27"/>
        <v>2</v>
      </c>
      <c r="D893" s="195">
        <v>41.2</v>
      </c>
      <c r="E893" s="705">
        <f t="shared" si="28"/>
        <v>5.1111111111111125</v>
      </c>
    </row>
    <row r="894" spans="2:5">
      <c r="B894" s="943">
        <v>44963</v>
      </c>
      <c r="C894" s="195">
        <f t="shared" si="27"/>
        <v>2</v>
      </c>
      <c r="D894" s="195">
        <v>40.5</v>
      </c>
      <c r="E894" s="705">
        <f t="shared" si="28"/>
        <v>4.7222222222222223</v>
      </c>
    </row>
    <row r="895" spans="2:5">
      <c r="B895" s="943">
        <v>44963</v>
      </c>
      <c r="C895" s="195">
        <f t="shared" si="27"/>
        <v>2</v>
      </c>
      <c r="D895" s="195">
        <v>38.799999999999997</v>
      </c>
      <c r="E895" s="705">
        <f t="shared" si="28"/>
        <v>3.7777777777777759</v>
      </c>
    </row>
    <row r="896" spans="2:5">
      <c r="B896" s="943">
        <v>44963</v>
      </c>
      <c r="C896" s="195">
        <f t="shared" si="27"/>
        <v>2</v>
      </c>
      <c r="D896" s="195">
        <v>37.6</v>
      </c>
      <c r="E896" s="705">
        <f t="shared" si="28"/>
        <v>3.1111111111111116</v>
      </c>
    </row>
    <row r="897" spans="2:5">
      <c r="B897" s="943">
        <v>44964</v>
      </c>
      <c r="C897" s="195">
        <f t="shared" si="27"/>
        <v>2</v>
      </c>
      <c r="D897" s="195">
        <v>36.700000000000003</v>
      </c>
      <c r="E897" s="705">
        <f t="shared" si="28"/>
        <v>2.6111111111111125</v>
      </c>
    </row>
    <row r="898" spans="2:5">
      <c r="B898" s="943">
        <v>44964</v>
      </c>
      <c r="C898" s="195">
        <f t="shared" si="27"/>
        <v>2</v>
      </c>
      <c r="D898" s="195">
        <v>36.1</v>
      </c>
      <c r="E898" s="705">
        <f t="shared" si="28"/>
        <v>2.2777777777777786</v>
      </c>
    </row>
    <row r="899" spans="2:5">
      <c r="B899" s="943">
        <v>44964</v>
      </c>
      <c r="C899" s="195">
        <f t="shared" si="27"/>
        <v>2</v>
      </c>
      <c r="D899" s="195">
        <v>36.9</v>
      </c>
      <c r="E899" s="705">
        <f t="shared" si="28"/>
        <v>2.7222222222222214</v>
      </c>
    </row>
    <row r="900" spans="2:5">
      <c r="B900" s="943">
        <v>44964</v>
      </c>
      <c r="C900" s="195">
        <f t="shared" si="27"/>
        <v>2</v>
      </c>
      <c r="D900" s="195">
        <v>38.700000000000003</v>
      </c>
      <c r="E900" s="705">
        <f t="shared" si="28"/>
        <v>3.7222222222222237</v>
      </c>
    </row>
    <row r="901" spans="2:5">
      <c r="B901" s="943">
        <v>44964</v>
      </c>
      <c r="C901" s="195">
        <f t="shared" si="27"/>
        <v>2</v>
      </c>
      <c r="D901" s="195">
        <v>39.4</v>
      </c>
      <c r="E901" s="705">
        <f t="shared" si="28"/>
        <v>4.1111111111111098</v>
      </c>
    </row>
    <row r="902" spans="2:5">
      <c r="B902" s="943">
        <v>44964</v>
      </c>
      <c r="C902" s="195">
        <f t="shared" si="27"/>
        <v>2</v>
      </c>
      <c r="D902" s="195">
        <v>40.299999999999997</v>
      </c>
      <c r="E902" s="705">
        <f t="shared" si="28"/>
        <v>4.6111111111111098</v>
      </c>
    </row>
    <row r="903" spans="2:5">
      <c r="B903" s="943">
        <v>44964</v>
      </c>
      <c r="C903" s="195">
        <f t="shared" si="27"/>
        <v>2</v>
      </c>
      <c r="D903" s="195">
        <v>40.5</v>
      </c>
      <c r="E903" s="705">
        <f t="shared" si="28"/>
        <v>4.7222222222222223</v>
      </c>
    </row>
    <row r="904" spans="2:5">
      <c r="B904" s="943">
        <v>44964</v>
      </c>
      <c r="C904" s="195">
        <f t="shared" si="27"/>
        <v>2</v>
      </c>
      <c r="D904" s="195">
        <v>40.5</v>
      </c>
      <c r="E904" s="705">
        <f t="shared" si="28"/>
        <v>4.7222222222222223</v>
      </c>
    </row>
    <row r="905" spans="2:5">
      <c r="B905" s="943">
        <v>44964</v>
      </c>
      <c r="C905" s="195">
        <f t="shared" si="27"/>
        <v>2</v>
      </c>
      <c r="D905" s="195">
        <v>40.299999999999997</v>
      </c>
      <c r="E905" s="705">
        <f t="shared" si="28"/>
        <v>4.6111111111111098</v>
      </c>
    </row>
    <row r="906" spans="2:5">
      <c r="B906" s="943">
        <v>44964</v>
      </c>
      <c r="C906" s="195">
        <f t="shared" ref="C906:C969" si="29">MONTH(B906)</f>
        <v>2</v>
      </c>
      <c r="D906" s="195">
        <v>39.9</v>
      </c>
      <c r="E906" s="705">
        <f t="shared" ref="E906:E969" si="30">CONVERT(D906,"F","C")</f>
        <v>4.3888888888888884</v>
      </c>
    </row>
    <row r="907" spans="2:5">
      <c r="B907" s="943">
        <v>44964</v>
      </c>
      <c r="C907" s="195">
        <f t="shared" si="29"/>
        <v>2</v>
      </c>
      <c r="D907" s="195" t="s">
        <v>1431</v>
      </c>
      <c r="E907" s="705">
        <f t="shared" si="30"/>
        <v>3.8888888888888888</v>
      </c>
    </row>
    <row r="908" spans="2:5">
      <c r="B908" s="943">
        <v>44964</v>
      </c>
      <c r="C908" s="195">
        <f t="shared" si="29"/>
        <v>2</v>
      </c>
      <c r="D908" s="195">
        <v>37.6</v>
      </c>
      <c r="E908" s="705">
        <f t="shared" si="30"/>
        <v>3.1111111111111116</v>
      </c>
    </row>
    <row r="909" spans="2:5">
      <c r="B909" s="943">
        <v>44964</v>
      </c>
      <c r="C909" s="195">
        <f t="shared" si="29"/>
        <v>2</v>
      </c>
      <c r="D909" s="195">
        <v>36.9</v>
      </c>
      <c r="E909" s="705">
        <f t="shared" si="30"/>
        <v>2.7222222222222214</v>
      </c>
    </row>
    <row r="910" spans="2:5">
      <c r="B910" s="943">
        <v>44964</v>
      </c>
      <c r="C910" s="195">
        <f t="shared" si="29"/>
        <v>2</v>
      </c>
      <c r="D910" s="195">
        <v>36.299999999999997</v>
      </c>
      <c r="E910" s="705">
        <f t="shared" si="30"/>
        <v>2.3888888888888871</v>
      </c>
    </row>
    <row r="911" spans="2:5">
      <c r="B911" s="943">
        <v>44964</v>
      </c>
      <c r="C911" s="195">
        <f t="shared" si="29"/>
        <v>2</v>
      </c>
      <c r="D911" s="195" t="s">
        <v>1432</v>
      </c>
      <c r="E911" s="705">
        <f t="shared" si="30"/>
        <v>2.7777777777777777</v>
      </c>
    </row>
    <row r="912" spans="2:5">
      <c r="B912" s="943">
        <v>44964</v>
      </c>
      <c r="C912" s="195">
        <f t="shared" si="29"/>
        <v>2</v>
      </c>
      <c r="D912" s="195">
        <v>38.700000000000003</v>
      </c>
      <c r="E912" s="705">
        <f t="shared" si="30"/>
        <v>3.7222222222222237</v>
      </c>
    </row>
    <row r="913" spans="2:5">
      <c r="B913" s="943">
        <v>44964</v>
      </c>
      <c r="C913" s="195">
        <f t="shared" si="29"/>
        <v>2</v>
      </c>
      <c r="D913" s="195">
        <v>39.200000000000003</v>
      </c>
      <c r="E913" s="705">
        <f t="shared" si="30"/>
        <v>4.0000000000000018</v>
      </c>
    </row>
    <row r="914" spans="2:5">
      <c r="B914" s="943">
        <v>44964</v>
      </c>
      <c r="C914" s="195">
        <f t="shared" si="29"/>
        <v>2</v>
      </c>
      <c r="D914" s="195">
        <v>39.6</v>
      </c>
      <c r="E914" s="705">
        <f t="shared" si="30"/>
        <v>4.2222222222222232</v>
      </c>
    </row>
    <row r="915" spans="2:5">
      <c r="B915" s="943">
        <v>44964</v>
      </c>
      <c r="C915" s="195">
        <f t="shared" si="29"/>
        <v>2</v>
      </c>
      <c r="D915" s="195">
        <v>39.6</v>
      </c>
      <c r="E915" s="705">
        <f t="shared" si="30"/>
        <v>4.2222222222222232</v>
      </c>
    </row>
    <row r="916" spans="2:5">
      <c r="B916" s="943">
        <v>44964</v>
      </c>
      <c r="C916" s="195">
        <f t="shared" si="29"/>
        <v>2</v>
      </c>
      <c r="D916" s="195">
        <v>39.6</v>
      </c>
      <c r="E916" s="705">
        <f t="shared" si="30"/>
        <v>4.2222222222222232</v>
      </c>
    </row>
    <row r="917" spans="2:5">
      <c r="B917" s="943">
        <v>44964</v>
      </c>
      <c r="C917" s="195">
        <f t="shared" si="29"/>
        <v>2</v>
      </c>
      <c r="D917" s="195">
        <v>39.4</v>
      </c>
      <c r="E917" s="705">
        <f t="shared" si="30"/>
        <v>4.1111111111111098</v>
      </c>
    </row>
    <row r="918" spans="2:5">
      <c r="B918" s="943">
        <v>44964</v>
      </c>
      <c r="C918" s="195">
        <f t="shared" si="29"/>
        <v>2</v>
      </c>
      <c r="D918" s="195">
        <v>39.4</v>
      </c>
      <c r="E918" s="705">
        <f t="shared" si="30"/>
        <v>4.1111111111111098</v>
      </c>
    </row>
    <row r="919" spans="2:5">
      <c r="B919" s="943">
        <v>44964</v>
      </c>
      <c r="C919" s="195">
        <f t="shared" si="29"/>
        <v>2</v>
      </c>
      <c r="D919" s="195">
        <v>39.200000000000003</v>
      </c>
      <c r="E919" s="705">
        <f t="shared" si="30"/>
        <v>4.0000000000000018</v>
      </c>
    </row>
    <row r="920" spans="2:5">
      <c r="B920" s="943">
        <v>44964</v>
      </c>
      <c r="C920" s="195">
        <f t="shared" si="29"/>
        <v>2</v>
      </c>
      <c r="D920" s="195">
        <v>38.299999999999997</v>
      </c>
      <c r="E920" s="705">
        <f t="shared" si="30"/>
        <v>3.4999999999999982</v>
      </c>
    </row>
    <row r="921" spans="2:5">
      <c r="B921" s="943">
        <v>44965</v>
      </c>
      <c r="C921" s="195">
        <f t="shared" si="29"/>
        <v>2</v>
      </c>
      <c r="D921" s="195">
        <v>37.6</v>
      </c>
      <c r="E921" s="705">
        <f t="shared" si="30"/>
        <v>3.1111111111111116</v>
      </c>
    </row>
    <row r="922" spans="2:5">
      <c r="B922" s="943">
        <v>44965</v>
      </c>
      <c r="C922" s="195">
        <f t="shared" si="29"/>
        <v>2</v>
      </c>
      <c r="D922" s="195">
        <v>36.9</v>
      </c>
      <c r="E922" s="705">
        <f t="shared" si="30"/>
        <v>2.7222222222222214</v>
      </c>
    </row>
    <row r="923" spans="2:5">
      <c r="B923" s="943">
        <v>44965</v>
      </c>
      <c r="C923" s="195">
        <f t="shared" si="29"/>
        <v>2</v>
      </c>
      <c r="D923" s="195">
        <v>36.5</v>
      </c>
      <c r="E923" s="705">
        <f t="shared" si="30"/>
        <v>2.5</v>
      </c>
    </row>
    <row r="924" spans="2:5">
      <c r="B924" s="943">
        <v>44965</v>
      </c>
      <c r="C924" s="195">
        <f t="shared" si="29"/>
        <v>2</v>
      </c>
      <c r="D924" s="195" t="s">
        <v>1432</v>
      </c>
      <c r="E924" s="705">
        <f t="shared" si="30"/>
        <v>2.7777777777777777</v>
      </c>
    </row>
    <row r="925" spans="2:5">
      <c r="B925" s="943">
        <v>44965</v>
      </c>
      <c r="C925" s="195">
        <f t="shared" si="29"/>
        <v>2</v>
      </c>
      <c r="D925" s="195">
        <v>38.1</v>
      </c>
      <c r="E925" s="705">
        <f t="shared" si="30"/>
        <v>3.3888888888888897</v>
      </c>
    </row>
    <row r="926" spans="2:5">
      <c r="B926" s="943">
        <v>44965</v>
      </c>
      <c r="C926" s="195">
        <f t="shared" si="29"/>
        <v>2</v>
      </c>
      <c r="D926" s="195">
        <v>38.5</v>
      </c>
      <c r="E926" s="705">
        <f t="shared" si="30"/>
        <v>3.6111111111111112</v>
      </c>
    </row>
    <row r="927" spans="2:5">
      <c r="B927" s="943">
        <v>44965</v>
      </c>
      <c r="C927" s="195">
        <f t="shared" si="29"/>
        <v>2</v>
      </c>
      <c r="D927" s="195">
        <v>38.700000000000003</v>
      </c>
      <c r="E927" s="705">
        <f t="shared" si="30"/>
        <v>3.7222222222222237</v>
      </c>
    </row>
    <row r="928" spans="2:5">
      <c r="B928" s="943">
        <v>44965</v>
      </c>
      <c r="C928" s="195">
        <f t="shared" si="29"/>
        <v>2</v>
      </c>
      <c r="D928" s="195">
        <v>38.799999999999997</v>
      </c>
      <c r="E928" s="705">
        <f t="shared" si="30"/>
        <v>3.7777777777777759</v>
      </c>
    </row>
    <row r="929" spans="2:5">
      <c r="B929" s="943">
        <v>44965</v>
      </c>
      <c r="C929" s="195">
        <f t="shared" si="29"/>
        <v>2</v>
      </c>
      <c r="D929" s="195" t="s">
        <v>1431</v>
      </c>
      <c r="E929" s="705">
        <f t="shared" si="30"/>
        <v>3.8888888888888888</v>
      </c>
    </row>
    <row r="930" spans="2:5">
      <c r="B930" s="943">
        <v>44965</v>
      </c>
      <c r="C930" s="195">
        <f t="shared" si="29"/>
        <v>2</v>
      </c>
      <c r="D930" s="195">
        <v>38.799999999999997</v>
      </c>
      <c r="E930" s="705">
        <f t="shared" si="30"/>
        <v>3.7777777777777759</v>
      </c>
    </row>
    <row r="931" spans="2:5">
      <c r="B931" s="943">
        <v>44965</v>
      </c>
      <c r="C931" s="195">
        <f t="shared" si="29"/>
        <v>2</v>
      </c>
      <c r="D931" s="195">
        <v>38.299999999999997</v>
      </c>
      <c r="E931" s="705">
        <f t="shared" si="30"/>
        <v>3.4999999999999982</v>
      </c>
    </row>
    <row r="932" spans="2:5">
      <c r="B932" s="943">
        <v>44965</v>
      </c>
      <c r="C932" s="195">
        <f t="shared" si="29"/>
        <v>2</v>
      </c>
      <c r="D932" s="195">
        <v>37.4</v>
      </c>
      <c r="E932" s="705">
        <f t="shared" si="30"/>
        <v>2.9999999999999991</v>
      </c>
    </row>
    <row r="933" spans="2:5">
      <c r="B933" s="943">
        <v>44965</v>
      </c>
      <c r="C933" s="195">
        <f t="shared" si="29"/>
        <v>2</v>
      </c>
      <c r="D933" s="195">
        <v>36.5</v>
      </c>
      <c r="E933" s="705">
        <f t="shared" si="30"/>
        <v>2.5</v>
      </c>
    </row>
    <row r="934" spans="2:5">
      <c r="B934" s="943">
        <v>44965</v>
      </c>
      <c r="C934" s="195">
        <f t="shared" si="29"/>
        <v>2</v>
      </c>
      <c r="D934" s="195" t="s">
        <v>1433</v>
      </c>
      <c r="E934" s="705">
        <f t="shared" si="30"/>
        <v>2.2222222222222223</v>
      </c>
    </row>
    <row r="935" spans="2:5">
      <c r="B935" s="943">
        <v>44965</v>
      </c>
      <c r="C935" s="195">
        <f t="shared" si="29"/>
        <v>2</v>
      </c>
      <c r="D935" s="195">
        <v>35.799999999999997</v>
      </c>
      <c r="E935" s="705">
        <f t="shared" si="30"/>
        <v>2.1111111111111094</v>
      </c>
    </row>
    <row r="936" spans="2:5">
      <c r="B936" s="943">
        <v>44965</v>
      </c>
      <c r="C936" s="195">
        <f t="shared" si="29"/>
        <v>2</v>
      </c>
      <c r="D936" s="195">
        <v>36.1</v>
      </c>
      <c r="E936" s="705">
        <f t="shared" si="30"/>
        <v>2.2777777777777786</v>
      </c>
    </row>
    <row r="937" spans="2:5">
      <c r="B937" s="943">
        <v>44965</v>
      </c>
      <c r="C937" s="195">
        <f t="shared" si="29"/>
        <v>2</v>
      </c>
      <c r="D937" s="195">
        <v>37.6</v>
      </c>
      <c r="E937" s="705">
        <f t="shared" si="30"/>
        <v>3.1111111111111116</v>
      </c>
    </row>
    <row r="938" spans="2:5">
      <c r="B938" s="943">
        <v>44965</v>
      </c>
      <c r="C938" s="195">
        <f t="shared" si="29"/>
        <v>2</v>
      </c>
      <c r="D938" s="195">
        <v>38.1</v>
      </c>
      <c r="E938" s="705">
        <f t="shared" si="30"/>
        <v>3.3888888888888897</v>
      </c>
    </row>
    <row r="939" spans="2:5">
      <c r="B939" s="943">
        <v>44965</v>
      </c>
      <c r="C939" s="195">
        <f t="shared" si="29"/>
        <v>2</v>
      </c>
      <c r="D939" s="195">
        <v>38.700000000000003</v>
      </c>
      <c r="E939" s="705">
        <f t="shared" si="30"/>
        <v>3.7222222222222237</v>
      </c>
    </row>
    <row r="940" spans="2:5">
      <c r="B940" s="943">
        <v>44965</v>
      </c>
      <c r="C940" s="195">
        <f t="shared" si="29"/>
        <v>2</v>
      </c>
      <c r="D940" s="195">
        <v>39.200000000000003</v>
      </c>
      <c r="E940" s="705">
        <f t="shared" si="30"/>
        <v>4.0000000000000018</v>
      </c>
    </row>
    <row r="941" spans="2:5">
      <c r="B941" s="943">
        <v>44965</v>
      </c>
      <c r="C941" s="195">
        <f t="shared" si="29"/>
        <v>2</v>
      </c>
      <c r="D941" s="195">
        <v>39.4</v>
      </c>
      <c r="E941" s="705">
        <f t="shared" si="30"/>
        <v>4.1111111111111098</v>
      </c>
    </row>
    <row r="942" spans="2:5">
      <c r="B942" s="943">
        <v>44965</v>
      </c>
      <c r="C942" s="195">
        <f t="shared" si="29"/>
        <v>2</v>
      </c>
      <c r="D942" s="195">
        <v>39.200000000000003</v>
      </c>
      <c r="E942" s="705">
        <f t="shared" si="30"/>
        <v>4.0000000000000018</v>
      </c>
    </row>
    <row r="943" spans="2:5">
      <c r="B943" s="943">
        <v>44965</v>
      </c>
      <c r="C943" s="195">
        <f t="shared" si="29"/>
        <v>2</v>
      </c>
      <c r="D943" s="195">
        <v>38.700000000000003</v>
      </c>
      <c r="E943" s="705">
        <f t="shared" si="30"/>
        <v>3.7222222222222237</v>
      </c>
    </row>
    <row r="944" spans="2:5">
      <c r="B944" s="943">
        <v>44965</v>
      </c>
      <c r="C944" s="195">
        <f t="shared" si="29"/>
        <v>2</v>
      </c>
      <c r="D944" s="195">
        <v>37.799999999999997</v>
      </c>
      <c r="E944" s="705">
        <f t="shared" si="30"/>
        <v>3.2222222222222205</v>
      </c>
    </row>
    <row r="945" spans="2:5">
      <c r="B945" s="943">
        <v>44966</v>
      </c>
      <c r="C945" s="195">
        <f t="shared" si="29"/>
        <v>2</v>
      </c>
      <c r="D945" s="195">
        <v>36.9</v>
      </c>
      <c r="E945" s="705">
        <f t="shared" si="30"/>
        <v>2.7222222222222214</v>
      </c>
    </row>
    <row r="946" spans="2:5">
      <c r="B946" s="943">
        <v>44966</v>
      </c>
      <c r="C946" s="195">
        <f t="shared" si="29"/>
        <v>2</v>
      </c>
      <c r="D946" s="195">
        <v>36.299999999999997</v>
      </c>
      <c r="E946" s="705">
        <f t="shared" si="30"/>
        <v>2.3888888888888871</v>
      </c>
    </row>
    <row r="947" spans="2:5">
      <c r="B947" s="943">
        <v>44966</v>
      </c>
      <c r="C947" s="195">
        <f t="shared" si="29"/>
        <v>2</v>
      </c>
      <c r="D947" s="195" t="s">
        <v>1433</v>
      </c>
      <c r="E947" s="705">
        <f t="shared" si="30"/>
        <v>2.2222222222222223</v>
      </c>
    </row>
    <row r="948" spans="2:5">
      <c r="B948" s="943">
        <v>44966</v>
      </c>
      <c r="C948" s="195">
        <f t="shared" si="29"/>
        <v>2</v>
      </c>
      <c r="D948" s="195">
        <v>36.5</v>
      </c>
      <c r="E948" s="705">
        <f t="shared" si="30"/>
        <v>2.5</v>
      </c>
    </row>
    <row r="949" spans="2:5">
      <c r="B949" s="943">
        <v>44966</v>
      </c>
      <c r="C949" s="195">
        <f t="shared" si="29"/>
        <v>2</v>
      </c>
      <c r="D949" s="195">
        <v>37.4</v>
      </c>
      <c r="E949" s="705">
        <f t="shared" si="30"/>
        <v>2.9999999999999991</v>
      </c>
    </row>
    <row r="950" spans="2:5">
      <c r="B950" s="943">
        <v>44966</v>
      </c>
      <c r="C950" s="195">
        <f t="shared" si="29"/>
        <v>2</v>
      </c>
      <c r="D950" s="195">
        <v>38.299999999999997</v>
      </c>
      <c r="E950" s="705">
        <f t="shared" si="30"/>
        <v>3.4999999999999982</v>
      </c>
    </row>
    <row r="951" spans="2:5">
      <c r="B951" s="943">
        <v>44966</v>
      </c>
      <c r="C951" s="195">
        <f t="shared" si="29"/>
        <v>2</v>
      </c>
      <c r="D951" s="195">
        <v>38.700000000000003</v>
      </c>
      <c r="E951" s="705">
        <f t="shared" si="30"/>
        <v>3.7222222222222237</v>
      </c>
    </row>
    <row r="952" spans="2:5">
      <c r="B952" s="943">
        <v>44966</v>
      </c>
      <c r="C952" s="195">
        <f t="shared" si="29"/>
        <v>2</v>
      </c>
      <c r="D952" s="195">
        <v>39.200000000000003</v>
      </c>
      <c r="E952" s="705">
        <f t="shared" si="30"/>
        <v>4.0000000000000018</v>
      </c>
    </row>
    <row r="953" spans="2:5">
      <c r="B953" s="943">
        <v>44966</v>
      </c>
      <c r="C953" s="195">
        <f t="shared" si="29"/>
        <v>2</v>
      </c>
      <c r="D953" s="195">
        <v>39.6</v>
      </c>
      <c r="E953" s="705">
        <f t="shared" si="30"/>
        <v>4.2222222222222232</v>
      </c>
    </row>
    <row r="954" spans="2:5">
      <c r="B954" s="943">
        <v>44966</v>
      </c>
      <c r="C954" s="195">
        <f t="shared" si="29"/>
        <v>2</v>
      </c>
      <c r="D954" s="195">
        <v>39.200000000000003</v>
      </c>
      <c r="E954" s="705">
        <f t="shared" si="30"/>
        <v>4.0000000000000018</v>
      </c>
    </row>
    <row r="955" spans="2:5">
      <c r="B955" s="943">
        <v>44966</v>
      </c>
      <c r="C955" s="195">
        <f t="shared" si="29"/>
        <v>2</v>
      </c>
      <c r="D955" s="195" t="s">
        <v>1431</v>
      </c>
      <c r="E955" s="705">
        <f t="shared" si="30"/>
        <v>3.8888888888888888</v>
      </c>
    </row>
    <row r="956" spans="2:5">
      <c r="B956" s="943">
        <v>44966</v>
      </c>
      <c r="C956" s="195">
        <f t="shared" si="29"/>
        <v>2</v>
      </c>
      <c r="D956" s="195">
        <v>38.299999999999997</v>
      </c>
      <c r="E956" s="705">
        <f t="shared" si="30"/>
        <v>3.4999999999999982</v>
      </c>
    </row>
    <row r="957" spans="2:5">
      <c r="B957" s="943">
        <v>44966</v>
      </c>
      <c r="C957" s="195">
        <f t="shared" si="29"/>
        <v>2</v>
      </c>
      <c r="D957" s="195">
        <v>37.200000000000003</v>
      </c>
      <c r="E957" s="705">
        <f t="shared" si="30"/>
        <v>2.8888888888888906</v>
      </c>
    </row>
    <row r="958" spans="2:5">
      <c r="B958" s="943">
        <v>44966</v>
      </c>
      <c r="C958" s="195">
        <f t="shared" si="29"/>
        <v>2</v>
      </c>
      <c r="D958" s="195">
        <v>36.5</v>
      </c>
      <c r="E958" s="705">
        <f t="shared" si="30"/>
        <v>2.5</v>
      </c>
    </row>
    <row r="959" spans="2:5">
      <c r="B959" s="943">
        <v>44966</v>
      </c>
      <c r="C959" s="195">
        <f t="shared" si="29"/>
        <v>2</v>
      </c>
      <c r="D959" s="195">
        <v>36.1</v>
      </c>
      <c r="E959" s="705">
        <f t="shared" si="30"/>
        <v>2.2777777777777786</v>
      </c>
    </row>
    <row r="960" spans="2:5">
      <c r="B960" s="943">
        <v>44966</v>
      </c>
      <c r="C960" s="195">
        <f t="shared" si="29"/>
        <v>2</v>
      </c>
      <c r="D960" s="195">
        <v>36.5</v>
      </c>
      <c r="E960" s="705">
        <f t="shared" si="30"/>
        <v>2.5</v>
      </c>
    </row>
    <row r="961" spans="2:5">
      <c r="B961" s="943">
        <v>44966</v>
      </c>
      <c r="C961" s="195">
        <f t="shared" si="29"/>
        <v>2</v>
      </c>
      <c r="D961" s="195">
        <v>37.4</v>
      </c>
      <c r="E961" s="705">
        <f t="shared" si="30"/>
        <v>2.9999999999999991</v>
      </c>
    </row>
    <row r="962" spans="2:5">
      <c r="B962" s="943">
        <v>44966</v>
      </c>
      <c r="C962" s="195">
        <f t="shared" si="29"/>
        <v>2</v>
      </c>
      <c r="D962" s="195">
        <v>38.5</v>
      </c>
      <c r="E962" s="705">
        <f t="shared" si="30"/>
        <v>3.6111111111111112</v>
      </c>
    </row>
    <row r="963" spans="2:5">
      <c r="B963" s="943">
        <v>44966</v>
      </c>
      <c r="C963" s="195">
        <f t="shared" si="29"/>
        <v>2</v>
      </c>
      <c r="D963" s="195">
        <v>39.200000000000003</v>
      </c>
      <c r="E963" s="705">
        <f t="shared" si="30"/>
        <v>4.0000000000000018</v>
      </c>
    </row>
    <row r="964" spans="2:5">
      <c r="B964" s="943">
        <v>44966</v>
      </c>
      <c r="C964" s="195">
        <f t="shared" si="29"/>
        <v>2</v>
      </c>
      <c r="D964" s="195">
        <v>39.9</v>
      </c>
      <c r="E964" s="705">
        <f t="shared" si="30"/>
        <v>4.3888888888888884</v>
      </c>
    </row>
    <row r="965" spans="2:5">
      <c r="B965" s="943">
        <v>44966</v>
      </c>
      <c r="C965" s="195">
        <f t="shared" si="29"/>
        <v>2</v>
      </c>
      <c r="D965" s="195">
        <v>40.299999999999997</v>
      </c>
      <c r="E965" s="705">
        <f t="shared" si="30"/>
        <v>4.6111111111111098</v>
      </c>
    </row>
    <row r="966" spans="2:5">
      <c r="B966" s="943">
        <v>44966</v>
      </c>
      <c r="C966" s="195">
        <f t="shared" si="29"/>
        <v>2</v>
      </c>
      <c r="D966" s="195">
        <v>40.299999999999997</v>
      </c>
      <c r="E966" s="705">
        <f t="shared" si="30"/>
        <v>4.6111111111111098</v>
      </c>
    </row>
    <row r="967" spans="2:5">
      <c r="B967" s="943">
        <v>44966</v>
      </c>
      <c r="C967" s="195">
        <f t="shared" si="29"/>
        <v>2</v>
      </c>
      <c r="D967" s="195">
        <v>40.1</v>
      </c>
      <c r="E967" s="705">
        <f t="shared" si="30"/>
        <v>4.5000000000000009</v>
      </c>
    </row>
    <row r="968" spans="2:5">
      <c r="B968" s="943">
        <v>44966</v>
      </c>
      <c r="C968" s="195">
        <f t="shared" si="29"/>
        <v>2</v>
      </c>
      <c r="D968" s="195">
        <v>39.4</v>
      </c>
      <c r="E968" s="705">
        <f t="shared" si="30"/>
        <v>4.1111111111111098</v>
      </c>
    </row>
    <row r="969" spans="2:5">
      <c r="B969" s="943">
        <v>44967</v>
      </c>
      <c r="C969" s="195">
        <f t="shared" si="29"/>
        <v>2</v>
      </c>
      <c r="D969" s="195">
        <v>38.299999999999997</v>
      </c>
      <c r="E969" s="705">
        <f t="shared" si="30"/>
        <v>3.4999999999999982</v>
      </c>
    </row>
    <row r="970" spans="2:5">
      <c r="B970" s="943">
        <v>44967</v>
      </c>
      <c r="C970" s="195">
        <f t="shared" ref="C970:C1033" si="31">MONTH(B970)</f>
        <v>2</v>
      </c>
      <c r="D970" s="195">
        <v>37.4</v>
      </c>
      <c r="E970" s="705">
        <f t="shared" ref="E970:E1033" si="32">CONVERT(D970,"F","C")</f>
        <v>2.9999999999999991</v>
      </c>
    </row>
    <row r="971" spans="2:5">
      <c r="B971" s="943">
        <v>44967</v>
      </c>
      <c r="C971" s="195">
        <f t="shared" si="31"/>
        <v>2</v>
      </c>
      <c r="D971" s="195">
        <v>36.9</v>
      </c>
      <c r="E971" s="705">
        <f t="shared" si="32"/>
        <v>2.7222222222222214</v>
      </c>
    </row>
    <row r="972" spans="2:5">
      <c r="B972" s="943">
        <v>44967</v>
      </c>
      <c r="C972" s="195">
        <f t="shared" si="31"/>
        <v>2</v>
      </c>
      <c r="D972" s="195">
        <v>36.700000000000003</v>
      </c>
      <c r="E972" s="705">
        <f t="shared" si="32"/>
        <v>2.6111111111111125</v>
      </c>
    </row>
    <row r="973" spans="2:5">
      <c r="B973" s="943">
        <v>44967</v>
      </c>
      <c r="C973" s="195">
        <f t="shared" si="31"/>
        <v>2</v>
      </c>
      <c r="D973" s="195">
        <v>37.200000000000003</v>
      </c>
      <c r="E973" s="705">
        <f t="shared" si="32"/>
        <v>2.8888888888888906</v>
      </c>
    </row>
    <row r="974" spans="2:5">
      <c r="B974" s="943">
        <v>44967</v>
      </c>
      <c r="C974" s="195">
        <f t="shared" si="31"/>
        <v>2</v>
      </c>
      <c r="D974" s="195">
        <v>38.700000000000003</v>
      </c>
      <c r="E974" s="705">
        <f t="shared" si="32"/>
        <v>3.7222222222222237</v>
      </c>
    </row>
    <row r="975" spans="2:5">
      <c r="B975" s="943">
        <v>44967</v>
      </c>
      <c r="C975" s="195">
        <f t="shared" si="31"/>
        <v>2</v>
      </c>
      <c r="D975" s="195">
        <v>39.4</v>
      </c>
      <c r="E975" s="705">
        <f t="shared" si="32"/>
        <v>4.1111111111111098</v>
      </c>
    </row>
    <row r="976" spans="2:5">
      <c r="B976" s="943">
        <v>44967</v>
      </c>
      <c r="C976" s="195">
        <f t="shared" si="31"/>
        <v>2</v>
      </c>
      <c r="D976" s="195">
        <v>40.299999999999997</v>
      </c>
      <c r="E976" s="705">
        <f t="shared" si="32"/>
        <v>4.6111111111111098</v>
      </c>
    </row>
    <row r="977" spans="2:5">
      <c r="B977" s="943">
        <v>44967</v>
      </c>
      <c r="C977" s="195">
        <f t="shared" si="31"/>
        <v>2</v>
      </c>
      <c r="D977" s="195">
        <v>40.5</v>
      </c>
      <c r="E977" s="705">
        <f t="shared" si="32"/>
        <v>4.7222222222222223</v>
      </c>
    </row>
    <row r="978" spans="2:5">
      <c r="B978" s="943">
        <v>44967</v>
      </c>
      <c r="C978" s="195">
        <f t="shared" si="31"/>
        <v>2</v>
      </c>
      <c r="D978" s="195">
        <v>40.5</v>
      </c>
      <c r="E978" s="705">
        <f t="shared" si="32"/>
        <v>4.7222222222222223</v>
      </c>
    </row>
    <row r="979" spans="2:5">
      <c r="B979" s="943">
        <v>44967</v>
      </c>
      <c r="C979" s="195">
        <f t="shared" si="31"/>
        <v>2</v>
      </c>
      <c r="D979" s="195">
        <v>40.299999999999997</v>
      </c>
      <c r="E979" s="705">
        <f t="shared" si="32"/>
        <v>4.6111111111111098</v>
      </c>
    </row>
    <row r="980" spans="2:5">
      <c r="B980" s="943">
        <v>44967</v>
      </c>
      <c r="C980" s="195">
        <f t="shared" si="31"/>
        <v>2</v>
      </c>
      <c r="D980" s="195">
        <v>39.9</v>
      </c>
      <c r="E980" s="705">
        <f t="shared" si="32"/>
        <v>4.3888888888888884</v>
      </c>
    </row>
    <row r="981" spans="2:5">
      <c r="B981" s="943">
        <v>44967</v>
      </c>
      <c r="C981" s="195">
        <f t="shared" si="31"/>
        <v>2</v>
      </c>
      <c r="D981" s="195" t="s">
        <v>1431</v>
      </c>
      <c r="E981" s="705">
        <f t="shared" si="32"/>
        <v>3.8888888888888888</v>
      </c>
    </row>
    <row r="982" spans="2:5">
      <c r="B982" s="943">
        <v>44967</v>
      </c>
      <c r="C982" s="195">
        <f t="shared" si="31"/>
        <v>2</v>
      </c>
      <c r="D982" s="195">
        <v>37.9</v>
      </c>
      <c r="E982" s="705">
        <f t="shared" si="32"/>
        <v>3.2777777777777768</v>
      </c>
    </row>
    <row r="983" spans="2:5">
      <c r="B983" s="943">
        <v>44967</v>
      </c>
      <c r="C983" s="195">
        <f t="shared" si="31"/>
        <v>2</v>
      </c>
      <c r="D983" s="195">
        <v>37.4</v>
      </c>
      <c r="E983" s="705">
        <f t="shared" si="32"/>
        <v>2.9999999999999991</v>
      </c>
    </row>
    <row r="984" spans="2:5">
      <c r="B984" s="943">
        <v>44967</v>
      </c>
      <c r="C984" s="195">
        <f t="shared" si="31"/>
        <v>2</v>
      </c>
      <c r="D984" s="195" t="s">
        <v>1432</v>
      </c>
      <c r="E984" s="705">
        <f t="shared" si="32"/>
        <v>2.7777777777777777</v>
      </c>
    </row>
    <row r="985" spans="2:5">
      <c r="B985" s="943">
        <v>44967</v>
      </c>
      <c r="C985" s="195">
        <f t="shared" si="31"/>
        <v>2</v>
      </c>
      <c r="D985" s="195">
        <v>37.6</v>
      </c>
      <c r="E985" s="705">
        <f t="shared" si="32"/>
        <v>3.1111111111111116</v>
      </c>
    </row>
    <row r="986" spans="2:5">
      <c r="B986" s="943">
        <v>44967</v>
      </c>
      <c r="C986" s="195">
        <f t="shared" si="31"/>
        <v>2</v>
      </c>
      <c r="D986" s="195">
        <v>38.700000000000003</v>
      </c>
      <c r="E986" s="705">
        <f t="shared" si="32"/>
        <v>3.7222222222222237</v>
      </c>
    </row>
    <row r="987" spans="2:5">
      <c r="B987" s="943">
        <v>44967</v>
      </c>
      <c r="C987" s="195">
        <f t="shared" si="31"/>
        <v>2</v>
      </c>
      <c r="D987" s="195">
        <v>39.4</v>
      </c>
      <c r="E987" s="705">
        <f t="shared" si="32"/>
        <v>4.1111111111111098</v>
      </c>
    </row>
    <row r="988" spans="2:5">
      <c r="B988" s="943">
        <v>44967</v>
      </c>
      <c r="C988" s="195">
        <f t="shared" si="31"/>
        <v>2</v>
      </c>
      <c r="D988" s="195">
        <v>40.1</v>
      </c>
      <c r="E988" s="705">
        <f t="shared" si="32"/>
        <v>4.5000000000000009</v>
      </c>
    </row>
    <row r="989" spans="2:5">
      <c r="B989" s="943">
        <v>44967</v>
      </c>
      <c r="C989" s="195">
        <f t="shared" si="31"/>
        <v>2</v>
      </c>
      <c r="D989" s="195">
        <v>40.5</v>
      </c>
      <c r="E989" s="705">
        <f t="shared" si="32"/>
        <v>4.7222222222222223</v>
      </c>
    </row>
    <row r="990" spans="2:5">
      <c r="B990" s="943">
        <v>44967</v>
      </c>
      <c r="C990" s="195">
        <f t="shared" si="31"/>
        <v>2</v>
      </c>
      <c r="D990" s="195">
        <v>40.6</v>
      </c>
      <c r="E990" s="705">
        <f t="shared" si="32"/>
        <v>4.7777777777777786</v>
      </c>
    </row>
    <row r="991" spans="2:5">
      <c r="B991" s="943">
        <v>44967</v>
      </c>
      <c r="C991" s="195">
        <f t="shared" si="31"/>
        <v>2</v>
      </c>
      <c r="D991" s="195">
        <v>40.6</v>
      </c>
      <c r="E991" s="705">
        <f t="shared" si="32"/>
        <v>4.7777777777777786</v>
      </c>
    </row>
    <row r="992" spans="2:5">
      <c r="B992" s="943">
        <v>44967</v>
      </c>
      <c r="C992" s="195">
        <f t="shared" si="31"/>
        <v>2</v>
      </c>
      <c r="D992" s="195">
        <v>40.1</v>
      </c>
      <c r="E992" s="705">
        <f t="shared" si="32"/>
        <v>4.5000000000000009</v>
      </c>
    </row>
    <row r="993" spans="2:5">
      <c r="B993" s="943">
        <v>44968</v>
      </c>
      <c r="C993" s="195">
        <f t="shared" si="31"/>
        <v>2</v>
      </c>
      <c r="D993" s="195">
        <v>39.4</v>
      </c>
      <c r="E993" s="705">
        <f t="shared" si="32"/>
        <v>4.1111111111111098</v>
      </c>
    </row>
    <row r="994" spans="2:5">
      <c r="B994" s="943">
        <v>44968</v>
      </c>
      <c r="C994" s="195">
        <f t="shared" si="31"/>
        <v>2</v>
      </c>
      <c r="D994" s="195">
        <v>38.5</v>
      </c>
      <c r="E994" s="705">
        <f t="shared" si="32"/>
        <v>3.6111111111111112</v>
      </c>
    </row>
    <row r="995" spans="2:5">
      <c r="B995" s="943">
        <v>44968</v>
      </c>
      <c r="C995" s="195">
        <f t="shared" si="31"/>
        <v>2</v>
      </c>
      <c r="D995" s="195">
        <v>37.799999999999997</v>
      </c>
      <c r="E995" s="705">
        <f t="shared" si="32"/>
        <v>3.2222222222222205</v>
      </c>
    </row>
    <row r="996" spans="2:5">
      <c r="B996" s="943">
        <v>44968</v>
      </c>
      <c r="C996" s="195">
        <f t="shared" si="31"/>
        <v>2</v>
      </c>
      <c r="D996" s="195">
        <v>37.4</v>
      </c>
      <c r="E996" s="705">
        <f t="shared" si="32"/>
        <v>2.9999999999999991</v>
      </c>
    </row>
    <row r="997" spans="2:5">
      <c r="B997" s="943">
        <v>44968</v>
      </c>
      <c r="C997" s="195">
        <f t="shared" si="31"/>
        <v>2</v>
      </c>
      <c r="D997" s="195">
        <v>37.6</v>
      </c>
      <c r="E997" s="705">
        <f t="shared" si="32"/>
        <v>3.1111111111111116</v>
      </c>
    </row>
    <row r="998" spans="2:5">
      <c r="B998" s="943">
        <v>44968</v>
      </c>
      <c r="C998" s="195">
        <f t="shared" si="31"/>
        <v>2</v>
      </c>
      <c r="D998" s="195">
        <v>38.5</v>
      </c>
      <c r="E998" s="705">
        <f t="shared" si="32"/>
        <v>3.6111111111111112</v>
      </c>
    </row>
    <row r="999" spans="2:5">
      <c r="B999" s="943">
        <v>44968</v>
      </c>
      <c r="C999" s="195">
        <f t="shared" si="31"/>
        <v>2</v>
      </c>
      <c r="D999" s="195">
        <v>39.4</v>
      </c>
      <c r="E999" s="705">
        <f t="shared" si="32"/>
        <v>4.1111111111111098</v>
      </c>
    </row>
    <row r="1000" spans="2:5">
      <c r="B1000" s="943">
        <v>44968</v>
      </c>
      <c r="C1000" s="195">
        <f t="shared" si="31"/>
        <v>2</v>
      </c>
      <c r="D1000" s="195">
        <v>40.1</v>
      </c>
      <c r="E1000" s="705">
        <f t="shared" si="32"/>
        <v>4.5000000000000009</v>
      </c>
    </row>
    <row r="1001" spans="2:5">
      <c r="B1001" s="943">
        <v>44968</v>
      </c>
      <c r="C1001" s="195">
        <f t="shared" si="31"/>
        <v>2</v>
      </c>
      <c r="D1001" s="195">
        <v>40.5</v>
      </c>
      <c r="E1001" s="705">
        <f t="shared" si="32"/>
        <v>4.7222222222222223</v>
      </c>
    </row>
    <row r="1002" spans="2:5">
      <c r="B1002" s="943">
        <v>44968</v>
      </c>
      <c r="C1002" s="195">
        <f t="shared" si="31"/>
        <v>2</v>
      </c>
      <c r="D1002" s="195">
        <v>40.6</v>
      </c>
      <c r="E1002" s="705">
        <f t="shared" si="32"/>
        <v>4.7777777777777786</v>
      </c>
    </row>
    <row r="1003" spans="2:5">
      <c r="B1003" s="943">
        <v>44968</v>
      </c>
      <c r="C1003" s="195">
        <f t="shared" si="31"/>
        <v>2</v>
      </c>
      <c r="D1003" s="195">
        <v>40.6</v>
      </c>
      <c r="E1003" s="705">
        <f t="shared" si="32"/>
        <v>4.7777777777777786</v>
      </c>
    </row>
    <row r="1004" spans="2:5">
      <c r="B1004" s="943">
        <v>44968</v>
      </c>
      <c r="C1004" s="195">
        <f t="shared" si="31"/>
        <v>2</v>
      </c>
      <c r="D1004" s="195">
        <v>40.5</v>
      </c>
      <c r="E1004" s="705">
        <f t="shared" si="32"/>
        <v>4.7222222222222223</v>
      </c>
    </row>
    <row r="1005" spans="2:5">
      <c r="B1005" s="943">
        <v>44968</v>
      </c>
      <c r="C1005" s="195">
        <f t="shared" si="31"/>
        <v>2</v>
      </c>
      <c r="D1005" s="195">
        <v>39.6</v>
      </c>
      <c r="E1005" s="705">
        <f t="shared" si="32"/>
        <v>4.2222222222222232</v>
      </c>
    </row>
    <row r="1006" spans="2:5">
      <c r="B1006" s="943">
        <v>44968</v>
      </c>
      <c r="C1006" s="195">
        <f t="shared" si="31"/>
        <v>2</v>
      </c>
      <c r="D1006" s="195">
        <v>38.700000000000003</v>
      </c>
      <c r="E1006" s="705">
        <f t="shared" si="32"/>
        <v>3.7222222222222237</v>
      </c>
    </row>
    <row r="1007" spans="2:5">
      <c r="B1007" s="943">
        <v>44968</v>
      </c>
      <c r="C1007" s="195">
        <f t="shared" si="31"/>
        <v>2</v>
      </c>
      <c r="D1007" s="195">
        <v>37.9</v>
      </c>
      <c r="E1007" s="705">
        <f t="shared" si="32"/>
        <v>3.2777777777777768</v>
      </c>
    </row>
    <row r="1008" spans="2:5">
      <c r="B1008" s="943">
        <v>44968</v>
      </c>
      <c r="C1008" s="195">
        <f t="shared" si="31"/>
        <v>2</v>
      </c>
      <c r="D1008" s="195">
        <v>37.4</v>
      </c>
      <c r="E1008" s="705">
        <f t="shared" si="32"/>
        <v>2.9999999999999991</v>
      </c>
    </row>
    <row r="1009" spans="2:5">
      <c r="B1009" s="943">
        <v>44968</v>
      </c>
      <c r="C1009" s="195">
        <f t="shared" si="31"/>
        <v>2</v>
      </c>
      <c r="D1009" s="195">
        <v>37.4</v>
      </c>
      <c r="E1009" s="705">
        <f t="shared" si="32"/>
        <v>2.9999999999999991</v>
      </c>
    </row>
    <row r="1010" spans="2:5">
      <c r="B1010" s="943">
        <v>44968</v>
      </c>
      <c r="C1010" s="195">
        <f t="shared" si="31"/>
        <v>2</v>
      </c>
      <c r="D1010" s="195">
        <v>37.799999999999997</v>
      </c>
      <c r="E1010" s="705">
        <f t="shared" si="32"/>
        <v>3.2222222222222205</v>
      </c>
    </row>
    <row r="1011" spans="2:5">
      <c r="B1011" s="943">
        <v>44968</v>
      </c>
      <c r="C1011" s="195">
        <f t="shared" si="31"/>
        <v>2</v>
      </c>
      <c r="D1011" s="195" t="s">
        <v>1431</v>
      </c>
      <c r="E1011" s="705">
        <f t="shared" si="32"/>
        <v>3.8888888888888888</v>
      </c>
    </row>
    <row r="1012" spans="2:5">
      <c r="B1012" s="943">
        <v>44968</v>
      </c>
      <c r="C1012" s="195">
        <f t="shared" si="31"/>
        <v>2</v>
      </c>
      <c r="D1012" s="195">
        <v>39.6</v>
      </c>
      <c r="E1012" s="705">
        <f t="shared" si="32"/>
        <v>4.2222222222222232</v>
      </c>
    </row>
    <row r="1013" spans="2:5">
      <c r="B1013" s="943">
        <v>44968</v>
      </c>
      <c r="C1013" s="195">
        <f t="shared" si="31"/>
        <v>2</v>
      </c>
      <c r="D1013" s="195">
        <v>40.5</v>
      </c>
      <c r="E1013" s="705">
        <f t="shared" si="32"/>
        <v>4.7222222222222223</v>
      </c>
    </row>
    <row r="1014" spans="2:5">
      <c r="B1014" s="943">
        <v>44968</v>
      </c>
      <c r="C1014" s="195">
        <f t="shared" si="31"/>
        <v>2</v>
      </c>
      <c r="D1014" s="195" t="s">
        <v>1429</v>
      </c>
      <c r="E1014" s="705">
        <f t="shared" si="32"/>
        <v>5</v>
      </c>
    </row>
    <row r="1015" spans="2:5">
      <c r="B1015" s="943">
        <v>44968</v>
      </c>
      <c r="C1015" s="195">
        <f t="shared" si="31"/>
        <v>2</v>
      </c>
      <c r="D1015" s="195" t="s">
        <v>1429</v>
      </c>
      <c r="E1015" s="705">
        <f t="shared" si="32"/>
        <v>5</v>
      </c>
    </row>
    <row r="1016" spans="2:5">
      <c r="B1016" s="943">
        <v>44968</v>
      </c>
      <c r="C1016" s="195">
        <f t="shared" si="31"/>
        <v>2</v>
      </c>
      <c r="D1016" s="195">
        <v>40.799999999999997</v>
      </c>
      <c r="E1016" s="705">
        <f t="shared" si="32"/>
        <v>4.8888888888888875</v>
      </c>
    </row>
    <row r="1017" spans="2:5">
      <c r="B1017" s="943">
        <v>44969</v>
      </c>
      <c r="C1017" s="195">
        <f t="shared" si="31"/>
        <v>2</v>
      </c>
      <c r="D1017" s="195">
        <v>40.299999999999997</v>
      </c>
      <c r="E1017" s="705">
        <f t="shared" si="32"/>
        <v>4.6111111111111098</v>
      </c>
    </row>
    <row r="1018" spans="2:5">
      <c r="B1018" s="943">
        <v>44969</v>
      </c>
      <c r="C1018" s="195">
        <f t="shared" si="31"/>
        <v>2</v>
      </c>
      <c r="D1018" s="195">
        <v>39.4</v>
      </c>
      <c r="E1018" s="705">
        <f t="shared" si="32"/>
        <v>4.1111111111111098</v>
      </c>
    </row>
    <row r="1019" spans="2:5">
      <c r="B1019" s="943">
        <v>44969</v>
      </c>
      <c r="C1019" s="195">
        <f t="shared" si="31"/>
        <v>2</v>
      </c>
      <c r="D1019" s="195">
        <v>38.5</v>
      </c>
      <c r="E1019" s="705">
        <f t="shared" si="32"/>
        <v>3.6111111111111112</v>
      </c>
    </row>
    <row r="1020" spans="2:5">
      <c r="B1020" s="943">
        <v>44969</v>
      </c>
      <c r="C1020" s="195">
        <f t="shared" si="31"/>
        <v>2</v>
      </c>
      <c r="D1020" s="195">
        <v>37.9</v>
      </c>
      <c r="E1020" s="705">
        <f t="shared" si="32"/>
        <v>3.2777777777777768</v>
      </c>
    </row>
    <row r="1021" spans="2:5">
      <c r="B1021" s="943">
        <v>44969</v>
      </c>
      <c r="C1021" s="195">
        <f t="shared" si="31"/>
        <v>2</v>
      </c>
      <c r="D1021" s="195">
        <v>37.6</v>
      </c>
      <c r="E1021" s="705">
        <f t="shared" si="32"/>
        <v>3.1111111111111116</v>
      </c>
    </row>
    <row r="1022" spans="2:5">
      <c r="B1022" s="943">
        <v>44969</v>
      </c>
      <c r="C1022" s="195">
        <f t="shared" si="31"/>
        <v>2</v>
      </c>
      <c r="D1022" s="195">
        <v>38.1</v>
      </c>
      <c r="E1022" s="705">
        <f t="shared" si="32"/>
        <v>3.3888888888888897</v>
      </c>
    </row>
    <row r="1023" spans="2:5">
      <c r="B1023" s="943">
        <v>44969</v>
      </c>
      <c r="C1023" s="195">
        <f t="shared" si="31"/>
        <v>2</v>
      </c>
      <c r="D1023" s="195" t="s">
        <v>1431</v>
      </c>
      <c r="E1023" s="705">
        <f t="shared" si="32"/>
        <v>3.8888888888888888</v>
      </c>
    </row>
    <row r="1024" spans="2:5">
      <c r="B1024" s="943">
        <v>44969</v>
      </c>
      <c r="C1024" s="195">
        <f t="shared" si="31"/>
        <v>2</v>
      </c>
      <c r="D1024" s="195">
        <v>39.9</v>
      </c>
      <c r="E1024" s="705">
        <f t="shared" si="32"/>
        <v>4.3888888888888884</v>
      </c>
    </row>
    <row r="1025" spans="2:5">
      <c r="B1025" s="943">
        <v>44969</v>
      </c>
      <c r="C1025" s="195">
        <f t="shared" si="31"/>
        <v>2</v>
      </c>
      <c r="D1025" s="195">
        <v>40.299999999999997</v>
      </c>
      <c r="E1025" s="705">
        <f t="shared" si="32"/>
        <v>4.6111111111111098</v>
      </c>
    </row>
    <row r="1026" spans="2:5">
      <c r="B1026" s="943">
        <v>44969</v>
      </c>
      <c r="C1026" s="195">
        <f t="shared" si="31"/>
        <v>2</v>
      </c>
      <c r="D1026" s="195">
        <v>40.799999999999997</v>
      </c>
      <c r="E1026" s="705">
        <f t="shared" si="32"/>
        <v>4.8888888888888875</v>
      </c>
    </row>
    <row r="1027" spans="2:5">
      <c r="B1027" s="943">
        <v>44969</v>
      </c>
      <c r="C1027" s="195">
        <f t="shared" si="31"/>
        <v>2</v>
      </c>
      <c r="D1027" s="195" t="s">
        <v>1429</v>
      </c>
      <c r="E1027" s="705">
        <f t="shared" si="32"/>
        <v>5</v>
      </c>
    </row>
    <row r="1028" spans="2:5">
      <c r="B1028" s="943">
        <v>44969</v>
      </c>
      <c r="C1028" s="195">
        <f t="shared" si="31"/>
        <v>2</v>
      </c>
      <c r="D1028" s="195">
        <v>40.799999999999997</v>
      </c>
      <c r="E1028" s="705">
        <f t="shared" si="32"/>
        <v>4.8888888888888875</v>
      </c>
    </row>
    <row r="1029" spans="2:5">
      <c r="B1029" s="943">
        <v>44969</v>
      </c>
      <c r="C1029" s="195">
        <f t="shared" si="31"/>
        <v>2</v>
      </c>
      <c r="D1029" s="195">
        <v>40.5</v>
      </c>
      <c r="E1029" s="705">
        <f t="shared" si="32"/>
        <v>4.7222222222222223</v>
      </c>
    </row>
    <row r="1030" spans="2:5">
      <c r="B1030" s="943">
        <v>44969</v>
      </c>
      <c r="C1030" s="195">
        <f t="shared" si="31"/>
        <v>2</v>
      </c>
      <c r="D1030" s="195">
        <v>39.700000000000003</v>
      </c>
      <c r="E1030" s="705">
        <f t="shared" si="32"/>
        <v>4.2777777777777795</v>
      </c>
    </row>
    <row r="1031" spans="2:5">
      <c r="B1031" s="943">
        <v>44969</v>
      </c>
      <c r="C1031" s="195">
        <f t="shared" si="31"/>
        <v>2</v>
      </c>
      <c r="D1031" s="195">
        <v>38.700000000000003</v>
      </c>
      <c r="E1031" s="705">
        <f t="shared" si="32"/>
        <v>3.7222222222222237</v>
      </c>
    </row>
    <row r="1032" spans="2:5">
      <c r="B1032" s="943">
        <v>44969</v>
      </c>
      <c r="C1032" s="195">
        <f t="shared" si="31"/>
        <v>2</v>
      </c>
      <c r="D1032" s="195">
        <v>37.9</v>
      </c>
      <c r="E1032" s="705">
        <f t="shared" si="32"/>
        <v>3.2777777777777768</v>
      </c>
    </row>
    <row r="1033" spans="2:5">
      <c r="B1033" s="943">
        <v>44969</v>
      </c>
      <c r="C1033" s="195">
        <f t="shared" si="31"/>
        <v>2</v>
      </c>
      <c r="D1033" s="195">
        <v>37.799999999999997</v>
      </c>
      <c r="E1033" s="705">
        <f t="shared" si="32"/>
        <v>3.2222222222222205</v>
      </c>
    </row>
    <row r="1034" spans="2:5">
      <c r="B1034" s="943">
        <v>44969</v>
      </c>
      <c r="C1034" s="195">
        <f t="shared" ref="C1034:C1097" si="33">MONTH(B1034)</f>
        <v>2</v>
      </c>
      <c r="D1034" s="195">
        <v>37.799999999999997</v>
      </c>
      <c r="E1034" s="705">
        <f t="shared" ref="E1034:E1097" si="34">CONVERT(D1034,"F","C")</f>
        <v>3.2222222222222205</v>
      </c>
    </row>
    <row r="1035" spans="2:5">
      <c r="B1035" s="943">
        <v>44969</v>
      </c>
      <c r="C1035" s="195">
        <f t="shared" si="33"/>
        <v>2</v>
      </c>
      <c r="D1035" s="195">
        <v>38.299999999999997</v>
      </c>
      <c r="E1035" s="705">
        <f t="shared" si="34"/>
        <v>3.4999999999999982</v>
      </c>
    </row>
    <row r="1036" spans="2:5">
      <c r="B1036" s="943">
        <v>44969</v>
      </c>
      <c r="C1036" s="195">
        <f t="shared" si="33"/>
        <v>2</v>
      </c>
      <c r="D1036" s="195">
        <v>39.6</v>
      </c>
      <c r="E1036" s="705">
        <f t="shared" si="34"/>
        <v>4.2222222222222232</v>
      </c>
    </row>
    <row r="1037" spans="2:5">
      <c r="B1037" s="943">
        <v>44969</v>
      </c>
      <c r="C1037" s="195">
        <f t="shared" si="33"/>
        <v>2</v>
      </c>
      <c r="D1037" s="195">
        <v>40.1</v>
      </c>
      <c r="E1037" s="705">
        <f t="shared" si="34"/>
        <v>4.5000000000000009</v>
      </c>
    </row>
    <row r="1038" spans="2:5">
      <c r="B1038" s="943">
        <v>44969</v>
      </c>
      <c r="C1038" s="195">
        <f t="shared" si="33"/>
        <v>2</v>
      </c>
      <c r="D1038" s="195">
        <v>40.799999999999997</v>
      </c>
      <c r="E1038" s="705">
        <f t="shared" si="34"/>
        <v>4.8888888888888875</v>
      </c>
    </row>
    <row r="1039" spans="2:5">
      <c r="B1039" s="943">
        <v>44969</v>
      </c>
      <c r="C1039" s="195">
        <f t="shared" si="33"/>
        <v>2</v>
      </c>
      <c r="D1039" s="195">
        <v>41.2</v>
      </c>
      <c r="E1039" s="705">
        <f t="shared" si="34"/>
        <v>5.1111111111111125</v>
      </c>
    </row>
    <row r="1040" spans="2:5">
      <c r="B1040" s="943">
        <v>44969</v>
      </c>
      <c r="C1040" s="195">
        <f t="shared" si="33"/>
        <v>2</v>
      </c>
      <c r="D1040" s="195" t="s">
        <v>1429</v>
      </c>
      <c r="E1040" s="705">
        <f t="shared" si="34"/>
        <v>5</v>
      </c>
    </row>
    <row r="1041" spans="2:5">
      <c r="B1041" s="943">
        <v>44970</v>
      </c>
      <c r="C1041" s="195">
        <f t="shared" si="33"/>
        <v>2</v>
      </c>
      <c r="D1041" s="195" t="s">
        <v>1429</v>
      </c>
      <c r="E1041" s="705">
        <f t="shared" si="34"/>
        <v>5</v>
      </c>
    </row>
    <row r="1042" spans="2:5">
      <c r="B1042" s="943">
        <v>44970</v>
      </c>
      <c r="C1042" s="195">
        <f t="shared" si="33"/>
        <v>2</v>
      </c>
      <c r="D1042" s="195">
        <v>40.5</v>
      </c>
      <c r="E1042" s="705">
        <f t="shared" si="34"/>
        <v>4.7222222222222223</v>
      </c>
    </row>
    <row r="1043" spans="2:5">
      <c r="B1043" s="943">
        <v>44970</v>
      </c>
      <c r="C1043" s="195">
        <f t="shared" si="33"/>
        <v>2</v>
      </c>
      <c r="D1043" s="195">
        <v>39.4</v>
      </c>
      <c r="E1043" s="705">
        <f t="shared" si="34"/>
        <v>4.1111111111111098</v>
      </c>
    </row>
    <row r="1044" spans="2:5">
      <c r="B1044" s="943">
        <v>44970</v>
      </c>
      <c r="C1044" s="195">
        <f t="shared" si="33"/>
        <v>2</v>
      </c>
      <c r="D1044" s="195">
        <v>38.700000000000003</v>
      </c>
      <c r="E1044" s="705">
        <f t="shared" si="34"/>
        <v>3.7222222222222237</v>
      </c>
    </row>
    <row r="1045" spans="2:5">
      <c r="B1045" s="943">
        <v>44970</v>
      </c>
      <c r="C1045" s="195">
        <f t="shared" si="33"/>
        <v>2</v>
      </c>
      <c r="D1045" s="195">
        <v>38.1</v>
      </c>
      <c r="E1045" s="705">
        <f t="shared" si="34"/>
        <v>3.3888888888888897</v>
      </c>
    </row>
    <row r="1046" spans="2:5">
      <c r="B1046" s="943">
        <v>44970</v>
      </c>
      <c r="C1046" s="195">
        <f t="shared" si="33"/>
        <v>2</v>
      </c>
      <c r="D1046" s="195">
        <v>38.1</v>
      </c>
      <c r="E1046" s="705">
        <f t="shared" si="34"/>
        <v>3.3888888888888897</v>
      </c>
    </row>
    <row r="1047" spans="2:5">
      <c r="B1047" s="943">
        <v>44970</v>
      </c>
      <c r="C1047" s="195">
        <f t="shared" si="33"/>
        <v>2</v>
      </c>
      <c r="D1047" s="195">
        <v>38.5</v>
      </c>
      <c r="E1047" s="705">
        <f t="shared" si="34"/>
        <v>3.6111111111111112</v>
      </c>
    </row>
    <row r="1048" spans="2:5">
      <c r="B1048" s="943">
        <v>44970</v>
      </c>
      <c r="C1048" s="195">
        <f t="shared" si="33"/>
        <v>2</v>
      </c>
      <c r="D1048" s="195">
        <v>39.700000000000003</v>
      </c>
      <c r="E1048" s="705">
        <f t="shared" si="34"/>
        <v>4.2777777777777795</v>
      </c>
    </row>
    <row r="1049" spans="2:5">
      <c r="B1049" s="943">
        <v>44970</v>
      </c>
      <c r="C1049" s="195">
        <f t="shared" si="33"/>
        <v>2</v>
      </c>
      <c r="D1049" s="195">
        <v>40.5</v>
      </c>
      <c r="E1049" s="705">
        <f t="shared" si="34"/>
        <v>4.7222222222222223</v>
      </c>
    </row>
    <row r="1050" spans="2:5">
      <c r="B1050" s="943">
        <v>44970</v>
      </c>
      <c r="C1050" s="195">
        <f t="shared" si="33"/>
        <v>2</v>
      </c>
      <c r="D1050" s="195" t="s">
        <v>1429</v>
      </c>
      <c r="E1050" s="705">
        <f t="shared" si="34"/>
        <v>5</v>
      </c>
    </row>
    <row r="1051" spans="2:5">
      <c r="B1051" s="943">
        <v>44970</v>
      </c>
      <c r="C1051" s="195">
        <f t="shared" si="33"/>
        <v>2</v>
      </c>
      <c r="D1051" s="195">
        <v>41.2</v>
      </c>
      <c r="E1051" s="705">
        <f t="shared" si="34"/>
        <v>5.1111111111111125</v>
      </c>
    </row>
    <row r="1052" spans="2:5">
      <c r="B1052" s="943">
        <v>44970</v>
      </c>
      <c r="C1052" s="195">
        <f t="shared" si="33"/>
        <v>2</v>
      </c>
      <c r="D1052" s="195">
        <v>41.4</v>
      </c>
      <c r="E1052" s="705">
        <f t="shared" si="34"/>
        <v>5.2222222222222214</v>
      </c>
    </row>
    <row r="1053" spans="2:5">
      <c r="B1053" s="943">
        <v>44970</v>
      </c>
      <c r="C1053" s="195">
        <f t="shared" si="33"/>
        <v>2</v>
      </c>
      <c r="D1053" s="195">
        <v>41.2</v>
      </c>
      <c r="E1053" s="705">
        <f t="shared" si="34"/>
        <v>5.1111111111111125</v>
      </c>
    </row>
    <row r="1054" spans="2:5">
      <c r="B1054" s="943">
        <v>44970</v>
      </c>
      <c r="C1054" s="195">
        <f t="shared" si="33"/>
        <v>2</v>
      </c>
      <c r="D1054" s="195">
        <v>40.799999999999997</v>
      </c>
      <c r="E1054" s="705">
        <f t="shared" si="34"/>
        <v>4.8888888888888875</v>
      </c>
    </row>
    <row r="1055" spans="2:5">
      <c r="B1055" s="943">
        <v>44970</v>
      </c>
      <c r="C1055" s="195">
        <f t="shared" si="33"/>
        <v>2</v>
      </c>
      <c r="D1055" s="195">
        <v>40.299999999999997</v>
      </c>
      <c r="E1055" s="705">
        <f t="shared" si="34"/>
        <v>4.6111111111111098</v>
      </c>
    </row>
    <row r="1056" spans="2:5">
      <c r="B1056" s="943">
        <v>44970</v>
      </c>
      <c r="C1056" s="195">
        <f t="shared" si="33"/>
        <v>2</v>
      </c>
      <c r="D1056" s="195">
        <v>39.200000000000003</v>
      </c>
      <c r="E1056" s="705">
        <f t="shared" si="34"/>
        <v>4.0000000000000018</v>
      </c>
    </row>
    <row r="1057" spans="2:5">
      <c r="B1057" s="943">
        <v>44970</v>
      </c>
      <c r="C1057" s="195">
        <f t="shared" si="33"/>
        <v>2</v>
      </c>
      <c r="D1057" s="195">
        <v>38.700000000000003</v>
      </c>
      <c r="E1057" s="705">
        <f t="shared" si="34"/>
        <v>3.7222222222222237</v>
      </c>
    </row>
    <row r="1058" spans="2:5">
      <c r="B1058" s="943">
        <v>44970</v>
      </c>
      <c r="C1058" s="195">
        <f t="shared" si="33"/>
        <v>2</v>
      </c>
      <c r="D1058" s="195">
        <v>38.5</v>
      </c>
      <c r="E1058" s="705">
        <f t="shared" si="34"/>
        <v>3.6111111111111112</v>
      </c>
    </row>
    <row r="1059" spans="2:5">
      <c r="B1059" s="943">
        <v>44970</v>
      </c>
      <c r="C1059" s="195">
        <f t="shared" si="33"/>
        <v>2</v>
      </c>
      <c r="D1059" s="195">
        <v>38.700000000000003</v>
      </c>
      <c r="E1059" s="705">
        <f t="shared" si="34"/>
        <v>3.7222222222222237</v>
      </c>
    </row>
    <row r="1060" spans="2:5">
      <c r="B1060" s="943">
        <v>44970</v>
      </c>
      <c r="C1060" s="195">
        <f t="shared" si="33"/>
        <v>2</v>
      </c>
      <c r="D1060" s="195">
        <v>39.6</v>
      </c>
      <c r="E1060" s="705">
        <f t="shared" si="34"/>
        <v>4.2222222222222232</v>
      </c>
    </row>
    <row r="1061" spans="2:5">
      <c r="B1061" s="943">
        <v>44970</v>
      </c>
      <c r="C1061" s="195">
        <f t="shared" si="33"/>
        <v>2</v>
      </c>
      <c r="D1061" s="195">
        <v>40.299999999999997</v>
      </c>
      <c r="E1061" s="705">
        <f t="shared" si="34"/>
        <v>4.6111111111111098</v>
      </c>
    </row>
    <row r="1062" spans="2:5">
      <c r="B1062" s="943">
        <v>44970</v>
      </c>
      <c r="C1062" s="195">
        <f t="shared" si="33"/>
        <v>2</v>
      </c>
      <c r="D1062" s="195">
        <v>40.799999999999997</v>
      </c>
      <c r="E1062" s="705">
        <f t="shared" si="34"/>
        <v>4.8888888888888875</v>
      </c>
    </row>
    <row r="1063" spans="2:5">
      <c r="B1063" s="943">
        <v>44970</v>
      </c>
      <c r="C1063" s="195">
        <f t="shared" si="33"/>
        <v>2</v>
      </c>
      <c r="D1063" s="195">
        <v>41.2</v>
      </c>
      <c r="E1063" s="705">
        <f t="shared" si="34"/>
        <v>5.1111111111111125</v>
      </c>
    </row>
    <row r="1064" spans="2:5">
      <c r="B1064" s="943">
        <v>44970</v>
      </c>
      <c r="C1064" s="195">
        <f t="shared" si="33"/>
        <v>2</v>
      </c>
      <c r="D1064" s="195">
        <v>41.4</v>
      </c>
      <c r="E1064" s="705">
        <f t="shared" si="34"/>
        <v>5.2222222222222214</v>
      </c>
    </row>
    <row r="1065" spans="2:5">
      <c r="B1065" s="943">
        <v>44971</v>
      </c>
      <c r="C1065" s="195">
        <f t="shared" si="33"/>
        <v>2</v>
      </c>
      <c r="D1065" s="195">
        <v>41.2</v>
      </c>
      <c r="E1065" s="705">
        <f t="shared" si="34"/>
        <v>5.1111111111111125</v>
      </c>
    </row>
    <row r="1066" spans="2:5">
      <c r="B1066" s="943">
        <v>44971</v>
      </c>
      <c r="C1066" s="195">
        <f t="shared" si="33"/>
        <v>2</v>
      </c>
      <c r="D1066" s="195">
        <v>41.2</v>
      </c>
      <c r="E1066" s="705">
        <f t="shared" si="34"/>
        <v>5.1111111111111125</v>
      </c>
    </row>
    <row r="1067" spans="2:5">
      <c r="B1067" s="943">
        <v>44971</v>
      </c>
      <c r="C1067" s="195">
        <f t="shared" si="33"/>
        <v>2</v>
      </c>
      <c r="D1067" s="195">
        <v>40.6</v>
      </c>
      <c r="E1067" s="705">
        <f t="shared" si="34"/>
        <v>4.7777777777777786</v>
      </c>
    </row>
    <row r="1068" spans="2:5">
      <c r="B1068" s="943">
        <v>44971</v>
      </c>
      <c r="C1068" s="195">
        <f t="shared" si="33"/>
        <v>2</v>
      </c>
      <c r="D1068" s="195">
        <v>39.700000000000003</v>
      </c>
      <c r="E1068" s="705">
        <f t="shared" si="34"/>
        <v>4.2777777777777795</v>
      </c>
    </row>
    <row r="1069" spans="2:5">
      <c r="B1069" s="943">
        <v>44971</v>
      </c>
      <c r="C1069" s="195">
        <f t="shared" si="33"/>
        <v>2</v>
      </c>
      <c r="D1069" s="195">
        <v>39.200000000000003</v>
      </c>
      <c r="E1069" s="705">
        <f t="shared" si="34"/>
        <v>4.0000000000000018</v>
      </c>
    </row>
    <row r="1070" spans="2:5">
      <c r="B1070" s="943">
        <v>44971</v>
      </c>
      <c r="C1070" s="195">
        <f t="shared" si="33"/>
        <v>2</v>
      </c>
      <c r="D1070" s="195">
        <v>38.700000000000003</v>
      </c>
      <c r="E1070" s="705">
        <f t="shared" si="34"/>
        <v>3.7222222222222237</v>
      </c>
    </row>
    <row r="1071" spans="2:5">
      <c r="B1071" s="943">
        <v>44971</v>
      </c>
      <c r="C1071" s="195">
        <f t="shared" si="33"/>
        <v>2</v>
      </c>
      <c r="D1071" s="195">
        <v>38.799999999999997</v>
      </c>
      <c r="E1071" s="705">
        <f t="shared" si="34"/>
        <v>3.7777777777777759</v>
      </c>
    </row>
    <row r="1072" spans="2:5">
      <c r="B1072" s="943">
        <v>44971</v>
      </c>
      <c r="C1072" s="195">
        <f t="shared" si="33"/>
        <v>2</v>
      </c>
      <c r="D1072" s="195">
        <v>39.6</v>
      </c>
      <c r="E1072" s="705">
        <f t="shared" si="34"/>
        <v>4.2222222222222232</v>
      </c>
    </row>
    <row r="1073" spans="2:5">
      <c r="B1073" s="943">
        <v>44971</v>
      </c>
      <c r="C1073" s="195">
        <f t="shared" si="33"/>
        <v>2</v>
      </c>
      <c r="D1073" s="195">
        <v>40.299999999999997</v>
      </c>
      <c r="E1073" s="705">
        <f t="shared" si="34"/>
        <v>4.6111111111111098</v>
      </c>
    </row>
    <row r="1074" spans="2:5">
      <c r="B1074" s="943">
        <v>44971</v>
      </c>
      <c r="C1074" s="195">
        <f t="shared" si="33"/>
        <v>2</v>
      </c>
      <c r="D1074" s="195">
        <v>40.5</v>
      </c>
      <c r="E1074" s="705">
        <f t="shared" si="34"/>
        <v>4.7222222222222223</v>
      </c>
    </row>
    <row r="1075" spans="2:5">
      <c r="B1075" s="943">
        <v>44971</v>
      </c>
      <c r="C1075" s="195">
        <f t="shared" si="33"/>
        <v>2</v>
      </c>
      <c r="D1075" s="195">
        <v>40.5</v>
      </c>
      <c r="E1075" s="705">
        <f t="shared" si="34"/>
        <v>4.7222222222222223</v>
      </c>
    </row>
    <row r="1076" spans="2:5">
      <c r="B1076" s="943">
        <v>44971</v>
      </c>
      <c r="C1076" s="195">
        <f t="shared" si="33"/>
        <v>2</v>
      </c>
      <c r="D1076" s="195">
        <v>40.5</v>
      </c>
      <c r="E1076" s="705">
        <f t="shared" si="34"/>
        <v>4.7222222222222223</v>
      </c>
    </row>
    <row r="1077" spans="2:5">
      <c r="B1077" s="943">
        <v>44971</v>
      </c>
      <c r="C1077" s="195">
        <f t="shared" si="33"/>
        <v>2</v>
      </c>
      <c r="D1077" s="195">
        <v>40.5</v>
      </c>
      <c r="E1077" s="705">
        <f t="shared" si="34"/>
        <v>4.7222222222222223</v>
      </c>
    </row>
    <row r="1078" spans="2:5">
      <c r="B1078" s="943">
        <v>44971</v>
      </c>
      <c r="C1078" s="195">
        <f t="shared" si="33"/>
        <v>2</v>
      </c>
      <c r="D1078" s="195">
        <v>40.5</v>
      </c>
      <c r="E1078" s="705">
        <f t="shared" si="34"/>
        <v>4.7222222222222223</v>
      </c>
    </row>
    <row r="1079" spans="2:5">
      <c r="B1079" s="943">
        <v>44971</v>
      </c>
      <c r="C1079" s="195">
        <f t="shared" si="33"/>
        <v>2</v>
      </c>
      <c r="D1079" s="195">
        <v>40.299999999999997</v>
      </c>
      <c r="E1079" s="705">
        <f t="shared" si="34"/>
        <v>4.6111111111111098</v>
      </c>
    </row>
    <row r="1080" spans="2:5">
      <c r="B1080" s="943">
        <v>44971</v>
      </c>
      <c r="C1080" s="195">
        <f t="shared" si="33"/>
        <v>2</v>
      </c>
      <c r="D1080" s="195">
        <v>39.9</v>
      </c>
      <c r="E1080" s="705">
        <f t="shared" si="34"/>
        <v>4.3888888888888884</v>
      </c>
    </row>
    <row r="1081" spans="2:5">
      <c r="B1081" s="943">
        <v>44971</v>
      </c>
      <c r="C1081" s="195">
        <f t="shared" si="33"/>
        <v>2</v>
      </c>
      <c r="D1081" s="195">
        <v>39.4</v>
      </c>
      <c r="E1081" s="705">
        <f t="shared" si="34"/>
        <v>4.1111111111111098</v>
      </c>
    </row>
    <row r="1082" spans="2:5">
      <c r="B1082" s="943">
        <v>44971</v>
      </c>
      <c r="C1082" s="195">
        <f t="shared" si="33"/>
        <v>2</v>
      </c>
      <c r="D1082" s="195" t="s">
        <v>1431</v>
      </c>
      <c r="E1082" s="705">
        <f t="shared" si="34"/>
        <v>3.8888888888888888</v>
      </c>
    </row>
    <row r="1083" spans="2:5">
      <c r="B1083" s="943">
        <v>44971</v>
      </c>
      <c r="C1083" s="195">
        <f t="shared" si="33"/>
        <v>2</v>
      </c>
      <c r="D1083" s="195">
        <v>38.799999999999997</v>
      </c>
      <c r="E1083" s="705">
        <f t="shared" si="34"/>
        <v>3.7777777777777759</v>
      </c>
    </row>
    <row r="1084" spans="2:5">
      <c r="B1084" s="943">
        <v>44971</v>
      </c>
      <c r="C1084" s="195">
        <f t="shared" si="33"/>
        <v>2</v>
      </c>
      <c r="D1084" s="195">
        <v>38.799999999999997</v>
      </c>
      <c r="E1084" s="705">
        <f t="shared" si="34"/>
        <v>3.7777777777777759</v>
      </c>
    </row>
    <row r="1085" spans="2:5">
      <c r="B1085" s="943">
        <v>44971</v>
      </c>
      <c r="C1085" s="195">
        <f t="shared" si="33"/>
        <v>2</v>
      </c>
      <c r="D1085" s="195">
        <v>39.200000000000003</v>
      </c>
      <c r="E1085" s="705">
        <f t="shared" si="34"/>
        <v>4.0000000000000018</v>
      </c>
    </row>
    <row r="1086" spans="2:5">
      <c r="B1086" s="943">
        <v>44971</v>
      </c>
      <c r="C1086" s="195">
        <f t="shared" si="33"/>
        <v>2</v>
      </c>
      <c r="D1086" s="195">
        <v>39.700000000000003</v>
      </c>
      <c r="E1086" s="705">
        <f t="shared" si="34"/>
        <v>4.2777777777777795</v>
      </c>
    </row>
    <row r="1087" spans="2:5">
      <c r="B1087" s="943">
        <v>44971</v>
      </c>
      <c r="C1087" s="195">
        <f t="shared" si="33"/>
        <v>2</v>
      </c>
      <c r="D1087" s="195">
        <v>40.1</v>
      </c>
      <c r="E1087" s="705">
        <f t="shared" si="34"/>
        <v>4.5000000000000009</v>
      </c>
    </row>
    <row r="1088" spans="2:5">
      <c r="B1088" s="943">
        <v>44971</v>
      </c>
      <c r="C1088" s="195">
        <f t="shared" si="33"/>
        <v>2</v>
      </c>
      <c r="D1088" s="195">
        <v>40.5</v>
      </c>
      <c r="E1088" s="705">
        <f t="shared" si="34"/>
        <v>4.7222222222222223</v>
      </c>
    </row>
    <row r="1089" spans="2:5">
      <c r="B1089" s="943">
        <v>44972</v>
      </c>
      <c r="C1089" s="195">
        <f t="shared" si="33"/>
        <v>2</v>
      </c>
      <c r="D1089" s="195">
        <v>40.6</v>
      </c>
      <c r="E1089" s="705">
        <f t="shared" si="34"/>
        <v>4.7777777777777786</v>
      </c>
    </row>
    <row r="1090" spans="2:5">
      <c r="B1090" s="943">
        <v>44972</v>
      </c>
      <c r="C1090" s="195">
        <f t="shared" si="33"/>
        <v>2</v>
      </c>
      <c r="D1090" s="195">
        <v>40.5</v>
      </c>
      <c r="E1090" s="705">
        <f t="shared" si="34"/>
        <v>4.7222222222222223</v>
      </c>
    </row>
    <row r="1091" spans="2:5">
      <c r="B1091" s="943">
        <v>44972</v>
      </c>
      <c r="C1091" s="195">
        <f t="shared" si="33"/>
        <v>2</v>
      </c>
      <c r="D1091" s="195">
        <v>40.5</v>
      </c>
      <c r="E1091" s="705">
        <f t="shared" si="34"/>
        <v>4.7222222222222223</v>
      </c>
    </row>
    <row r="1092" spans="2:5">
      <c r="B1092" s="943">
        <v>44972</v>
      </c>
      <c r="C1092" s="195">
        <f t="shared" si="33"/>
        <v>2</v>
      </c>
      <c r="D1092" s="195">
        <v>39.9</v>
      </c>
      <c r="E1092" s="705">
        <f t="shared" si="34"/>
        <v>4.3888888888888884</v>
      </c>
    </row>
    <row r="1093" spans="2:5">
      <c r="B1093" s="943">
        <v>44972</v>
      </c>
      <c r="C1093" s="195">
        <f t="shared" si="33"/>
        <v>2</v>
      </c>
      <c r="D1093" s="195">
        <v>39.4</v>
      </c>
      <c r="E1093" s="705">
        <f t="shared" si="34"/>
        <v>4.1111111111111098</v>
      </c>
    </row>
    <row r="1094" spans="2:5">
      <c r="B1094" s="943">
        <v>44972</v>
      </c>
      <c r="C1094" s="195">
        <f t="shared" si="33"/>
        <v>2</v>
      </c>
      <c r="D1094" s="195" t="s">
        <v>1431</v>
      </c>
      <c r="E1094" s="705">
        <f t="shared" si="34"/>
        <v>3.8888888888888888</v>
      </c>
    </row>
    <row r="1095" spans="2:5">
      <c r="B1095" s="943">
        <v>44972</v>
      </c>
      <c r="C1095" s="195">
        <f t="shared" si="33"/>
        <v>2</v>
      </c>
      <c r="D1095" s="195">
        <v>38.700000000000003</v>
      </c>
      <c r="E1095" s="705">
        <f t="shared" si="34"/>
        <v>3.7222222222222237</v>
      </c>
    </row>
    <row r="1096" spans="2:5">
      <c r="B1096" s="943">
        <v>44972</v>
      </c>
      <c r="C1096" s="195">
        <f t="shared" si="33"/>
        <v>2</v>
      </c>
      <c r="D1096" s="195">
        <v>38.799999999999997</v>
      </c>
      <c r="E1096" s="705">
        <f t="shared" si="34"/>
        <v>3.7777777777777759</v>
      </c>
    </row>
    <row r="1097" spans="2:5">
      <c r="B1097" s="943">
        <v>44972</v>
      </c>
      <c r="C1097" s="195">
        <f t="shared" si="33"/>
        <v>2</v>
      </c>
      <c r="D1097" s="195">
        <v>39.200000000000003</v>
      </c>
      <c r="E1097" s="705">
        <f t="shared" si="34"/>
        <v>4.0000000000000018</v>
      </c>
    </row>
    <row r="1098" spans="2:5">
      <c r="B1098" s="943">
        <v>44972</v>
      </c>
      <c r="C1098" s="195">
        <f t="shared" ref="C1098:C1161" si="35">MONTH(B1098)</f>
        <v>2</v>
      </c>
      <c r="D1098" s="195">
        <v>39.9</v>
      </c>
      <c r="E1098" s="705">
        <f t="shared" ref="E1098:E1161" si="36">CONVERT(D1098,"F","C")</f>
        <v>4.3888888888888884</v>
      </c>
    </row>
    <row r="1099" spans="2:5">
      <c r="B1099" s="943">
        <v>44972</v>
      </c>
      <c r="C1099" s="195">
        <f t="shared" si="35"/>
        <v>2</v>
      </c>
      <c r="D1099" s="195">
        <v>40.1</v>
      </c>
      <c r="E1099" s="705">
        <f t="shared" si="36"/>
        <v>4.5000000000000009</v>
      </c>
    </row>
    <row r="1100" spans="2:5">
      <c r="B1100" s="943">
        <v>44972</v>
      </c>
      <c r="C1100" s="195">
        <f t="shared" si="35"/>
        <v>2</v>
      </c>
      <c r="D1100" s="195">
        <v>40.299999999999997</v>
      </c>
      <c r="E1100" s="705">
        <f t="shared" si="36"/>
        <v>4.6111111111111098</v>
      </c>
    </row>
    <row r="1101" spans="2:5">
      <c r="B1101" s="943">
        <v>44972</v>
      </c>
      <c r="C1101" s="195">
        <f t="shared" si="35"/>
        <v>2</v>
      </c>
      <c r="D1101" s="195">
        <v>40.5</v>
      </c>
      <c r="E1101" s="705">
        <f t="shared" si="36"/>
        <v>4.7222222222222223</v>
      </c>
    </row>
    <row r="1102" spans="2:5">
      <c r="B1102" s="943">
        <v>44972</v>
      </c>
      <c r="C1102" s="195">
        <f t="shared" si="35"/>
        <v>2</v>
      </c>
      <c r="D1102" s="195">
        <v>40.5</v>
      </c>
      <c r="E1102" s="705">
        <f t="shared" si="36"/>
        <v>4.7222222222222223</v>
      </c>
    </row>
    <row r="1103" spans="2:5">
      <c r="B1103" s="943">
        <v>44972</v>
      </c>
      <c r="C1103" s="195">
        <f t="shared" si="35"/>
        <v>2</v>
      </c>
      <c r="D1103" s="195">
        <v>40.5</v>
      </c>
      <c r="E1103" s="705">
        <f t="shared" si="36"/>
        <v>4.7222222222222223</v>
      </c>
    </row>
    <row r="1104" spans="2:5">
      <c r="B1104" s="943">
        <v>44972</v>
      </c>
      <c r="C1104" s="195">
        <f t="shared" si="35"/>
        <v>2</v>
      </c>
      <c r="D1104" s="195">
        <v>40.299999999999997</v>
      </c>
      <c r="E1104" s="705">
        <f t="shared" si="36"/>
        <v>4.6111111111111098</v>
      </c>
    </row>
    <row r="1105" spans="2:5">
      <c r="B1105" s="943">
        <v>44972</v>
      </c>
      <c r="C1105" s="195">
        <f t="shared" si="35"/>
        <v>2</v>
      </c>
      <c r="D1105" s="195">
        <v>39.700000000000003</v>
      </c>
      <c r="E1105" s="705">
        <f t="shared" si="36"/>
        <v>4.2777777777777795</v>
      </c>
    </row>
    <row r="1106" spans="2:5">
      <c r="B1106" s="943">
        <v>44972</v>
      </c>
      <c r="C1106" s="195">
        <f t="shared" si="35"/>
        <v>2</v>
      </c>
      <c r="D1106" s="195">
        <v>39.200000000000003</v>
      </c>
      <c r="E1106" s="705">
        <f t="shared" si="36"/>
        <v>4.0000000000000018</v>
      </c>
    </row>
    <row r="1107" spans="2:5">
      <c r="B1107" s="943">
        <v>44972</v>
      </c>
      <c r="C1107" s="195">
        <f t="shared" si="35"/>
        <v>2</v>
      </c>
      <c r="D1107" s="195" t="s">
        <v>1431</v>
      </c>
      <c r="E1107" s="705">
        <f t="shared" si="36"/>
        <v>3.8888888888888888</v>
      </c>
    </row>
    <row r="1108" spans="2:5">
      <c r="B1108" s="943">
        <v>44972</v>
      </c>
      <c r="C1108" s="195">
        <f t="shared" si="35"/>
        <v>2</v>
      </c>
      <c r="D1108" s="195">
        <v>38.799999999999997</v>
      </c>
      <c r="E1108" s="705">
        <f t="shared" si="36"/>
        <v>3.7777777777777759</v>
      </c>
    </row>
    <row r="1109" spans="2:5">
      <c r="B1109" s="943">
        <v>44972</v>
      </c>
      <c r="C1109" s="195">
        <f t="shared" si="35"/>
        <v>2</v>
      </c>
      <c r="D1109" s="195">
        <v>38.799999999999997</v>
      </c>
      <c r="E1109" s="705">
        <f t="shared" si="36"/>
        <v>3.7777777777777759</v>
      </c>
    </row>
    <row r="1110" spans="2:5">
      <c r="B1110" s="943">
        <v>44972</v>
      </c>
      <c r="C1110" s="195">
        <f t="shared" si="35"/>
        <v>2</v>
      </c>
      <c r="D1110" s="195">
        <v>39.200000000000003</v>
      </c>
      <c r="E1110" s="705">
        <f t="shared" si="36"/>
        <v>4.0000000000000018</v>
      </c>
    </row>
    <row r="1111" spans="2:5">
      <c r="B1111" s="943">
        <v>44972</v>
      </c>
      <c r="C1111" s="195">
        <f t="shared" si="35"/>
        <v>2</v>
      </c>
      <c r="D1111" s="195">
        <v>39.700000000000003</v>
      </c>
      <c r="E1111" s="705">
        <f t="shared" si="36"/>
        <v>4.2777777777777795</v>
      </c>
    </row>
    <row r="1112" spans="2:5">
      <c r="B1112" s="943">
        <v>44972</v>
      </c>
      <c r="C1112" s="195">
        <f t="shared" si="35"/>
        <v>2</v>
      </c>
      <c r="D1112" s="195">
        <v>40.1</v>
      </c>
      <c r="E1112" s="705">
        <f t="shared" si="36"/>
        <v>4.5000000000000009</v>
      </c>
    </row>
    <row r="1113" spans="2:5">
      <c r="B1113" s="943">
        <v>44973</v>
      </c>
      <c r="C1113" s="195">
        <f t="shared" si="35"/>
        <v>2</v>
      </c>
      <c r="D1113" s="195">
        <v>40.299999999999997</v>
      </c>
      <c r="E1113" s="705">
        <f t="shared" si="36"/>
        <v>4.6111111111111098</v>
      </c>
    </row>
    <row r="1114" spans="2:5">
      <c r="B1114" s="943">
        <v>44973</v>
      </c>
      <c r="C1114" s="195">
        <f t="shared" si="35"/>
        <v>2</v>
      </c>
      <c r="D1114" s="195">
        <v>40.5</v>
      </c>
      <c r="E1114" s="705">
        <f t="shared" si="36"/>
        <v>4.7222222222222223</v>
      </c>
    </row>
    <row r="1115" spans="2:5">
      <c r="B1115" s="943">
        <v>44973</v>
      </c>
      <c r="C1115" s="195">
        <f t="shared" si="35"/>
        <v>2</v>
      </c>
      <c r="D1115" s="195">
        <v>40.5</v>
      </c>
      <c r="E1115" s="705">
        <f t="shared" si="36"/>
        <v>4.7222222222222223</v>
      </c>
    </row>
    <row r="1116" spans="2:5">
      <c r="B1116" s="943">
        <v>44973</v>
      </c>
      <c r="C1116" s="195">
        <f t="shared" si="35"/>
        <v>2</v>
      </c>
      <c r="D1116" s="195">
        <v>40.5</v>
      </c>
      <c r="E1116" s="705">
        <f t="shared" si="36"/>
        <v>4.7222222222222223</v>
      </c>
    </row>
    <row r="1117" spans="2:5">
      <c r="B1117" s="943">
        <v>44973</v>
      </c>
      <c r="C1117" s="195">
        <f t="shared" si="35"/>
        <v>2</v>
      </c>
      <c r="D1117" s="195">
        <v>40.299999999999997</v>
      </c>
      <c r="E1117" s="705">
        <f t="shared" si="36"/>
        <v>4.6111111111111098</v>
      </c>
    </row>
    <row r="1118" spans="2:5">
      <c r="B1118" s="943">
        <v>44973</v>
      </c>
      <c r="C1118" s="195">
        <f t="shared" si="35"/>
        <v>2</v>
      </c>
      <c r="D1118" s="195">
        <v>39.700000000000003</v>
      </c>
      <c r="E1118" s="705">
        <f t="shared" si="36"/>
        <v>4.2777777777777795</v>
      </c>
    </row>
    <row r="1119" spans="2:5">
      <c r="B1119" s="943">
        <v>44973</v>
      </c>
      <c r="C1119" s="195">
        <f t="shared" si="35"/>
        <v>2</v>
      </c>
      <c r="D1119" s="195">
        <v>39.4</v>
      </c>
      <c r="E1119" s="705">
        <f t="shared" si="36"/>
        <v>4.1111111111111098</v>
      </c>
    </row>
    <row r="1120" spans="2:5">
      <c r="B1120" s="943">
        <v>44973</v>
      </c>
      <c r="C1120" s="195">
        <f t="shared" si="35"/>
        <v>2</v>
      </c>
      <c r="D1120" s="195">
        <v>39.200000000000003</v>
      </c>
      <c r="E1120" s="705">
        <f t="shared" si="36"/>
        <v>4.0000000000000018</v>
      </c>
    </row>
    <row r="1121" spans="2:5">
      <c r="B1121" s="943">
        <v>44973</v>
      </c>
      <c r="C1121" s="195">
        <f t="shared" si="35"/>
        <v>2</v>
      </c>
      <c r="D1121" s="195" t="s">
        <v>1431</v>
      </c>
      <c r="E1121" s="705">
        <f t="shared" si="36"/>
        <v>3.8888888888888888</v>
      </c>
    </row>
    <row r="1122" spans="2:5">
      <c r="B1122" s="943">
        <v>44973</v>
      </c>
      <c r="C1122" s="195">
        <f t="shared" si="35"/>
        <v>2</v>
      </c>
      <c r="D1122" s="195">
        <v>39.4</v>
      </c>
      <c r="E1122" s="705">
        <f t="shared" si="36"/>
        <v>4.1111111111111098</v>
      </c>
    </row>
    <row r="1123" spans="2:5">
      <c r="B1123" s="943">
        <v>44973</v>
      </c>
      <c r="C1123" s="195">
        <f t="shared" si="35"/>
        <v>2</v>
      </c>
      <c r="D1123" s="195">
        <v>40.1</v>
      </c>
      <c r="E1123" s="705">
        <f t="shared" si="36"/>
        <v>4.5000000000000009</v>
      </c>
    </row>
    <row r="1124" spans="2:5">
      <c r="B1124" s="943">
        <v>44973</v>
      </c>
      <c r="C1124" s="195">
        <f t="shared" si="35"/>
        <v>2</v>
      </c>
      <c r="D1124" s="195">
        <v>40.299999999999997</v>
      </c>
      <c r="E1124" s="705">
        <f t="shared" si="36"/>
        <v>4.6111111111111098</v>
      </c>
    </row>
    <row r="1125" spans="2:5">
      <c r="B1125" s="943">
        <v>44973</v>
      </c>
      <c r="C1125" s="195">
        <f t="shared" si="35"/>
        <v>2</v>
      </c>
      <c r="D1125" s="195">
        <v>40.6</v>
      </c>
      <c r="E1125" s="705">
        <f t="shared" si="36"/>
        <v>4.7777777777777786</v>
      </c>
    </row>
    <row r="1126" spans="2:5">
      <c r="B1126" s="943">
        <v>44973</v>
      </c>
      <c r="C1126" s="195">
        <f t="shared" si="35"/>
        <v>2</v>
      </c>
      <c r="D1126" s="195">
        <v>40.799999999999997</v>
      </c>
      <c r="E1126" s="705">
        <f t="shared" si="36"/>
        <v>4.8888888888888875</v>
      </c>
    </row>
    <row r="1127" spans="2:5">
      <c r="B1127" s="943">
        <v>44973</v>
      </c>
      <c r="C1127" s="195">
        <f t="shared" si="35"/>
        <v>2</v>
      </c>
      <c r="D1127" s="195">
        <v>40.799999999999997</v>
      </c>
      <c r="E1127" s="705">
        <f t="shared" si="36"/>
        <v>4.8888888888888875</v>
      </c>
    </row>
    <row r="1128" spans="2:5">
      <c r="B1128" s="943">
        <v>44973</v>
      </c>
      <c r="C1128" s="195">
        <f t="shared" si="35"/>
        <v>2</v>
      </c>
      <c r="D1128" s="195">
        <v>40.799999999999997</v>
      </c>
      <c r="E1128" s="705">
        <f t="shared" si="36"/>
        <v>4.8888888888888875</v>
      </c>
    </row>
    <row r="1129" spans="2:5">
      <c r="B1129" s="943">
        <v>44973</v>
      </c>
      <c r="C1129" s="195">
        <f t="shared" si="35"/>
        <v>2</v>
      </c>
      <c r="D1129" s="195">
        <v>40.6</v>
      </c>
      <c r="E1129" s="705">
        <f t="shared" si="36"/>
        <v>4.7777777777777786</v>
      </c>
    </row>
    <row r="1130" spans="2:5">
      <c r="B1130" s="943">
        <v>44973</v>
      </c>
      <c r="C1130" s="195">
        <f t="shared" si="35"/>
        <v>2</v>
      </c>
      <c r="D1130" s="195">
        <v>40.299999999999997</v>
      </c>
      <c r="E1130" s="705">
        <f t="shared" si="36"/>
        <v>4.6111111111111098</v>
      </c>
    </row>
    <row r="1131" spans="2:5">
      <c r="B1131" s="943">
        <v>44973</v>
      </c>
      <c r="C1131" s="195">
        <f t="shared" si="35"/>
        <v>2</v>
      </c>
      <c r="D1131" s="195">
        <v>39.9</v>
      </c>
      <c r="E1131" s="705">
        <f t="shared" si="36"/>
        <v>4.3888888888888884</v>
      </c>
    </row>
    <row r="1132" spans="2:5">
      <c r="B1132" s="943">
        <v>44973</v>
      </c>
      <c r="C1132" s="195">
        <f t="shared" si="35"/>
        <v>2</v>
      </c>
      <c r="D1132" s="195">
        <v>39.700000000000003</v>
      </c>
      <c r="E1132" s="705">
        <f t="shared" si="36"/>
        <v>4.2777777777777795</v>
      </c>
    </row>
    <row r="1133" spans="2:5">
      <c r="B1133" s="943">
        <v>44973</v>
      </c>
      <c r="C1133" s="195">
        <f t="shared" si="35"/>
        <v>2</v>
      </c>
      <c r="D1133" s="195">
        <v>39.6</v>
      </c>
      <c r="E1133" s="705">
        <f t="shared" si="36"/>
        <v>4.2222222222222232</v>
      </c>
    </row>
    <row r="1134" spans="2:5">
      <c r="B1134" s="943">
        <v>44973</v>
      </c>
      <c r="C1134" s="195">
        <f t="shared" si="35"/>
        <v>2</v>
      </c>
      <c r="D1134" s="195">
        <v>39.6</v>
      </c>
      <c r="E1134" s="705">
        <f t="shared" si="36"/>
        <v>4.2222222222222232</v>
      </c>
    </row>
    <row r="1135" spans="2:5">
      <c r="B1135" s="943">
        <v>44973</v>
      </c>
      <c r="C1135" s="195">
        <f t="shared" si="35"/>
        <v>2</v>
      </c>
      <c r="D1135" s="195">
        <v>39.6</v>
      </c>
      <c r="E1135" s="705">
        <f t="shared" si="36"/>
        <v>4.2222222222222232</v>
      </c>
    </row>
    <row r="1136" spans="2:5">
      <c r="B1136" s="943">
        <v>44973</v>
      </c>
      <c r="C1136" s="195">
        <f t="shared" si="35"/>
        <v>2</v>
      </c>
      <c r="D1136" s="195">
        <v>40.299999999999997</v>
      </c>
      <c r="E1136" s="705">
        <f t="shared" si="36"/>
        <v>4.6111111111111098</v>
      </c>
    </row>
    <row r="1137" spans="2:5">
      <c r="B1137" s="943">
        <v>44974</v>
      </c>
      <c r="C1137" s="195">
        <f t="shared" si="35"/>
        <v>2</v>
      </c>
      <c r="D1137" s="195">
        <v>40.6</v>
      </c>
      <c r="E1137" s="705">
        <f t="shared" si="36"/>
        <v>4.7777777777777786</v>
      </c>
    </row>
    <row r="1138" spans="2:5">
      <c r="B1138" s="943">
        <v>44974</v>
      </c>
      <c r="C1138" s="195">
        <f t="shared" si="35"/>
        <v>2</v>
      </c>
      <c r="D1138" s="195">
        <v>40.799999999999997</v>
      </c>
      <c r="E1138" s="705">
        <f t="shared" si="36"/>
        <v>4.8888888888888875</v>
      </c>
    </row>
    <row r="1139" spans="2:5">
      <c r="B1139" s="943">
        <v>44974</v>
      </c>
      <c r="C1139" s="195">
        <f t="shared" si="35"/>
        <v>2</v>
      </c>
      <c r="D1139" s="195" t="s">
        <v>1429</v>
      </c>
      <c r="E1139" s="705">
        <f t="shared" si="36"/>
        <v>5</v>
      </c>
    </row>
    <row r="1140" spans="2:5">
      <c r="B1140" s="943">
        <v>44974</v>
      </c>
      <c r="C1140" s="195">
        <f t="shared" si="35"/>
        <v>2</v>
      </c>
      <c r="D1140" s="195" t="s">
        <v>1429</v>
      </c>
      <c r="E1140" s="705">
        <f t="shared" si="36"/>
        <v>5</v>
      </c>
    </row>
    <row r="1141" spans="2:5">
      <c r="B1141" s="943">
        <v>44974</v>
      </c>
      <c r="C1141" s="195">
        <f t="shared" si="35"/>
        <v>2</v>
      </c>
      <c r="D1141" s="195" t="s">
        <v>1429</v>
      </c>
      <c r="E1141" s="705">
        <f t="shared" si="36"/>
        <v>5</v>
      </c>
    </row>
    <row r="1142" spans="2:5">
      <c r="B1142" s="943">
        <v>44974</v>
      </c>
      <c r="C1142" s="195">
        <f t="shared" si="35"/>
        <v>2</v>
      </c>
      <c r="D1142" s="195">
        <v>40.799999999999997</v>
      </c>
      <c r="E1142" s="705">
        <f t="shared" si="36"/>
        <v>4.8888888888888875</v>
      </c>
    </row>
    <row r="1143" spans="2:5">
      <c r="B1143" s="943">
        <v>44974</v>
      </c>
      <c r="C1143" s="195">
        <f t="shared" si="35"/>
        <v>2</v>
      </c>
      <c r="D1143" s="195">
        <v>40.5</v>
      </c>
      <c r="E1143" s="705">
        <f t="shared" si="36"/>
        <v>4.7222222222222223</v>
      </c>
    </row>
    <row r="1144" spans="2:5">
      <c r="B1144" s="943">
        <v>44974</v>
      </c>
      <c r="C1144" s="195">
        <f t="shared" si="35"/>
        <v>2</v>
      </c>
      <c r="D1144" s="195">
        <v>40.1</v>
      </c>
      <c r="E1144" s="705">
        <f t="shared" si="36"/>
        <v>4.5000000000000009</v>
      </c>
    </row>
    <row r="1145" spans="2:5">
      <c r="B1145" s="943">
        <v>44974</v>
      </c>
      <c r="C1145" s="195">
        <f t="shared" si="35"/>
        <v>2</v>
      </c>
      <c r="D1145" s="195">
        <v>39.9</v>
      </c>
      <c r="E1145" s="705">
        <f t="shared" si="36"/>
        <v>4.3888888888888884</v>
      </c>
    </row>
    <row r="1146" spans="2:5">
      <c r="B1146" s="943">
        <v>44974</v>
      </c>
      <c r="C1146" s="195">
        <f t="shared" si="35"/>
        <v>2</v>
      </c>
      <c r="D1146" s="195">
        <v>39.700000000000003</v>
      </c>
      <c r="E1146" s="705">
        <f t="shared" si="36"/>
        <v>4.2777777777777795</v>
      </c>
    </row>
    <row r="1147" spans="2:5">
      <c r="B1147" s="943">
        <v>44974</v>
      </c>
      <c r="C1147" s="195">
        <f t="shared" si="35"/>
        <v>2</v>
      </c>
      <c r="D1147" s="195">
        <v>40.299999999999997</v>
      </c>
      <c r="E1147" s="705">
        <f t="shared" si="36"/>
        <v>4.6111111111111098</v>
      </c>
    </row>
    <row r="1148" spans="2:5">
      <c r="B1148" s="943">
        <v>44974</v>
      </c>
      <c r="C1148" s="195">
        <f t="shared" si="35"/>
        <v>2</v>
      </c>
      <c r="D1148" s="195">
        <v>40.6</v>
      </c>
      <c r="E1148" s="705">
        <f t="shared" si="36"/>
        <v>4.7777777777777786</v>
      </c>
    </row>
    <row r="1149" spans="2:5">
      <c r="B1149" s="943">
        <v>44974</v>
      </c>
      <c r="C1149" s="195">
        <f t="shared" si="35"/>
        <v>2</v>
      </c>
      <c r="D1149" s="195">
        <v>40.799999999999997</v>
      </c>
      <c r="E1149" s="705">
        <f t="shared" si="36"/>
        <v>4.8888888888888875</v>
      </c>
    </row>
    <row r="1150" spans="2:5">
      <c r="B1150" s="943">
        <v>44974</v>
      </c>
      <c r="C1150" s="195">
        <f t="shared" si="35"/>
        <v>2</v>
      </c>
      <c r="D1150" s="195">
        <v>41.2</v>
      </c>
      <c r="E1150" s="705">
        <f t="shared" si="36"/>
        <v>5.1111111111111125</v>
      </c>
    </row>
    <row r="1151" spans="2:5">
      <c r="B1151" s="943">
        <v>44974</v>
      </c>
      <c r="C1151" s="195">
        <f t="shared" si="35"/>
        <v>2</v>
      </c>
      <c r="D1151" s="195">
        <v>41.2</v>
      </c>
      <c r="E1151" s="705">
        <f t="shared" si="36"/>
        <v>5.1111111111111125</v>
      </c>
    </row>
    <row r="1152" spans="2:5">
      <c r="B1152" s="943">
        <v>44974</v>
      </c>
      <c r="C1152" s="195">
        <f t="shared" si="35"/>
        <v>2</v>
      </c>
      <c r="D1152" s="195">
        <v>41.4</v>
      </c>
      <c r="E1152" s="705">
        <f t="shared" si="36"/>
        <v>5.2222222222222214</v>
      </c>
    </row>
    <row r="1153" spans="2:5">
      <c r="B1153" s="943">
        <v>44974</v>
      </c>
      <c r="C1153" s="195">
        <f t="shared" si="35"/>
        <v>2</v>
      </c>
      <c r="D1153" s="195">
        <v>41.4</v>
      </c>
      <c r="E1153" s="705">
        <f t="shared" si="36"/>
        <v>5.2222222222222214</v>
      </c>
    </row>
    <row r="1154" spans="2:5">
      <c r="B1154" s="943">
        <v>44974</v>
      </c>
      <c r="C1154" s="195">
        <f t="shared" si="35"/>
        <v>2</v>
      </c>
      <c r="D1154" s="195">
        <v>41.2</v>
      </c>
      <c r="E1154" s="705">
        <f t="shared" si="36"/>
        <v>5.1111111111111125</v>
      </c>
    </row>
    <row r="1155" spans="2:5">
      <c r="B1155" s="943">
        <v>44974</v>
      </c>
      <c r="C1155" s="195">
        <f t="shared" si="35"/>
        <v>2</v>
      </c>
      <c r="D1155" s="195" t="s">
        <v>1429</v>
      </c>
      <c r="E1155" s="705">
        <f t="shared" si="36"/>
        <v>5</v>
      </c>
    </row>
    <row r="1156" spans="2:5">
      <c r="B1156" s="943">
        <v>44974</v>
      </c>
      <c r="C1156" s="195">
        <f t="shared" si="35"/>
        <v>2</v>
      </c>
      <c r="D1156" s="195">
        <v>40.6</v>
      </c>
      <c r="E1156" s="705">
        <f t="shared" si="36"/>
        <v>4.7777777777777786</v>
      </c>
    </row>
    <row r="1157" spans="2:5">
      <c r="B1157" s="943">
        <v>44974</v>
      </c>
      <c r="C1157" s="195">
        <f t="shared" si="35"/>
        <v>2</v>
      </c>
      <c r="D1157" s="195">
        <v>40.299999999999997</v>
      </c>
      <c r="E1157" s="705">
        <f t="shared" si="36"/>
        <v>4.6111111111111098</v>
      </c>
    </row>
    <row r="1158" spans="2:5">
      <c r="B1158" s="943">
        <v>44974</v>
      </c>
      <c r="C1158" s="195">
        <f t="shared" si="35"/>
        <v>2</v>
      </c>
      <c r="D1158" s="195">
        <v>40.1</v>
      </c>
      <c r="E1158" s="705">
        <f t="shared" si="36"/>
        <v>4.5000000000000009</v>
      </c>
    </row>
    <row r="1159" spans="2:5">
      <c r="B1159" s="943">
        <v>44974</v>
      </c>
      <c r="C1159" s="195">
        <f t="shared" si="35"/>
        <v>2</v>
      </c>
      <c r="D1159" s="195">
        <v>40.1</v>
      </c>
      <c r="E1159" s="705">
        <f t="shared" si="36"/>
        <v>4.5000000000000009</v>
      </c>
    </row>
    <row r="1160" spans="2:5">
      <c r="B1160" s="943">
        <v>44974</v>
      </c>
      <c r="C1160" s="195">
        <f t="shared" si="35"/>
        <v>2</v>
      </c>
      <c r="D1160" s="195">
        <v>40.1</v>
      </c>
      <c r="E1160" s="705">
        <f t="shared" si="36"/>
        <v>4.5000000000000009</v>
      </c>
    </row>
    <row r="1161" spans="2:5">
      <c r="B1161" s="943">
        <v>44975</v>
      </c>
      <c r="C1161" s="195">
        <f t="shared" si="35"/>
        <v>2</v>
      </c>
      <c r="D1161" s="195">
        <v>40.6</v>
      </c>
      <c r="E1161" s="705">
        <f t="shared" si="36"/>
        <v>4.7777777777777786</v>
      </c>
    </row>
    <row r="1162" spans="2:5">
      <c r="B1162" s="943">
        <v>44975</v>
      </c>
      <c r="C1162" s="195">
        <f t="shared" ref="C1162:C1225" si="37">MONTH(B1162)</f>
        <v>2</v>
      </c>
      <c r="D1162" s="195">
        <v>40.799999999999997</v>
      </c>
      <c r="E1162" s="705">
        <f t="shared" ref="E1162:E1225" si="38">CONVERT(D1162,"F","C")</f>
        <v>4.8888888888888875</v>
      </c>
    </row>
    <row r="1163" spans="2:5">
      <c r="B1163" s="943">
        <v>44975</v>
      </c>
      <c r="C1163" s="195">
        <f t="shared" si="37"/>
        <v>2</v>
      </c>
      <c r="D1163" s="195">
        <v>41.2</v>
      </c>
      <c r="E1163" s="705">
        <f t="shared" si="38"/>
        <v>5.1111111111111125</v>
      </c>
    </row>
    <row r="1164" spans="2:5">
      <c r="B1164" s="943">
        <v>44975</v>
      </c>
      <c r="C1164" s="195">
        <f t="shared" si="37"/>
        <v>2</v>
      </c>
      <c r="D1164" s="195">
        <v>41.2</v>
      </c>
      <c r="E1164" s="705">
        <f t="shared" si="38"/>
        <v>5.1111111111111125</v>
      </c>
    </row>
    <row r="1165" spans="2:5">
      <c r="B1165" s="943">
        <v>44975</v>
      </c>
      <c r="C1165" s="195">
        <f t="shared" si="37"/>
        <v>2</v>
      </c>
      <c r="D1165" s="195">
        <v>41.4</v>
      </c>
      <c r="E1165" s="705">
        <f t="shared" si="38"/>
        <v>5.2222222222222214</v>
      </c>
    </row>
    <row r="1166" spans="2:5">
      <c r="B1166" s="943">
        <v>44975</v>
      </c>
      <c r="C1166" s="195">
        <f t="shared" si="37"/>
        <v>2</v>
      </c>
      <c r="D1166" s="195">
        <v>41.2</v>
      </c>
      <c r="E1166" s="705">
        <f t="shared" si="38"/>
        <v>5.1111111111111125</v>
      </c>
    </row>
    <row r="1167" spans="2:5">
      <c r="B1167" s="943">
        <v>44975</v>
      </c>
      <c r="C1167" s="195">
        <f t="shared" si="37"/>
        <v>2</v>
      </c>
      <c r="D1167" s="195">
        <v>40.6</v>
      </c>
      <c r="E1167" s="705">
        <f t="shared" si="38"/>
        <v>4.7777777777777786</v>
      </c>
    </row>
    <row r="1168" spans="2:5">
      <c r="B1168" s="943">
        <v>44975</v>
      </c>
      <c r="C1168" s="195">
        <f t="shared" si="37"/>
        <v>2</v>
      </c>
      <c r="D1168" s="195">
        <v>40.1</v>
      </c>
      <c r="E1168" s="705">
        <f t="shared" si="38"/>
        <v>4.5000000000000009</v>
      </c>
    </row>
    <row r="1169" spans="2:5">
      <c r="B1169" s="943">
        <v>44975</v>
      </c>
      <c r="C1169" s="195">
        <f t="shared" si="37"/>
        <v>2</v>
      </c>
      <c r="D1169" s="195">
        <v>39.700000000000003</v>
      </c>
      <c r="E1169" s="705">
        <f t="shared" si="38"/>
        <v>4.2777777777777795</v>
      </c>
    </row>
    <row r="1170" spans="2:5">
      <c r="B1170" s="943">
        <v>44975</v>
      </c>
      <c r="C1170" s="195">
        <f t="shared" si="37"/>
        <v>2</v>
      </c>
      <c r="D1170" s="195">
        <v>39.6</v>
      </c>
      <c r="E1170" s="705">
        <f t="shared" si="38"/>
        <v>4.2222222222222232</v>
      </c>
    </row>
    <row r="1171" spans="2:5">
      <c r="B1171" s="943">
        <v>44975</v>
      </c>
      <c r="C1171" s="195">
        <f t="shared" si="37"/>
        <v>2</v>
      </c>
      <c r="D1171" s="195">
        <v>39.4</v>
      </c>
      <c r="E1171" s="705">
        <f t="shared" si="38"/>
        <v>4.1111111111111098</v>
      </c>
    </row>
    <row r="1172" spans="2:5">
      <c r="B1172" s="943">
        <v>44975</v>
      </c>
      <c r="C1172" s="195">
        <f t="shared" si="37"/>
        <v>2</v>
      </c>
      <c r="D1172" s="195">
        <v>39.6</v>
      </c>
      <c r="E1172" s="705">
        <f t="shared" si="38"/>
        <v>4.2222222222222232</v>
      </c>
    </row>
    <row r="1173" spans="2:5">
      <c r="B1173" s="943">
        <v>44975</v>
      </c>
      <c r="C1173" s="195">
        <f t="shared" si="37"/>
        <v>2</v>
      </c>
      <c r="D1173" s="195">
        <v>40.299999999999997</v>
      </c>
      <c r="E1173" s="705">
        <f t="shared" si="38"/>
        <v>4.6111111111111098</v>
      </c>
    </row>
    <row r="1174" spans="2:5">
      <c r="B1174" s="943">
        <v>44975</v>
      </c>
      <c r="C1174" s="195">
        <f t="shared" si="37"/>
        <v>2</v>
      </c>
      <c r="D1174" s="195">
        <v>40.6</v>
      </c>
      <c r="E1174" s="705">
        <f t="shared" si="38"/>
        <v>4.7777777777777786</v>
      </c>
    </row>
    <row r="1175" spans="2:5">
      <c r="B1175" s="943">
        <v>44975</v>
      </c>
      <c r="C1175" s="195">
        <f t="shared" si="37"/>
        <v>2</v>
      </c>
      <c r="D1175" s="195" t="s">
        <v>1429</v>
      </c>
      <c r="E1175" s="705">
        <f t="shared" si="38"/>
        <v>5</v>
      </c>
    </row>
    <row r="1176" spans="2:5">
      <c r="B1176" s="943">
        <v>44975</v>
      </c>
      <c r="C1176" s="195">
        <f t="shared" si="37"/>
        <v>2</v>
      </c>
      <c r="D1176" s="195">
        <v>41.2</v>
      </c>
      <c r="E1176" s="705">
        <f t="shared" si="38"/>
        <v>5.1111111111111125</v>
      </c>
    </row>
    <row r="1177" spans="2:5">
      <c r="B1177" s="943">
        <v>44975</v>
      </c>
      <c r="C1177" s="195">
        <f t="shared" si="37"/>
        <v>2</v>
      </c>
      <c r="D1177" s="195">
        <v>41.2</v>
      </c>
      <c r="E1177" s="705">
        <f t="shared" si="38"/>
        <v>5.1111111111111125</v>
      </c>
    </row>
    <row r="1178" spans="2:5">
      <c r="B1178" s="943">
        <v>44975</v>
      </c>
      <c r="C1178" s="195">
        <f t="shared" si="37"/>
        <v>2</v>
      </c>
      <c r="D1178" s="195">
        <v>41.2</v>
      </c>
      <c r="E1178" s="705">
        <f t="shared" si="38"/>
        <v>5.1111111111111125</v>
      </c>
    </row>
    <row r="1179" spans="2:5">
      <c r="B1179" s="943">
        <v>44975</v>
      </c>
      <c r="C1179" s="195">
        <f t="shared" si="37"/>
        <v>2</v>
      </c>
      <c r="D1179" s="195" t="s">
        <v>1429</v>
      </c>
      <c r="E1179" s="705">
        <f t="shared" si="38"/>
        <v>5</v>
      </c>
    </row>
    <row r="1180" spans="2:5">
      <c r="B1180" s="943">
        <v>44975</v>
      </c>
      <c r="C1180" s="195">
        <f t="shared" si="37"/>
        <v>2</v>
      </c>
      <c r="D1180" s="195">
        <v>40.6</v>
      </c>
      <c r="E1180" s="705">
        <f t="shared" si="38"/>
        <v>4.7777777777777786</v>
      </c>
    </row>
    <row r="1181" spans="2:5">
      <c r="B1181" s="943">
        <v>44975</v>
      </c>
      <c r="C1181" s="195">
        <f t="shared" si="37"/>
        <v>2</v>
      </c>
      <c r="D1181" s="195">
        <v>40.299999999999997</v>
      </c>
      <c r="E1181" s="705">
        <f t="shared" si="38"/>
        <v>4.6111111111111098</v>
      </c>
    </row>
    <row r="1182" spans="2:5">
      <c r="B1182" s="943">
        <v>44975</v>
      </c>
      <c r="C1182" s="195">
        <f t="shared" si="37"/>
        <v>2</v>
      </c>
      <c r="D1182" s="195">
        <v>40.1</v>
      </c>
      <c r="E1182" s="705">
        <f t="shared" si="38"/>
        <v>4.5000000000000009</v>
      </c>
    </row>
    <row r="1183" spans="2:5">
      <c r="B1183" s="943">
        <v>44975</v>
      </c>
      <c r="C1183" s="195">
        <f t="shared" si="37"/>
        <v>2</v>
      </c>
      <c r="D1183" s="195">
        <v>39.700000000000003</v>
      </c>
      <c r="E1183" s="705">
        <f t="shared" si="38"/>
        <v>4.2777777777777795</v>
      </c>
    </row>
    <row r="1184" spans="2:5">
      <c r="B1184" s="943">
        <v>44975</v>
      </c>
      <c r="C1184" s="195">
        <f t="shared" si="37"/>
        <v>2</v>
      </c>
      <c r="D1184" s="195">
        <v>39.6</v>
      </c>
      <c r="E1184" s="705">
        <f t="shared" si="38"/>
        <v>4.2222222222222232</v>
      </c>
    </row>
    <row r="1185" spans="2:5">
      <c r="B1185" s="943">
        <v>44976</v>
      </c>
      <c r="C1185" s="195">
        <f t="shared" si="37"/>
        <v>2</v>
      </c>
      <c r="D1185" s="195">
        <v>39.700000000000003</v>
      </c>
      <c r="E1185" s="705">
        <f t="shared" si="38"/>
        <v>4.2777777777777795</v>
      </c>
    </row>
    <row r="1186" spans="2:5">
      <c r="B1186" s="943">
        <v>44976</v>
      </c>
      <c r="C1186" s="195">
        <f t="shared" si="37"/>
        <v>2</v>
      </c>
      <c r="D1186" s="195">
        <v>40.299999999999997</v>
      </c>
      <c r="E1186" s="705">
        <f t="shared" si="38"/>
        <v>4.6111111111111098</v>
      </c>
    </row>
    <row r="1187" spans="2:5">
      <c r="B1187" s="943">
        <v>44976</v>
      </c>
      <c r="C1187" s="195">
        <f t="shared" si="37"/>
        <v>2</v>
      </c>
      <c r="D1187" s="195">
        <v>40.6</v>
      </c>
      <c r="E1187" s="705">
        <f t="shared" si="38"/>
        <v>4.7777777777777786</v>
      </c>
    </row>
    <row r="1188" spans="2:5">
      <c r="B1188" s="943">
        <v>44976</v>
      </c>
      <c r="C1188" s="195">
        <f t="shared" si="37"/>
        <v>2</v>
      </c>
      <c r="D1188" s="195" t="s">
        <v>1429</v>
      </c>
      <c r="E1188" s="705">
        <f t="shared" si="38"/>
        <v>5</v>
      </c>
    </row>
    <row r="1189" spans="2:5">
      <c r="B1189" s="943">
        <v>44976</v>
      </c>
      <c r="C1189" s="195">
        <f t="shared" si="37"/>
        <v>2</v>
      </c>
      <c r="D1189" s="195" t="s">
        <v>1429</v>
      </c>
      <c r="E1189" s="705">
        <f t="shared" si="38"/>
        <v>5</v>
      </c>
    </row>
    <row r="1190" spans="2:5">
      <c r="B1190" s="943">
        <v>44976</v>
      </c>
      <c r="C1190" s="195">
        <f t="shared" si="37"/>
        <v>2</v>
      </c>
      <c r="D1190" s="195" t="s">
        <v>1429</v>
      </c>
      <c r="E1190" s="705">
        <f t="shared" si="38"/>
        <v>5</v>
      </c>
    </row>
    <row r="1191" spans="2:5">
      <c r="B1191" s="943">
        <v>44976</v>
      </c>
      <c r="C1191" s="195">
        <f t="shared" si="37"/>
        <v>2</v>
      </c>
      <c r="D1191" s="195">
        <v>40.799999999999997</v>
      </c>
      <c r="E1191" s="705">
        <f t="shared" si="38"/>
        <v>4.8888888888888875</v>
      </c>
    </row>
    <row r="1192" spans="2:5">
      <c r="B1192" s="943">
        <v>44976</v>
      </c>
      <c r="C1192" s="195">
        <f t="shared" si="37"/>
        <v>2</v>
      </c>
      <c r="D1192" s="195">
        <v>40.6</v>
      </c>
      <c r="E1192" s="705">
        <f t="shared" si="38"/>
        <v>4.7777777777777786</v>
      </c>
    </row>
    <row r="1193" spans="2:5">
      <c r="B1193" s="943">
        <v>44976</v>
      </c>
      <c r="C1193" s="195">
        <f t="shared" si="37"/>
        <v>2</v>
      </c>
      <c r="D1193" s="195">
        <v>40.1</v>
      </c>
      <c r="E1193" s="705">
        <f t="shared" si="38"/>
        <v>4.5000000000000009</v>
      </c>
    </row>
    <row r="1194" spans="2:5">
      <c r="B1194" s="943">
        <v>44976</v>
      </c>
      <c r="C1194" s="195">
        <f t="shared" si="37"/>
        <v>2</v>
      </c>
      <c r="D1194" s="195">
        <v>39.700000000000003</v>
      </c>
      <c r="E1194" s="705">
        <f t="shared" si="38"/>
        <v>4.2777777777777795</v>
      </c>
    </row>
    <row r="1195" spans="2:5">
      <c r="B1195" s="943">
        <v>44976</v>
      </c>
      <c r="C1195" s="195">
        <f t="shared" si="37"/>
        <v>2</v>
      </c>
      <c r="D1195" s="195">
        <v>39.4</v>
      </c>
      <c r="E1195" s="705">
        <f t="shared" si="38"/>
        <v>4.1111111111111098</v>
      </c>
    </row>
    <row r="1196" spans="2:5">
      <c r="B1196" s="943">
        <v>44976</v>
      </c>
      <c r="C1196" s="195">
        <f t="shared" si="37"/>
        <v>2</v>
      </c>
      <c r="D1196" s="195">
        <v>39.200000000000003</v>
      </c>
      <c r="E1196" s="705">
        <f t="shared" si="38"/>
        <v>4.0000000000000018</v>
      </c>
    </row>
    <row r="1197" spans="2:5">
      <c r="B1197" s="943">
        <v>44976</v>
      </c>
      <c r="C1197" s="195">
        <f t="shared" si="37"/>
        <v>2</v>
      </c>
      <c r="D1197" s="195">
        <v>39.6</v>
      </c>
      <c r="E1197" s="705">
        <f t="shared" si="38"/>
        <v>4.2222222222222232</v>
      </c>
    </row>
    <row r="1198" spans="2:5">
      <c r="B1198" s="943">
        <v>44976</v>
      </c>
      <c r="C1198" s="195">
        <f t="shared" si="37"/>
        <v>2</v>
      </c>
      <c r="D1198" s="195">
        <v>40.1</v>
      </c>
      <c r="E1198" s="705">
        <f t="shared" si="38"/>
        <v>4.5000000000000009</v>
      </c>
    </row>
    <row r="1199" spans="2:5">
      <c r="B1199" s="943">
        <v>44976</v>
      </c>
      <c r="C1199" s="195">
        <f t="shared" si="37"/>
        <v>2</v>
      </c>
      <c r="D1199" s="195">
        <v>40.6</v>
      </c>
      <c r="E1199" s="705">
        <f t="shared" si="38"/>
        <v>4.7777777777777786</v>
      </c>
    </row>
    <row r="1200" spans="2:5">
      <c r="B1200" s="943">
        <v>44976</v>
      </c>
      <c r="C1200" s="195">
        <f t="shared" si="37"/>
        <v>2</v>
      </c>
      <c r="D1200" s="195" t="s">
        <v>1429</v>
      </c>
      <c r="E1200" s="705">
        <f t="shared" si="38"/>
        <v>5</v>
      </c>
    </row>
    <row r="1201" spans="2:5">
      <c r="B1201" s="943">
        <v>44976</v>
      </c>
      <c r="C1201" s="195">
        <f t="shared" si="37"/>
        <v>2</v>
      </c>
      <c r="D1201" s="195">
        <v>41.2</v>
      </c>
      <c r="E1201" s="705">
        <f t="shared" si="38"/>
        <v>5.1111111111111125</v>
      </c>
    </row>
    <row r="1202" spans="2:5">
      <c r="B1202" s="943">
        <v>44976</v>
      </c>
      <c r="C1202" s="195">
        <f t="shared" si="37"/>
        <v>2</v>
      </c>
      <c r="D1202" s="195">
        <v>41.2</v>
      </c>
      <c r="E1202" s="705">
        <f t="shared" si="38"/>
        <v>5.1111111111111125</v>
      </c>
    </row>
    <row r="1203" spans="2:5">
      <c r="B1203" s="943">
        <v>44976</v>
      </c>
      <c r="C1203" s="195">
        <f t="shared" si="37"/>
        <v>2</v>
      </c>
      <c r="D1203" s="195">
        <v>41.2</v>
      </c>
      <c r="E1203" s="705">
        <f t="shared" si="38"/>
        <v>5.1111111111111125</v>
      </c>
    </row>
    <row r="1204" spans="2:5">
      <c r="B1204" s="943">
        <v>44976</v>
      </c>
      <c r="C1204" s="195">
        <f t="shared" si="37"/>
        <v>2</v>
      </c>
      <c r="D1204" s="195" t="s">
        <v>1429</v>
      </c>
      <c r="E1204" s="705">
        <f t="shared" si="38"/>
        <v>5</v>
      </c>
    </row>
    <row r="1205" spans="2:5">
      <c r="B1205" s="943">
        <v>44976</v>
      </c>
      <c r="C1205" s="195">
        <f t="shared" si="37"/>
        <v>2</v>
      </c>
      <c r="D1205" s="195">
        <v>40.6</v>
      </c>
      <c r="E1205" s="705">
        <f t="shared" si="38"/>
        <v>4.7777777777777786</v>
      </c>
    </row>
    <row r="1206" spans="2:5">
      <c r="B1206" s="943">
        <v>44976</v>
      </c>
      <c r="C1206" s="195">
        <f t="shared" si="37"/>
        <v>2</v>
      </c>
      <c r="D1206" s="195">
        <v>40.299999999999997</v>
      </c>
      <c r="E1206" s="705">
        <f t="shared" si="38"/>
        <v>4.6111111111111098</v>
      </c>
    </row>
    <row r="1207" spans="2:5">
      <c r="B1207" s="943">
        <v>44976</v>
      </c>
      <c r="C1207" s="195">
        <f t="shared" si="37"/>
        <v>2</v>
      </c>
      <c r="D1207" s="195">
        <v>39.9</v>
      </c>
      <c r="E1207" s="705">
        <f t="shared" si="38"/>
        <v>4.3888888888888884</v>
      </c>
    </row>
    <row r="1208" spans="2:5">
      <c r="B1208" s="943">
        <v>44976</v>
      </c>
      <c r="C1208" s="195">
        <f t="shared" si="37"/>
        <v>2</v>
      </c>
      <c r="D1208" s="195">
        <v>39.6</v>
      </c>
      <c r="E1208" s="705">
        <f t="shared" si="38"/>
        <v>4.2222222222222232</v>
      </c>
    </row>
    <row r="1209" spans="2:5">
      <c r="B1209" s="943">
        <v>44977</v>
      </c>
      <c r="C1209" s="195">
        <f t="shared" si="37"/>
        <v>2</v>
      </c>
      <c r="D1209" s="195">
        <v>39.4</v>
      </c>
      <c r="E1209" s="705">
        <f t="shared" si="38"/>
        <v>4.1111111111111098</v>
      </c>
    </row>
    <row r="1210" spans="2:5">
      <c r="B1210" s="943">
        <v>44977</v>
      </c>
      <c r="C1210" s="195">
        <f t="shared" si="37"/>
        <v>2</v>
      </c>
      <c r="D1210" s="195">
        <v>39.9</v>
      </c>
      <c r="E1210" s="705">
        <f t="shared" si="38"/>
        <v>4.3888888888888884</v>
      </c>
    </row>
    <row r="1211" spans="2:5">
      <c r="B1211" s="943">
        <v>44977</v>
      </c>
      <c r="C1211" s="195">
        <f t="shared" si="37"/>
        <v>2</v>
      </c>
      <c r="D1211" s="195">
        <v>40.299999999999997</v>
      </c>
      <c r="E1211" s="705">
        <f t="shared" si="38"/>
        <v>4.6111111111111098</v>
      </c>
    </row>
    <row r="1212" spans="2:5">
      <c r="B1212" s="943">
        <v>44977</v>
      </c>
      <c r="C1212" s="195">
        <f t="shared" si="37"/>
        <v>2</v>
      </c>
      <c r="D1212" s="195">
        <v>40.799999999999997</v>
      </c>
      <c r="E1212" s="705">
        <f t="shared" si="38"/>
        <v>4.8888888888888875</v>
      </c>
    </row>
    <row r="1213" spans="2:5">
      <c r="B1213" s="943">
        <v>44977</v>
      </c>
      <c r="C1213" s="195">
        <f t="shared" si="37"/>
        <v>2</v>
      </c>
      <c r="D1213" s="195">
        <v>41.2</v>
      </c>
      <c r="E1213" s="705">
        <f t="shared" si="38"/>
        <v>5.1111111111111125</v>
      </c>
    </row>
    <row r="1214" spans="2:5">
      <c r="B1214" s="943">
        <v>44977</v>
      </c>
      <c r="C1214" s="195">
        <f t="shared" si="37"/>
        <v>2</v>
      </c>
      <c r="D1214" s="195">
        <v>41.2</v>
      </c>
      <c r="E1214" s="705">
        <f t="shared" si="38"/>
        <v>5.1111111111111125</v>
      </c>
    </row>
    <row r="1215" spans="2:5">
      <c r="B1215" s="943">
        <v>44977</v>
      </c>
      <c r="C1215" s="195">
        <f t="shared" si="37"/>
        <v>2</v>
      </c>
      <c r="D1215" s="195">
        <v>41.2</v>
      </c>
      <c r="E1215" s="705">
        <f t="shared" si="38"/>
        <v>5.1111111111111125</v>
      </c>
    </row>
    <row r="1216" spans="2:5">
      <c r="B1216" s="943">
        <v>44977</v>
      </c>
      <c r="C1216" s="195">
        <f t="shared" si="37"/>
        <v>2</v>
      </c>
      <c r="D1216" s="195" t="s">
        <v>1429</v>
      </c>
      <c r="E1216" s="705">
        <f t="shared" si="38"/>
        <v>5</v>
      </c>
    </row>
    <row r="1217" spans="2:5">
      <c r="B1217" s="943">
        <v>44977</v>
      </c>
      <c r="C1217" s="195">
        <f t="shared" si="37"/>
        <v>2</v>
      </c>
      <c r="D1217" s="195">
        <v>40.799999999999997</v>
      </c>
      <c r="E1217" s="705">
        <f t="shared" si="38"/>
        <v>4.8888888888888875</v>
      </c>
    </row>
    <row r="1218" spans="2:5">
      <c r="B1218" s="943">
        <v>44977</v>
      </c>
      <c r="C1218" s="195">
        <f t="shared" si="37"/>
        <v>2</v>
      </c>
      <c r="D1218" s="195">
        <v>40.5</v>
      </c>
      <c r="E1218" s="705">
        <f t="shared" si="38"/>
        <v>4.7222222222222223</v>
      </c>
    </row>
    <row r="1219" spans="2:5">
      <c r="B1219" s="943">
        <v>44977</v>
      </c>
      <c r="C1219" s="195">
        <f t="shared" si="37"/>
        <v>2</v>
      </c>
      <c r="D1219" s="195">
        <v>39.9</v>
      </c>
      <c r="E1219" s="705">
        <f t="shared" si="38"/>
        <v>4.3888888888888884</v>
      </c>
    </row>
    <row r="1220" spans="2:5">
      <c r="B1220" s="943">
        <v>44977</v>
      </c>
      <c r="C1220" s="195">
        <f t="shared" si="37"/>
        <v>2</v>
      </c>
      <c r="D1220" s="195">
        <v>39.6</v>
      </c>
      <c r="E1220" s="705">
        <f t="shared" si="38"/>
        <v>4.2222222222222232</v>
      </c>
    </row>
    <row r="1221" spans="2:5">
      <c r="B1221" s="943">
        <v>44977</v>
      </c>
      <c r="C1221" s="195">
        <f t="shared" si="37"/>
        <v>2</v>
      </c>
      <c r="D1221" s="195">
        <v>39.6</v>
      </c>
      <c r="E1221" s="705">
        <f t="shared" si="38"/>
        <v>4.2222222222222232</v>
      </c>
    </row>
    <row r="1222" spans="2:5">
      <c r="B1222" s="943">
        <v>44977</v>
      </c>
      <c r="C1222" s="195">
        <f t="shared" si="37"/>
        <v>2</v>
      </c>
      <c r="D1222" s="195">
        <v>39.9</v>
      </c>
      <c r="E1222" s="705">
        <f t="shared" si="38"/>
        <v>4.3888888888888884</v>
      </c>
    </row>
    <row r="1223" spans="2:5">
      <c r="B1223" s="943">
        <v>44977</v>
      </c>
      <c r="C1223" s="195">
        <f t="shared" si="37"/>
        <v>2</v>
      </c>
      <c r="D1223" s="195">
        <v>40.5</v>
      </c>
      <c r="E1223" s="705">
        <f t="shared" si="38"/>
        <v>4.7222222222222223</v>
      </c>
    </row>
    <row r="1224" spans="2:5">
      <c r="B1224" s="943">
        <v>44977</v>
      </c>
      <c r="C1224" s="195">
        <f t="shared" si="37"/>
        <v>2</v>
      </c>
      <c r="D1224" s="195" t="s">
        <v>1429</v>
      </c>
      <c r="E1224" s="705">
        <f t="shared" si="38"/>
        <v>5</v>
      </c>
    </row>
    <row r="1225" spans="2:5">
      <c r="B1225" s="943">
        <v>44977</v>
      </c>
      <c r="C1225" s="195">
        <f t="shared" si="37"/>
        <v>2</v>
      </c>
      <c r="D1225" s="195">
        <v>41.2</v>
      </c>
      <c r="E1225" s="705">
        <f t="shared" si="38"/>
        <v>5.1111111111111125</v>
      </c>
    </row>
    <row r="1226" spans="2:5">
      <c r="B1226" s="943">
        <v>44977</v>
      </c>
      <c r="C1226" s="195">
        <f t="shared" ref="C1226:C1289" si="39">MONTH(B1226)</f>
        <v>2</v>
      </c>
      <c r="D1226" s="195">
        <v>41.4</v>
      </c>
      <c r="E1226" s="705">
        <f t="shared" ref="E1226:E1289" si="40">CONVERT(D1226,"F","C")</f>
        <v>5.2222222222222214</v>
      </c>
    </row>
    <row r="1227" spans="2:5">
      <c r="B1227" s="943">
        <v>44977</v>
      </c>
      <c r="C1227" s="195">
        <f t="shared" si="39"/>
        <v>2</v>
      </c>
      <c r="D1227" s="195">
        <v>41.4</v>
      </c>
      <c r="E1227" s="705">
        <f t="shared" si="40"/>
        <v>5.2222222222222214</v>
      </c>
    </row>
    <row r="1228" spans="2:5">
      <c r="B1228" s="943">
        <v>44977</v>
      </c>
      <c r="C1228" s="195">
        <f t="shared" si="39"/>
        <v>2</v>
      </c>
      <c r="D1228" s="195">
        <v>41.4</v>
      </c>
      <c r="E1228" s="705">
        <f t="shared" si="40"/>
        <v>5.2222222222222214</v>
      </c>
    </row>
    <row r="1229" spans="2:5">
      <c r="B1229" s="943">
        <v>44977</v>
      </c>
      <c r="C1229" s="195">
        <f t="shared" si="39"/>
        <v>2</v>
      </c>
      <c r="D1229" s="195">
        <v>41.2</v>
      </c>
      <c r="E1229" s="705">
        <f t="shared" si="40"/>
        <v>5.1111111111111125</v>
      </c>
    </row>
    <row r="1230" spans="2:5">
      <c r="B1230" s="943">
        <v>44977</v>
      </c>
      <c r="C1230" s="195">
        <f t="shared" si="39"/>
        <v>2</v>
      </c>
      <c r="D1230" s="195" t="s">
        <v>1429</v>
      </c>
      <c r="E1230" s="705">
        <f t="shared" si="40"/>
        <v>5</v>
      </c>
    </row>
    <row r="1231" spans="2:5">
      <c r="B1231" s="943">
        <v>44977</v>
      </c>
      <c r="C1231" s="195">
        <f t="shared" si="39"/>
        <v>2</v>
      </c>
      <c r="D1231" s="195">
        <v>40.6</v>
      </c>
      <c r="E1231" s="705">
        <f t="shared" si="40"/>
        <v>4.7777777777777786</v>
      </c>
    </row>
    <row r="1232" spans="2:5">
      <c r="B1232" s="943">
        <v>44977</v>
      </c>
      <c r="C1232" s="195">
        <f t="shared" si="39"/>
        <v>2</v>
      </c>
      <c r="D1232" s="195">
        <v>40.299999999999997</v>
      </c>
      <c r="E1232" s="705">
        <f t="shared" si="40"/>
        <v>4.6111111111111098</v>
      </c>
    </row>
    <row r="1233" spans="2:5">
      <c r="B1233" s="943">
        <v>44978</v>
      </c>
      <c r="C1233" s="195">
        <f t="shared" si="39"/>
        <v>2</v>
      </c>
      <c r="D1233" s="195">
        <v>39.9</v>
      </c>
      <c r="E1233" s="705">
        <f t="shared" si="40"/>
        <v>4.3888888888888884</v>
      </c>
    </row>
    <row r="1234" spans="2:5">
      <c r="B1234" s="943">
        <v>44978</v>
      </c>
      <c r="C1234" s="195">
        <f t="shared" si="39"/>
        <v>2</v>
      </c>
      <c r="D1234" s="195">
        <v>39.9</v>
      </c>
      <c r="E1234" s="705">
        <f t="shared" si="40"/>
        <v>4.3888888888888884</v>
      </c>
    </row>
    <row r="1235" spans="2:5">
      <c r="B1235" s="943">
        <v>44978</v>
      </c>
      <c r="C1235" s="195">
        <f t="shared" si="39"/>
        <v>2</v>
      </c>
      <c r="D1235" s="195">
        <v>40.5</v>
      </c>
      <c r="E1235" s="705">
        <f t="shared" si="40"/>
        <v>4.7222222222222223</v>
      </c>
    </row>
    <row r="1236" spans="2:5">
      <c r="B1236" s="943">
        <v>44978</v>
      </c>
      <c r="C1236" s="195">
        <f t="shared" si="39"/>
        <v>2</v>
      </c>
      <c r="D1236" s="195">
        <v>40.799999999999997</v>
      </c>
      <c r="E1236" s="705">
        <f t="shared" si="40"/>
        <v>4.8888888888888875</v>
      </c>
    </row>
    <row r="1237" spans="2:5">
      <c r="B1237" s="943">
        <v>44978</v>
      </c>
      <c r="C1237" s="195">
        <f t="shared" si="39"/>
        <v>2</v>
      </c>
      <c r="D1237" s="195">
        <v>41.2</v>
      </c>
      <c r="E1237" s="705">
        <f t="shared" si="40"/>
        <v>5.1111111111111125</v>
      </c>
    </row>
    <row r="1238" spans="2:5">
      <c r="B1238" s="943">
        <v>44978</v>
      </c>
      <c r="C1238" s="195">
        <f t="shared" si="39"/>
        <v>2</v>
      </c>
      <c r="D1238" s="195">
        <v>41.4</v>
      </c>
      <c r="E1238" s="705">
        <f t="shared" si="40"/>
        <v>5.2222222222222214</v>
      </c>
    </row>
    <row r="1239" spans="2:5">
      <c r="B1239" s="943">
        <v>44978</v>
      </c>
      <c r="C1239" s="195">
        <f t="shared" si="39"/>
        <v>2</v>
      </c>
      <c r="D1239" s="195">
        <v>41.4</v>
      </c>
      <c r="E1239" s="705">
        <f t="shared" si="40"/>
        <v>5.2222222222222214</v>
      </c>
    </row>
    <row r="1240" spans="2:5">
      <c r="B1240" s="943">
        <v>44978</v>
      </c>
      <c r="C1240" s="195">
        <f t="shared" si="39"/>
        <v>2</v>
      </c>
      <c r="D1240" s="195">
        <v>41.2</v>
      </c>
      <c r="E1240" s="705">
        <f t="shared" si="40"/>
        <v>5.1111111111111125</v>
      </c>
    </row>
    <row r="1241" spans="2:5">
      <c r="B1241" s="943">
        <v>44978</v>
      </c>
      <c r="C1241" s="195">
        <f t="shared" si="39"/>
        <v>2</v>
      </c>
      <c r="D1241" s="195">
        <v>41.2</v>
      </c>
      <c r="E1241" s="705">
        <f t="shared" si="40"/>
        <v>5.1111111111111125</v>
      </c>
    </row>
    <row r="1242" spans="2:5">
      <c r="B1242" s="943">
        <v>44978</v>
      </c>
      <c r="C1242" s="195">
        <f t="shared" si="39"/>
        <v>2</v>
      </c>
      <c r="D1242" s="195" t="s">
        <v>1429</v>
      </c>
      <c r="E1242" s="705">
        <f t="shared" si="40"/>
        <v>5</v>
      </c>
    </row>
    <row r="1243" spans="2:5">
      <c r="B1243" s="943">
        <v>44978</v>
      </c>
      <c r="C1243" s="195">
        <f t="shared" si="39"/>
        <v>2</v>
      </c>
      <c r="D1243" s="195">
        <v>40.5</v>
      </c>
      <c r="E1243" s="705">
        <f t="shared" si="40"/>
        <v>4.7222222222222223</v>
      </c>
    </row>
    <row r="1244" spans="2:5">
      <c r="B1244" s="943">
        <v>44978</v>
      </c>
      <c r="C1244" s="195">
        <f t="shared" si="39"/>
        <v>2</v>
      </c>
      <c r="D1244" s="195">
        <v>40.1</v>
      </c>
      <c r="E1244" s="705">
        <f t="shared" si="40"/>
        <v>4.5000000000000009</v>
      </c>
    </row>
    <row r="1245" spans="2:5">
      <c r="B1245" s="943">
        <v>44978</v>
      </c>
      <c r="C1245" s="195">
        <f t="shared" si="39"/>
        <v>2</v>
      </c>
      <c r="D1245" s="195">
        <v>39.9</v>
      </c>
      <c r="E1245" s="705">
        <f t="shared" si="40"/>
        <v>4.3888888888888884</v>
      </c>
    </row>
    <row r="1246" spans="2:5">
      <c r="B1246" s="943">
        <v>44978</v>
      </c>
      <c r="C1246" s="195">
        <f t="shared" si="39"/>
        <v>2</v>
      </c>
      <c r="D1246" s="195">
        <v>39.700000000000003</v>
      </c>
      <c r="E1246" s="705">
        <f t="shared" si="40"/>
        <v>4.2777777777777795</v>
      </c>
    </row>
    <row r="1247" spans="2:5">
      <c r="B1247" s="943">
        <v>44978</v>
      </c>
      <c r="C1247" s="195">
        <f t="shared" si="39"/>
        <v>2</v>
      </c>
      <c r="D1247" s="195">
        <v>40.299999999999997</v>
      </c>
      <c r="E1247" s="705">
        <f t="shared" si="40"/>
        <v>4.6111111111111098</v>
      </c>
    </row>
    <row r="1248" spans="2:5">
      <c r="B1248" s="943">
        <v>44978</v>
      </c>
      <c r="C1248" s="195">
        <f t="shared" si="39"/>
        <v>2</v>
      </c>
      <c r="D1248" s="195">
        <v>40.6</v>
      </c>
      <c r="E1248" s="705">
        <f t="shared" si="40"/>
        <v>4.7777777777777786</v>
      </c>
    </row>
    <row r="1249" spans="2:5">
      <c r="B1249" s="943">
        <v>44978</v>
      </c>
      <c r="C1249" s="195">
        <f t="shared" si="39"/>
        <v>2</v>
      </c>
      <c r="D1249" s="195">
        <v>41.2</v>
      </c>
      <c r="E1249" s="705">
        <f t="shared" si="40"/>
        <v>5.1111111111111125</v>
      </c>
    </row>
    <row r="1250" spans="2:5">
      <c r="B1250" s="943">
        <v>44978</v>
      </c>
      <c r="C1250" s="195">
        <f t="shared" si="39"/>
        <v>2</v>
      </c>
      <c r="D1250" s="195">
        <v>41.2</v>
      </c>
      <c r="E1250" s="705">
        <f t="shared" si="40"/>
        <v>5.1111111111111125</v>
      </c>
    </row>
    <row r="1251" spans="2:5">
      <c r="B1251" s="943">
        <v>44978</v>
      </c>
      <c r="C1251" s="195">
        <f t="shared" si="39"/>
        <v>2</v>
      </c>
      <c r="D1251" s="195">
        <v>41.4</v>
      </c>
      <c r="E1251" s="705">
        <f t="shared" si="40"/>
        <v>5.2222222222222214</v>
      </c>
    </row>
    <row r="1252" spans="2:5">
      <c r="B1252" s="943">
        <v>44978</v>
      </c>
      <c r="C1252" s="195">
        <f t="shared" si="39"/>
        <v>2</v>
      </c>
      <c r="D1252" s="195">
        <v>41.2</v>
      </c>
      <c r="E1252" s="705">
        <f t="shared" si="40"/>
        <v>5.1111111111111125</v>
      </c>
    </row>
    <row r="1253" spans="2:5">
      <c r="B1253" s="943">
        <v>44978</v>
      </c>
      <c r="C1253" s="195">
        <f t="shared" si="39"/>
        <v>2</v>
      </c>
      <c r="D1253" s="195">
        <v>41.2</v>
      </c>
      <c r="E1253" s="705">
        <f t="shared" si="40"/>
        <v>5.1111111111111125</v>
      </c>
    </row>
    <row r="1254" spans="2:5">
      <c r="B1254" s="943">
        <v>44978</v>
      </c>
      <c r="C1254" s="195">
        <f t="shared" si="39"/>
        <v>2</v>
      </c>
      <c r="D1254" s="195">
        <v>41.2</v>
      </c>
      <c r="E1254" s="705">
        <f t="shared" si="40"/>
        <v>5.1111111111111125</v>
      </c>
    </row>
    <row r="1255" spans="2:5">
      <c r="B1255" s="943">
        <v>44978</v>
      </c>
      <c r="C1255" s="195">
        <f t="shared" si="39"/>
        <v>2</v>
      </c>
      <c r="D1255" s="195">
        <v>40.6</v>
      </c>
      <c r="E1255" s="705">
        <f t="shared" si="40"/>
        <v>4.7777777777777786</v>
      </c>
    </row>
    <row r="1256" spans="2:5">
      <c r="B1256" s="943">
        <v>44978</v>
      </c>
      <c r="C1256" s="195">
        <f t="shared" si="39"/>
        <v>2</v>
      </c>
      <c r="D1256" s="195">
        <v>40.5</v>
      </c>
      <c r="E1256" s="705">
        <f t="shared" si="40"/>
        <v>4.7222222222222223</v>
      </c>
    </row>
    <row r="1257" spans="2:5">
      <c r="B1257" s="943">
        <v>44979</v>
      </c>
      <c r="C1257" s="195">
        <f t="shared" si="39"/>
        <v>2</v>
      </c>
      <c r="D1257" s="195">
        <v>40.1</v>
      </c>
      <c r="E1257" s="705">
        <f t="shared" si="40"/>
        <v>4.5000000000000009</v>
      </c>
    </row>
    <row r="1258" spans="2:5">
      <c r="B1258" s="943">
        <v>44979</v>
      </c>
      <c r="C1258" s="195">
        <f t="shared" si="39"/>
        <v>2</v>
      </c>
      <c r="D1258" s="195">
        <v>39.9</v>
      </c>
      <c r="E1258" s="705">
        <f t="shared" si="40"/>
        <v>4.3888888888888884</v>
      </c>
    </row>
    <row r="1259" spans="2:5">
      <c r="B1259" s="943">
        <v>44979</v>
      </c>
      <c r="C1259" s="195">
        <f t="shared" si="39"/>
        <v>2</v>
      </c>
      <c r="D1259" s="195">
        <v>39.9</v>
      </c>
      <c r="E1259" s="705">
        <f t="shared" si="40"/>
        <v>4.3888888888888884</v>
      </c>
    </row>
    <row r="1260" spans="2:5">
      <c r="B1260" s="943">
        <v>44979</v>
      </c>
      <c r="C1260" s="195">
        <f t="shared" si="39"/>
        <v>2</v>
      </c>
      <c r="D1260" s="195">
        <v>40.299999999999997</v>
      </c>
      <c r="E1260" s="705">
        <f t="shared" si="40"/>
        <v>4.6111111111111098</v>
      </c>
    </row>
    <row r="1261" spans="2:5">
      <c r="B1261" s="943">
        <v>44979</v>
      </c>
      <c r="C1261" s="195">
        <f t="shared" si="39"/>
        <v>2</v>
      </c>
      <c r="D1261" s="195">
        <v>40.6</v>
      </c>
      <c r="E1261" s="705">
        <f t="shared" si="40"/>
        <v>4.7777777777777786</v>
      </c>
    </row>
    <row r="1262" spans="2:5">
      <c r="B1262" s="943">
        <v>44979</v>
      </c>
      <c r="C1262" s="195">
        <f t="shared" si="39"/>
        <v>2</v>
      </c>
      <c r="D1262" s="195" t="s">
        <v>1429</v>
      </c>
      <c r="E1262" s="705">
        <f t="shared" si="40"/>
        <v>5</v>
      </c>
    </row>
    <row r="1263" spans="2:5">
      <c r="B1263" s="943">
        <v>44979</v>
      </c>
      <c r="C1263" s="195">
        <f t="shared" si="39"/>
        <v>2</v>
      </c>
      <c r="D1263" s="195">
        <v>41.2</v>
      </c>
      <c r="E1263" s="705">
        <f t="shared" si="40"/>
        <v>5.1111111111111125</v>
      </c>
    </row>
    <row r="1264" spans="2:5">
      <c r="B1264" s="943">
        <v>44979</v>
      </c>
      <c r="C1264" s="195">
        <f t="shared" si="39"/>
        <v>2</v>
      </c>
      <c r="D1264" s="195" t="s">
        <v>1429</v>
      </c>
      <c r="E1264" s="705">
        <f t="shared" si="40"/>
        <v>5</v>
      </c>
    </row>
    <row r="1265" spans="2:5">
      <c r="B1265" s="943">
        <v>44979</v>
      </c>
      <c r="C1265" s="195">
        <f t="shared" si="39"/>
        <v>2</v>
      </c>
      <c r="D1265" s="195" t="s">
        <v>1429</v>
      </c>
      <c r="E1265" s="705">
        <f t="shared" si="40"/>
        <v>5</v>
      </c>
    </row>
    <row r="1266" spans="2:5">
      <c r="B1266" s="943">
        <v>44979</v>
      </c>
      <c r="C1266" s="195">
        <f t="shared" si="39"/>
        <v>2</v>
      </c>
      <c r="D1266" s="195" t="s">
        <v>1429</v>
      </c>
      <c r="E1266" s="705">
        <f t="shared" si="40"/>
        <v>5</v>
      </c>
    </row>
    <row r="1267" spans="2:5">
      <c r="B1267" s="943">
        <v>44979</v>
      </c>
      <c r="C1267" s="195">
        <f t="shared" si="39"/>
        <v>2</v>
      </c>
      <c r="D1267" s="195">
        <v>40.6</v>
      </c>
      <c r="E1267" s="705">
        <f t="shared" si="40"/>
        <v>4.7777777777777786</v>
      </c>
    </row>
    <row r="1268" spans="2:5">
      <c r="B1268" s="943">
        <v>44979</v>
      </c>
      <c r="C1268" s="195">
        <f t="shared" si="39"/>
        <v>2</v>
      </c>
      <c r="D1268" s="195">
        <v>40.299999999999997</v>
      </c>
      <c r="E1268" s="705">
        <f t="shared" si="40"/>
        <v>4.6111111111111098</v>
      </c>
    </row>
    <row r="1269" spans="2:5">
      <c r="B1269" s="943">
        <v>44979</v>
      </c>
      <c r="C1269" s="195">
        <f t="shared" si="39"/>
        <v>2</v>
      </c>
      <c r="D1269" s="195">
        <v>39.9</v>
      </c>
      <c r="E1269" s="705">
        <f t="shared" si="40"/>
        <v>4.3888888888888884</v>
      </c>
    </row>
    <row r="1270" spans="2:5">
      <c r="B1270" s="943">
        <v>44979</v>
      </c>
      <c r="C1270" s="195">
        <f t="shared" si="39"/>
        <v>2</v>
      </c>
      <c r="D1270" s="195">
        <v>39.6</v>
      </c>
      <c r="E1270" s="705">
        <f t="shared" si="40"/>
        <v>4.2222222222222232</v>
      </c>
    </row>
    <row r="1271" spans="2:5">
      <c r="B1271" s="943">
        <v>44979</v>
      </c>
      <c r="C1271" s="195">
        <f t="shared" si="39"/>
        <v>2</v>
      </c>
      <c r="D1271" s="195">
        <v>39.6</v>
      </c>
      <c r="E1271" s="705">
        <f t="shared" si="40"/>
        <v>4.2222222222222232</v>
      </c>
    </row>
    <row r="1272" spans="2:5">
      <c r="B1272" s="943">
        <v>44979</v>
      </c>
      <c r="C1272" s="195">
        <f t="shared" si="39"/>
        <v>2</v>
      </c>
      <c r="D1272" s="195">
        <v>40.1</v>
      </c>
      <c r="E1272" s="705">
        <f t="shared" si="40"/>
        <v>4.5000000000000009</v>
      </c>
    </row>
    <row r="1273" spans="2:5">
      <c r="B1273" s="943">
        <v>44979</v>
      </c>
      <c r="C1273" s="195">
        <f t="shared" si="39"/>
        <v>2</v>
      </c>
      <c r="D1273" s="195">
        <v>40.299999999999997</v>
      </c>
      <c r="E1273" s="705">
        <f t="shared" si="40"/>
        <v>4.6111111111111098</v>
      </c>
    </row>
    <row r="1274" spans="2:5">
      <c r="B1274" s="943">
        <v>44979</v>
      </c>
      <c r="C1274" s="195">
        <f t="shared" si="39"/>
        <v>2</v>
      </c>
      <c r="D1274" s="195">
        <v>40.799999999999997</v>
      </c>
      <c r="E1274" s="705">
        <f t="shared" si="40"/>
        <v>4.8888888888888875</v>
      </c>
    </row>
    <row r="1275" spans="2:5">
      <c r="B1275" s="943">
        <v>44979</v>
      </c>
      <c r="C1275" s="195">
        <f t="shared" si="39"/>
        <v>2</v>
      </c>
      <c r="D1275" s="195">
        <v>41.2</v>
      </c>
      <c r="E1275" s="705">
        <f t="shared" si="40"/>
        <v>5.1111111111111125</v>
      </c>
    </row>
    <row r="1276" spans="2:5">
      <c r="B1276" s="943">
        <v>44979</v>
      </c>
      <c r="C1276" s="195">
        <f t="shared" si="39"/>
        <v>2</v>
      </c>
      <c r="D1276" s="195">
        <v>41.2</v>
      </c>
      <c r="E1276" s="705">
        <f t="shared" si="40"/>
        <v>5.1111111111111125</v>
      </c>
    </row>
    <row r="1277" spans="2:5">
      <c r="B1277" s="943">
        <v>44979</v>
      </c>
      <c r="C1277" s="195">
        <f t="shared" si="39"/>
        <v>2</v>
      </c>
      <c r="D1277" s="195">
        <v>41.2</v>
      </c>
      <c r="E1277" s="705">
        <f t="shared" si="40"/>
        <v>5.1111111111111125</v>
      </c>
    </row>
    <row r="1278" spans="2:5">
      <c r="B1278" s="943">
        <v>44979</v>
      </c>
      <c r="C1278" s="195">
        <f t="shared" si="39"/>
        <v>2</v>
      </c>
      <c r="D1278" s="195">
        <v>41.2</v>
      </c>
      <c r="E1278" s="705">
        <f t="shared" si="40"/>
        <v>5.1111111111111125</v>
      </c>
    </row>
    <row r="1279" spans="2:5">
      <c r="B1279" s="943">
        <v>44979</v>
      </c>
      <c r="C1279" s="195">
        <f t="shared" si="39"/>
        <v>2</v>
      </c>
      <c r="D1279" s="195" t="s">
        <v>1429</v>
      </c>
      <c r="E1279" s="705">
        <f t="shared" si="40"/>
        <v>5</v>
      </c>
    </row>
    <row r="1280" spans="2:5">
      <c r="B1280" s="943">
        <v>44979</v>
      </c>
      <c r="C1280" s="195">
        <f t="shared" si="39"/>
        <v>2</v>
      </c>
      <c r="D1280" s="195">
        <v>40.6</v>
      </c>
      <c r="E1280" s="705">
        <f t="shared" si="40"/>
        <v>4.7777777777777786</v>
      </c>
    </row>
    <row r="1281" spans="2:5">
      <c r="B1281" s="943">
        <v>44980</v>
      </c>
      <c r="C1281" s="195">
        <f t="shared" si="39"/>
        <v>2</v>
      </c>
      <c r="D1281" s="195">
        <v>40.299999999999997</v>
      </c>
      <c r="E1281" s="705">
        <f t="shared" si="40"/>
        <v>4.6111111111111098</v>
      </c>
    </row>
    <row r="1282" spans="2:5">
      <c r="B1282" s="943">
        <v>44980</v>
      </c>
      <c r="C1282" s="195">
        <f t="shared" si="39"/>
        <v>2</v>
      </c>
      <c r="D1282" s="195">
        <v>40.1</v>
      </c>
      <c r="E1282" s="705">
        <f t="shared" si="40"/>
        <v>4.5000000000000009</v>
      </c>
    </row>
    <row r="1283" spans="2:5">
      <c r="B1283" s="943">
        <v>44980</v>
      </c>
      <c r="C1283" s="195">
        <f t="shared" si="39"/>
        <v>2</v>
      </c>
      <c r="D1283" s="195">
        <v>39.700000000000003</v>
      </c>
      <c r="E1283" s="705">
        <f t="shared" si="40"/>
        <v>4.2777777777777795</v>
      </c>
    </row>
    <row r="1284" spans="2:5">
      <c r="B1284" s="943">
        <v>44980</v>
      </c>
      <c r="C1284" s="195">
        <f t="shared" si="39"/>
        <v>2</v>
      </c>
      <c r="D1284" s="195">
        <v>39.9</v>
      </c>
      <c r="E1284" s="705">
        <f t="shared" si="40"/>
        <v>4.3888888888888884</v>
      </c>
    </row>
    <row r="1285" spans="2:5">
      <c r="B1285" s="943">
        <v>44980</v>
      </c>
      <c r="C1285" s="195">
        <f t="shared" si="39"/>
        <v>2</v>
      </c>
      <c r="D1285" s="195">
        <v>40.5</v>
      </c>
      <c r="E1285" s="705">
        <f t="shared" si="40"/>
        <v>4.7222222222222223</v>
      </c>
    </row>
    <row r="1286" spans="2:5">
      <c r="B1286" s="943">
        <v>44980</v>
      </c>
      <c r="C1286" s="195">
        <f t="shared" si="39"/>
        <v>2</v>
      </c>
      <c r="D1286" s="195">
        <v>40.799999999999997</v>
      </c>
      <c r="E1286" s="705">
        <f t="shared" si="40"/>
        <v>4.8888888888888875</v>
      </c>
    </row>
    <row r="1287" spans="2:5">
      <c r="B1287" s="943">
        <v>44980</v>
      </c>
      <c r="C1287" s="195">
        <f t="shared" si="39"/>
        <v>2</v>
      </c>
      <c r="D1287" s="195" t="s">
        <v>1429</v>
      </c>
      <c r="E1287" s="705">
        <f t="shared" si="40"/>
        <v>5</v>
      </c>
    </row>
    <row r="1288" spans="2:5">
      <c r="B1288" s="943">
        <v>44980</v>
      </c>
      <c r="C1288" s="195">
        <f t="shared" si="39"/>
        <v>2</v>
      </c>
      <c r="D1288" s="195">
        <v>41.2</v>
      </c>
      <c r="E1288" s="705">
        <f t="shared" si="40"/>
        <v>5.1111111111111125</v>
      </c>
    </row>
    <row r="1289" spans="2:5">
      <c r="B1289" s="943">
        <v>44980</v>
      </c>
      <c r="C1289" s="195">
        <f t="shared" si="39"/>
        <v>2</v>
      </c>
      <c r="D1289" s="195">
        <v>41.2</v>
      </c>
      <c r="E1289" s="705">
        <f t="shared" si="40"/>
        <v>5.1111111111111125</v>
      </c>
    </row>
    <row r="1290" spans="2:5">
      <c r="B1290" s="943">
        <v>44980</v>
      </c>
      <c r="C1290" s="195">
        <f t="shared" ref="C1290:C1353" si="41">MONTH(B1290)</f>
        <v>2</v>
      </c>
      <c r="D1290" s="195" t="s">
        <v>1429</v>
      </c>
      <c r="E1290" s="705">
        <f t="shared" ref="E1290:E1353" si="42">CONVERT(D1290,"F","C")</f>
        <v>5</v>
      </c>
    </row>
    <row r="1291" spans="2:5">
      <c r="B1291" s="943">
        <v>44980</v>
      </c>
      <c r="C1291" s="195">
        <f t="shared" si="41"/>
        <v>2</v>
      </c>
      <c r="D1291" s="195">
        <v>40.799999999999997</v>
      </c>
      <c r="E1291" s="705">
        <f t="shared" si="42"/>
        <v>4.8888888888888875</v>
      </c>
    </row>
    <row r="1292" spans="2:5">
      <c r="B1292" s="943">
        <v>44980</v>
      </c>
      <c r="C1292" s="195">
        <f t="shared" si="41"/>
        <v>2</v>
      </c>
      <c r="D1292" s="195">
        <v>40.5</v>
      </c>
      <c r="E1292" s="705">
        <f t="shared" si="42"/>
        <v>4.7222222222222223</v>
      </c>
    </row>
    <row r="1293" spans="2:5">
      <c r="B1293" s="943">
        <v>44980</v>
      </c>
      <c r="C1293" s="195">
        <f t="shared" si="41"/>
        <v>2</v>
      </c>
      <c r="D1293" s="195">
        <v>39.9</v>
      </c>
      <c r="E1293" s="705">
        <f t="shared" si="42"/>
        <v>4.3888888888888884</v>
      </c>
    </row>
    <row r="1294" spans="2:5">
      <c r="B1294" s="943">
        <v>44980</v>
      </c>
      <c r="C1294" s="195">
        <f t="shared" si="41"/>
        <v>2</v>
      </c>
      <c r="D1294" s="195">
        <v>39.6</v>
      </c>
      <c r="E1294" s="705">
        <f t="shared" si="42"/>
        <v>4.2222222222222232</v>
      </c>
    </row>
    <row r="1295" spans="2:5">
      <c r="B1295" s="943">
        <v>44980</v>
      </c>
      <c r="C1295" s="195">
        <f t="shared" si="41"/>
        <v>2</v>
      </c>
      <c r="D1295" s="195">
        <v>39.4</v>
      </c>
      <c r="E1295" s="705">
        <f t="shared" si="42"/>
        <v>4.1111111111111098</v>
      </c>
    </row>
    <row r="1296" spans="2:5">
      <c r="B1296" s="943">
        <v>44980</v>
      </c>
      <c r="C1296" s="195">
        <f t="shared" si="41"/>
        <v>2</v>
      </c>
      <c r="D1296" s="195">
        <v>39.200000000000003</v>
      </c>
      <c r="E1296" s="705">
        <f t="shared" si="42"/>
        <v>4.0000000000000018</v>
      </c>
    </row>
    <row r="1297" spans="2:5">
      <c r="B1297" s="943">
        <v>44980</v>
      </c>
      <c r="C1297" s="195">
        <f t="shared" si="41"/>
        <v>2</v>
      </c>
      <c r="D1297" s="195">
        <v>39.9</v>
      </c>
      <c r="E1297" s="705">
        <f t="shared" si="42"/>
        <v>4.3888888888888884</v>
      </c>
    </row>
    <row r="1298" spans="2:5">
      <c r="B1298" s="943">
        <v>44980</v>
      </c>
      <c r="C1298" s="195">
        <f t="shared" si="41"/>
        <v>2</v>
      </c>
      <c r="D1298" s="195">
        <v>40.1</v>
      </c>
      <c r="E1298" s="705">
        <f t="shared" si="42"/>
        <v>4.5000000000000009</v>
      </c>
    </row>
    <row r="1299" spans="2:5">
      <c r="B1299" s="943">
        <v>44980</v>
      </c>
      <c r="C1299" s="195">
        <f t="shared" si="41"/>
        <v>2</v>
      </c>
      <c r="D1299" s="195">
        <v>40.299999999999997</v>
      </c>
      <c r="E1299" s="705">
        <f t="shared" si="42"/>
        <v>4.6111111111111098</v>
      </c>
    </row>
    <row r="1300" spans="2:5">
      <c r="B1300" s="943">
        <v>44980</v>
      </c>
      <c r="C1300" s="195">
        <f t="shared" si="41"/>
        <v>2</v>
      </c>
      <c r="D1300" s="195">
        <v>40.299999999999997</v>
      </c>
      <c r="E1300" s="705">
        <f t="shared" si="42"/>
        <v>4.6111111111111098</v>
      </c>
    </row>
    <row r="1301" spans="2:5">
      <c r="B1301" s="943">
        <v>44980</v>
      </c>
      <c r="C1301" s="195">
        <f t="shared" si="41"/>
        <v>2</v>
      </c>
      <c r="D1301" s="195">
        <v>40.299999999999997</v>
      </c>
      <c r="E1301" s="705">
        <f t="shared" si="42"/>
        <v>4.6111111111111098</v>
      </c>
    </row>
    <row r="1302" spans="2:5">
      <c r="B1302" s="943">
        <v>44980</v>
      </c>
      <c r="C1302" s="195">
        <f t="shared" si="41"/>
        <v>2</v>
      </c>
      <c r="D1302" s="195">
        <v>40.299999999999997</v>
      </c>
      <c r="E1302" s="705">
        <f t="shared" si="42"/>
        <v>4.6111111111111098</v>
      </c>
    </row>
    <row r="1303" spans="2:5">
      <c r="B1303" s="943">
        <v>44980</v>
      </c>
      <c r="C1303" s="195">
        <f t="shared" si="41"/>
        <v>2</v>
      </c>
      <c r="D1303" s="195">
        <v>40.299999999999997</v>
      </c>
      <c r="E1303" s="705">
        <f t="shared" si="42"/>
        <v>4.6111111111111098</v>
      </c>
    </row>
    <row r="1304" spans="2:5">
      <c r="B1304" s="943">
        <v>44980</v>
      </c>
      <c r="C1304" s="195">
        <f t="shared" si="41"/>
        <v>2</v>
      </c>
      <c r="D1304" s="195">
        <v>39.9</v>
      </c>
      <c r="E1304" s="705">
        <f t="shared" si="42"/>
        <v>4.3888888888888884</v>
      </c>
    </row>
    <row r="1305" spans="2:5">
      <c r="B1305" s="943">
        <v>44981</v>
      </c>
      <c r="C1305" s="195">
        <f t="shared" si="41"/>
        <v>2</v>
      </c>
      <c r="D1305" s="195">
        <v>39.6</v>
      </c>
      <c r="E1305" s="705">
        <f t="shared" si="42"/>
        <v>4.2222222222222232</v>
      </c>
    </row>
    <row r="1306" spans="2:5">
      <c r="B1306" s="943">
        <v>44981</v>
      </c>
      <c r="C1306" s="195">
        <f t="shared" si="41"/>
        <v>2</v>
      </c>
      <c r="D1306" s="195">
        <v>39.200000000000003</v>
      </c>
      <c r="E1306" s="705">
        <f t="shared" si="42"/>
        <v>4.0000000000000018</v>
      </c>
    </row>
    <row r="1307" spans="2:5">
      <c r="B1307" s="943">
        <v>44981</v>
      </c>
      <c r="C1307" s="195">
        <f t="shared" si="41"/>
        <v>2</v>
      </c>
      <c r="D1307" s="195" t="s">
        <v>1431</v>
      </c>
      <c r="E1307" s="705">
        <f t="shared" si="42"/>
        <v>3.8888888888888888</v>
      </c>
    </row>
    <row r="1308" spans="2:5">
      <c r="B1308" s="943">
        <v>44981</v>
      </c>
      <c r="C1308" s="195">
        <f t="shared" si="41"/>
        <v>2</v>
      </c>
      <c r="D1308" s="195">
        <v>38.700000000000003</v>
      </c>
      <c r="E1308" s="705">
        <f t="shared" si="42"/>
        <v>3.7222222222222237</v>
      </c>
    </row>
    <row r="1309" spans="2:5">
      <c r="B1309" s="943">
        <v>44981</v>
      </c>
      <c r="C1309" s="195">
        <f t="shared" si="41"/>
        <v>2</v>
      </c>
      <c r="D1309" s="195">
        <v>38.799999999999997</v>
      </c>
      <c r="E1309" s="705">
        <f t="shared" si="42"/>
        <v>3.7777777777777759</v>
      </c>
    </row>
    <row r="1310" spans="2:5">
      <c r="B1310" s="943">
        <v>44981</v>
      </c>
      <c r="C1310" s="195">
        <f t="shared" si="41"/>
        <v>2</v>
      </c>
      <c r="D1310" s="195">
        <v>39.4</v>
      </c>
      <c r="E1310" s="705">
        <f t="shared" si="42"/>
        <v>4.1111111111111098</v>
      </c>
    </row>
    <row r="1311" spans="2:5">
      <c r="B1311" s="943">
        <v>44981</v>
      </c>
      <c r="C1311" s="195">
        <f t="shared" si="41"/>
        <v>2</v>
      </c>
      <c r="D1311" s="195">
        <v>39.700000000000003</v>
      </c>
      <c r="E1311" s="705">
        <f t="shared" si="42"/>
        <v>4.2777777777777795</v>
      </c>
    </row>
    <row r="1312" spans="2:5">
      <c r="B1312" s="943">
        <v>44981</v>
      </c>
      <c r="C1312" s="195">
        <f t="shared" si="41"/>
        <v>2</v>
      </c>
      <c r="D1312" s="195">
        <v>39.9</v>
      </c>
      <c r="E1312" s="705">
        <f t="shared" si="42"/>
        <v>4.3888888888888884</v>
      </c>
    </row>
    <row r="1313" spans="2:5">
      <c r="B1313" s="943">
        <v>44981</v>
      </c>
      <c r="C1313" s="195">
        <f t="shared" si="41"/>
        <v>2</v>
      </c>
      <c r="D1313" s="195">
        <v>40.1</v>
      </c>
      <c r="E1313" s="705">
        <f t="shared" si="42"/>
        <v>4.5000000000000009</v>
      </c>
    </row>
    <row r="1314" spans="2:5">
      <c r="B1314" s="943">
        <v>44981</v>
      </c>
      <c r="C1314" s="195">
        <f t="shared" si="41"/>
        <v>2</v>
      </c>
      <c r="D1314" s="195">
        <v>39.9</v>
      </c>
      <c r="E1314" s="705">
        <f t="shared" si="42"/>
        <v>4.3888888888888884</v>
      </c>
    </row>
    <row r="1315" spans="2:5">
      <c r="B1315" s="943">
        <v>44981</v>
      </c>
      <c r="C1315" s="195">
        <f t="shared" si="41"/>
        <v>2</v>
      </c>
      <c r="D1315" s="195">
        <v>39.9</v>
      </c>
      <c r="E1315" s="705">
        <f t="shared" si="42"/>
        <v>4.3888888888888884</v>
      </c>
    </row>
    <row r="1316" spans="2:5">
      <c r="B1316" s="943">
        <v>44981</v>
      </c>
      <c r="C1316" s="195">
        <f t="shared" si="41"/>
        <v>2</v>
      </c>
      <c r="D1316" s="195">
        <v>39.700000000000003</v>
      </c>
      <c r="E1316" s="705">
        <f t="shared" si="42"/>
        <v>4.2777777777777795</v>
      </c>
    </row>
    <row r="1317" spans="2:5">
      <c r="B1317" s="943">
        <v>44981</v>
      </c>
      <c r="C1317" s="195">
        <f t="shared" si="41"/>
        <v>2</v>
      </c>
      <c r="D1317" s="195">
        <v>39.200000000000003</v>
      </c>
      <c r="E1317" s="705">
        <f t="shared" si="42"/>
        <v>4.0000000000000018</v>
      </c>
    </row>
    <row r="1318" spans="2:5">
      <c r="B1318" s="943">
        <v>44981</v>
      </c>
      <c r="C1318" s="195">
        <f t="shared" si="41"/>
        <v>2</v>
      </c>
      <c r="D1318" s="195" t="s">
        <v>429</v>
      </c>
      <c r="E1318" s="705"/>
    </row>
    <row r="1319" spans="2:5">
      <c r="B1319" s="943">
        <v>44981</v>
      </c>
      <c r="C1319" s="195">
        <f t="shared" si="41"/>
        <v>2</v>
      </c>
      <c r="D1319" s="195">
        <v>38.700000000000003</v>
      </c>
      <c r="E1319" s="705">
        <f t="shared" si="42"/>
        <v>3.7222222222222237</v>
      </c>
    </row>
    <row r="1320" spans="2:5">
      <c r="B1320" s="943">
        <v>44981</v>
      </c>
      <c r="C1320" s="195">
        <f t="shared" si="41"/>
        <v>2</v>
      </c>
      <c r="D1320" s="195">
        <v>38.299999999999997</v>
      </c>
      <c r="E1320" s="705">
        <f t="shared" si="42"/>
        <v>3.4999999999999982</v>
      </c>
    </row>
    <row r="1321" spans="2:5">
      <c r="B1321" s="943">
        <v>44981</v>
      </c>
      <c r="C1321" s="195">
        <f t="shared" si="41"/>
        <v>2</v>
      </c>
      <c r="D1321" s="195">
        <v>38.299999999999997</v>
      </c>
      <c r="E1321" s="705">
        <f t="shared" si="42"/>
        <v>3.4999999999999982</v>
      </c>
    </row>
    <row r="1322" spans="2:5">
      <c r="B1322" s="943">
        <v>44981</v>
      </c>
      <c r="C1322" s="195">
        <f t="shared" si="41"/>
        <v>2</v>
      </c>
      <c r="D1322" s="195">
        <v>38.799999999999997</v>
      </c>
      <c r="E1322" s="705">
        <f t="shared" si="42"/>
        <v>3.7777777777777759</v>
      </c>
    </row>
    <row r="1323" spans="2:5">
      <c r="B1323" s="943">
        <v>44981</v>
      </c>
      <c r="C1323" s="195">
        <f t="shared" si="41"/>
        <v>2</v>
      </c>
      <c r="D1323" s="195">
        <v>39.200000000000003</v>
      </c>
      <c r="E1323" s="705">
        <f t="shared" si="42"/>
        <v>4.0000000000000018</v>
      </c>
    </row>
    <row r="1324" spans="2:5">
      <c r="B1324" s="943">
        <v>44981</v>
      </c>
      <c r="C1324" s="195">
        <f t="shared" si="41"/>
        <v>2</v>
      </c>
      <c r="D1324" s="195">
        <v>39.6</v>
      </c>
      <c r="E1324" s="705">
        <f t="shared" si="42"/>
        <v>4.2222222222222232</v>
      </c>
    </row>
    <row r="1325" spans="2:5">
      <c r="B1325" s="943">
        <v>44981</v>
      </c>
      <c r="C1325" s="195">
        <f t="shared" si="41"/>
        <v>2</v>
      </c>
      <c r="D1325" s="195">
        <v>39.9</v>
      </c>
      <c r="E1325" s="705">
        <f t="shared" si="42"/>
        <v>4.3888888888888884</v>
      </c>
    </row>
    <row r="1326" spans="2:5">
      <c r="B1326" s="943">
        <v>44981</v>
      </c>
      <c r="C1326" s="195">
        <f t="shared" si="41"/>
        <v>2</v>
      </c>
      <c r="D1326" s="195">
        <v>39.9</v>
      </c>
      <c r="E1326" s="705">
        <f t="shared" si="42"/>
        <v>4.3888888888888884</v>
      </c>
    </row>
    <row r="1327" spans="2:5">
      <c r="B1327" s="943">
        <v>44981</v>
      </c>
      <c r="C1327" s="195">
        <f t="shared" si="41"/>
        <v>2</v>
      </c>
      <c r="D1327" s="195">
        <v>39.9</v>
      </c>
      <c r="E1327" s="705">
        <f t="shared" si="42"/>
        <v>4.3888888888888884</v>
      </c>
    </row>
    <row r="1328" spans="2:5">
      <c r="B1328" s="943">
        <v>44981</v>
      </c>
      <c r="C1328" s="195">
        <f t="shared" si="41"/>
        <v>2</v>
      </c>
      <c r="D1328" s="195">
        <v>39.6</v>
      </c>
      <c r="E1328" s="705">
        <f t="shared" si="42"/>
        <v>4.2222222222222232</v>
      </c>
    </row>
    <row r="1329" spans="2:5">
      <c r="B1329" s="943">
        <v>44982</v>
      </c>
      <c r="C1329" s="195">
        <f t="shared" si="41"/>
        <v>2</v>
      </c>
      <c r="D1329" s="195">
        <v>39.200000000000003</v>
      </c>
      <c r="E1329" s="705">
        <f t="shared" si="42"/>
        <v>4.0000000000000018</v>
      </c>
    </row>
    <row r="1330" spans="2:5">
      <c r="B1330" s="943">
        <v>44982</v>
      </c>
      <c r="C1330" s="195">
        <f t="shared" si="41"/>
        <v>2</v>
      </c>
      <c r="D1330" s="195">
        <v>38.700000000000003</v>
      </c>
      <c r="E1330" s="705">
        <f t="shared" si="42"/>
        <v>3.7222222222222237</v>
      </c>
    </row>
    <row r="1331" spans="2:5">
      <c r="B1331" s="943">
        <v>44982</v>
      </c>
      <c r="C1331" s="195">
        <f t="shared" si="41"/>
        <v>2</v>
      </c>
      <c r="D1331" s="195">
        <v>38.299999999999997</v>
      </c>
      <c r="E1331" s="705">
        <f t="shared" si="42"/>
        <v>3.4999999999999982</v>
      </c>
    </row>
    <row r="1332" spans="2:5">
      <c r="B1332" s="943">
        <v>44982</v>
      </c>
      <c r="C1332" s="195">
        <f t="shared" si="41"/>
        <v>2</v>
      </c>
      <c r="D1332" s="195">
        <v>37.9</v>
      </c>
      <c r="E1332" s="705">
        <f t="shared" si="42"/>
        <v>3.2777777777777768</v>
      </c>
    </row>
    <row r="1333" spans="2:5">
      <c r="B1333" s="943">
        <v>44982</v>
      </c>
      <c r="C1333" s="195">
        <f t="shared" si="41"/>
        <v>2</v>
      </c>
      <c r="D1333" s="195">
        <v>37.799999999999997</v>
      </c>
      <c r="E1333" s="705">
        <f t="shared" si="42"/>
        <v>3.2222222222222205</v>
      </c>
    </row>
    <row r="1334" spans="2:5">
      <c r="B1334" s="943">
        <v>44982</v>
      </c>
      <c r="C1334" s="195">
        <f t="shared" si="41"/>
        <v>2</v>
      </c>
      <c r="D1334" s="195">
        <v>38.5</v>
      </c>
      <c r="E1334" s="705">
        <f t="shared" si="42"/>
        <v>3.6111111111111112</v>
      </c>
    </row>
    <row r="1335" spans="2:5">
      <c r="B1335" s="943">
        <v>44982</v>
      </c>
      <c r="C1335" s="195">
        <f t="shared" si="41"/>
        <v>2</v>
      </c>
      <c r="D1335" s="195">
        <v>38.799999999999997</v>
      </c>
      <c r="E1335" s="705">
        <f t="shared" si="42"/>
        <v>3.7777777777777759</v>
      </c>
    </row>
    <row r="1336" spans="2:5">
      <c r="B1336" s="943">
        <v>44982</v>
      </c>
      <c r="C1336" s="195">
        <f t="shared" si="41"/>
        <v>2</v>
      </c>
      <c r="D1336" s="195">
        <v>39.4</v>
      </c>
      <c r="E1336" s="705">
        <f t="shared" si="42"/>
        <v>4.1111111111111098</v>
      </c>
    </row>
    <row r="1337" spans="2:5">
      <c r="B1337" s="943">
        <v>44982</v>
      </c>
      <c r="C1337" s="195">
        <f t="shared" si="41"/>
        <v>2</v>
      </c>
      <c r="D1337" s="195">
        <v>39.6</v>
      </c>
      <c r="E1337" s="705">
        <f t="shared" si="42"/>
        <v>4.2222222222222232</v>
      </c>
    </row>
    <row r="1338" spans="2:5">
      <c r="B1338" s="943">
        <v>44982</v>
      </c>
      <c r="C1338" s="195">
        <f t="shared" si="41"/>
        <v>2</v>
      </c>
      <c r="D1338" s="195">
        <v>39.6</v>
      </c>
      <c r="E1338" s="705">
        <f t="shared" si="42"/>
        <v>4.2222222222222232</v>
      </c>
    </row>
    <row r="1339" spans="2:5">
      <c r="B1339" s="943">
        <v>44982</v>
      </c>
      <c r="C1339" s="195">
        <f t="shared" si="41"/>
        <v>2</v>
      </c>
      <c r="D1339" s="195">
        <v>39.6</v>
      </c>
      <c r="E1339" s="705">
        <f t="shared" si="42"/>
        <v>4.2222222222222232</v>
      </c>
    </row>
    <row r="1340" spans="2:5">
      <c r="B1340" s="943">
        <v>44982</v>
      </c>
      <c r="C1340" s="195">
        <f t="shared" si="41"/>
        <v>2</v>
      </c>
      <c r="D1340" s="195">
        <v>39.4</v>
      </c>
      <c r="E1340" s="705">
        <f t="shared" si="42"/>
        <v>4.1111111111111098</v>
      </c>
    </row>
    <row r="1341" spans="2:5">
      <c r="B1341" s="943">
        <v>44982</v>
      </c>
      <c r="C1341" s="195">
        <f t="shared" si="41"/>
        <v>2</v>
      </c>
      <c r="D1341" s="195">
        <v>38.799999999999997</v>
      </c>
      <c r="E1341" s="705">
        <f t="shared" si="42"/>
        <v>3.7777777777777759</v>
      </c>
    </row>
    <row r="1342" spans="2:5">
      <c r="B1342" s="943">
        <v>44982</v>
      </c>
      <c r="C1342" s="195">
        <f t="shared" si="41"/>
        <v>2</v>
      </c>
      <c r="D1342" s="195">
        <v>38.1</v>
      </c>
      <c r="E1342" s="705">
        <f t="shared" si="42"/>
        <v>3.3888888888888897</v>
      </c>
    </row>
    <row r="1343" spans="2:5">
      <c r="B1343" s="943">
        <v>44982</v>
      </c>
      <c r="C1343" s="195">
        <f t="shared" si="41"/>
        <v>2</v>
      </c>
      <c r="D1343" s="195">
        <v>37.799999999999997</v>
      </c>
      <c r="E1343" s="705">
        <f t="shared" si="42"/>
        <v>3.2222222222222205</v>
      </c>
    </row>
    <row r="1344" spans="2:5">
      <c r="B1344" s="943">
        <v>44982</v>
      </c>
      <c r="C1344" s="195">
        <f t="shared" si="41"/>
        <v>2</v>
      </c>
      <c r="D1344" s="195">
        <v>37.4</v>
      </c>
      <c r="E1344" s="705">
        <f t="shared" si="42"/>
        <v>2.9999999999999991</v>
      </c>
    </row>
    <row r="1345" spans="2:5">
      <c r="B1345" s="943">
        <v>44982</v>
      </c>
      <c r="C1345" s="195">
        <f t="shared" si="41"/>
        <v>2</v>
      </c>
      <c r="D1345" s="195" t="s">
        <v>1432</v>
      </c>
      <c r="E1345" s="705">
        <f t="shared" si="42"/>
        <v>2.7777777777777777</v>
      </c>
    </row>
    <row r="1346" spans="2:5">
      <c r="B1346" s="943">
        <v>44982</v>
      </c>
      <c r="C1346" s="195">
        <f t="shared" si="41"/>
        <v>2</v>
      </c>
      <c r="D1346" s="195">
        <v>37.200000000000003</v>
      </c>
      <c r="E1346" s="705">
        <f t="shared" si="42"/>
        <v>2.8888888888888906</v>
      </c>
    </row>
    <row r="1347" spans="2:5">
      <c r="B1347" s="943">
        <v>44982</v>
      </c>
      <c r="C1347" s="195">
        <f t="shared" si="41"/>
        <v>2</v>
      </c>
      <c r="D1347" s="195">
        <v>37.799999999999997</v>
      </c>
      <c r="E1347" s="705">
        <f t="shared" si="42"/>
        <v>3.2222222222222205</v>
      </c>
    </row>
    <row r="1348" spans="2:5">
      <c r="B1348" s="943">
        <v>44982</v>
      </c>
      <c r="C1348" s="195">
        <f t="shared" si="41"/>
        <v>2</v>
      </c>
      <c r="D1348" s="195">
        <v>38.1</v>
      </c>
      <c r="E1348" s="705">
        <f t="shared" si="42"/>
        <v>3.3888888888888897</v>
      </c>
    </row>
    <row r="1349" spans="2:5">
      <c r="B1349" s="943">
        <v>44982</v>
      </c>
      <c r="C1349" s="195">
        <f t="shared" si="41"/>
        <v>2</v>
      </c>
      <c r="D1349" s="195">
        <v>38.700000000000003</v>
      </c>
      <c r="E1349" s="705">
        <f t="shared" si="42"/>
        <v>3.7222222222222237</v>
      </c>
    </row>
    <row r="1350" spans="2:5">
      <c r="B1350" s="943">
        <v>44982</v>
      </c>
      <c r="C1350" s="195">
        <f t="shared" si="41"/>
        <v>2</v>
      </c>
      <c r="D1350" s="195" t="s">
        <v>1431</v>
      </c>
      <c r="E1350" s="705">
        <f t="shared" si="42"/>
        <v>3.8888888888888888</v>
      </c>
    </row>
    <row r="1351" spans="2:5">
      <c r="B1351" s="943">
        <v>44982</v>
      </c>
      <c r="C1351" s="195">
        <f t="shared" si="41"/>
        <v>2</v>
      </c>
      <c r="D1351" s="195" t="s">
        <v>1431</v>
      </c>
      <c r="E1351" s="705">
        <f t="shared" si="42"/>
        <v>3.8888888888888888</v>
      </c>
    </row>
    <row r="1352" spans="2:5">
      <c r="B1352" s="943">
        <v>44982</v>
      </c>
      <c r="C1352" s="195">
        <f t="shared" si="41"/>
        <v>2</v>
      </c>
      <c r="D1352" s="195" t="s">
        <v>1431</v>
      </c>
      <c r="E1352" s="705">
        <f t="shared" si="42"/>
        <v>3.8888888888888888</v>
      </c>
    </row>
    <row r="1353" spans="2:5">
      <c r="B1353" s="943">
        <v>44983</v>
      </c>
      <c r="C1353" s="195">
        <f t="shared" si="41"/>
        <v>2</v>
      </c>
      <c r="D1353" s="195">
        <v>38.799999999999997</v>
      </c>
      <c r="E1353" s="705">
        <f t="shared" si="42"/>
        <v>3.7777777777777759</v>
      </c>
    </row>
    <row r="1354" spans="2:5">
      <c r="B1354" s="943">
        <v>44983</v>
      </c>
      <c r="C1354" s="195">
        <f t="shared" ref="C1354:C1417" si="43">MONTH(B1354)</f>
        <v>2</v>
      </c>
      <c r="D1354" s="195">
        <v>38.299999999999997</v>
      </c>
      <c r="E1354" s="705">
        <f t="shared" ref="E1354:E1417" si="44">CONVERT(D1354,"F","C")</f>
        <v>3.4999999999999982</v>
      </c>
    </row>
    <row r="1355" spans="2:5">
      <c r="B1355" s="943">
        <v>44983</v>
      </c>
      <c r="C1355" s="195">
        <f t="shared" si="43"/>
        <v>2</v>
      </c>
      <c r="D1355" s="195">
        <v>37.799999999999997</v>
      </c>
      <c r="E1355" s="705">
        <f t="shared" si="44"/>
        <v>3.2222222222222205</v>
      </c>
    </row>
    <row r="1356" spans="2:5">
      <c r="B1356" s="943">
        <v>44983</v>
      </c>
      <c r="C1356" s="195">
        <f t="shared" si="43"/>
        <v>2</v>
      </c>
      <c r="D1356" s="195">
        <v>37.200000000000003</v>
      </c>
      <c r="E1356" s="705">
        <f t="shared" si="44"/>
        <v>2.8888888888888906</v>
      </c>
    </row>
    <row r="1357" spans="2:5">
      <c r="B1357" s="943">
        <v>44983</v>
      </c>
      <c r="C1357" s="195">
        <f t="shared" si="43"/>
        <v>2</v>
      </c>
      <c r="D1357" s="195">
        <v>36.9</v>
      </c>
      <c r="E1357" s="705">
        <f t="shared" si="44"/>
        <v>2.7222222222222214</v>
      </c>
    </row>
    <row r="1358" spans="2:5">
      <c r="B1358" s="943">
        <v>44983</v>
      </c>
      <c r="C1358" s="195">
        <f t="shared" si="43"/>
        <v>2</v>
      </c>
      <c r="D1358" s="195" t="s">
        <v>1432</v>
      </c>
      <c r="E1358" s="705">
        <f t="shared" si="44"/>
        <v>2.7777777777777777</v>
      </c>
    </row>
    <row r="1359" spans="2:5">
      <c r="B1359" s="943">
        <v>44983</v>
      </c>
      <c r="C1359" s="195">
        <f t="shared" si="43"/>
        <v>2</v>
      </c>
      <c r="D1359" s="195">
        <v>37.799999999999997</v>
      </c>
      <c r="E1359" s="705">
        <f t="shared" si="44"/>
        <v>3.2222222222222205</v>
      </c>
    </row>
    <row r="1360" spans="2:5">
      <c r="B1360" s="943">
        <v>44983</v>
      </c>
      <c r="C1360" s="195">
        <f t="shared" si="43"/>
        <v>2</v>
      </c>
      <c r="D1360" s="195">
        <v>38.1</v>
      </c>
      <c r="E1360" s="705">
        <f t="shared" si="44"/>
        <v>3.3888888888888897</v>
      </c>
    </row>
    <row r="1361" spans="2:5">
      <c r="B1361" s="943">
        <v>44983</v>
      </c>
      <c r="C1361" s="195">
        <f t="shared" si="43"/>
        <v>2</v>
      </c>
      <c r="D1361" s="195">
        <v>38.700000000000003</v>
      </c>
      <c r="E1361" s="705">
        <f t="shared" si="44"/>
        <v>3.7222222222222237</v>
      </c>
    </row>
    <row r="1362" spans="2:5">
      <c r="B1362" s="943">
        <v>44983</v>
      </c>
      <c r="C1362" s="195">
        <f t="shared" si="43"/>
        <v>2</v>
      </c>
      <c r="D1362" s="195" t="s">
        <v>1431</v>
      </c>
      <c r="E1362" s="705">
        <f t="shared" si="44"/>
        <v>3.8888888888888888</v>
      </c>
    </row>
    <row r="1363" spans="2:5">
      <c r="B1363" s="943">
        <v>44983</v>
      </c>
      <c r="C1363" s="195">
        <f t="shared" si="43"/>
        <v>2</v>
      </c>
      <c r="D1363" s="195" t="s">
        <v>1431</v>
      </c>
      <c r="E1363" s="705">
        <f t="shared" si="44"/>
        <v>3.8888888888888888</v>
      </c>
    </row>
    <row r="1364" spans="2:5">
      <c r="B1364" s="943">
        <v>44983</v>
      </c>
      <c r="C1364" s="195">
        <f t="shared" si="43"/>
        <v>2</v>
      </c>
      <c r="D1364" s="195" t="s">
        <v>1431</v>
      </c>
      <c r="E1364" s="705">
        <f t="shared" si="44"/>
        <v>3.8888888888888888</v>
      </c>
    </row>
    <row r="1365" spans="2:5">
      <c r="B1365" s="943">
        <v>44983</v>
      </c>
      <c r="C1365" s="195">
        <f t="shared" si="43"/>
        <v>2</v>
      </c>
      <c r="D1365" s="195">
        <v>38.799999999999997</v>
      </c>
      <c r="E1365" s="705">
        <f t="shared" si="44"/>
        <v>3.7777777777777759</v>
      </c>
    </row>
    <row r="1366" spans="2:5">
      <c r="B1366" s="943">
        <v>44983</v>
      </c>
      <c r="C1366" s="195">
        <f t="shared" si="43"/>
        <v>2</v>
      </c>
      <c r="D1366" s="195">
        <v>38.5</v>
      </c>
      <c r="E1366" s="705">
        <f t="shared" si="44"/>
        <v>3.6111111111111112</v>
      </c>
    </row>
    <row r="1367" spans="2:5">
      <c r="B1367" s="943">
        <v>44983</v>
      </c>
      <c r="C1367" s="195">
        <f t="shared" si="43"/>
        <v>2</v>
      </c>
      <c r="D1367" s="195">
        <v>37.799999999999997</v>
      </c>
      <c r="E1367" s="705">
        <f t="shared" si="44"/>
        <v>3.2222222222222205</v>
      </c>
    </row>
    <row r="1368" spans="2:5">
      <c r="B1368" s="943">
        <v>44983</v>
      </c>
      <c r="C1368" s="195">
        <f t="shared" si="43"/>
        <v>2</v>
      </c>
      <c r="D1368" s="195">
        <v>37.200000000000003</v>
      </c>
      <c r="E1368" s="705">
        <f t="shared" si="44"/>
        <v>2.8888888888888906</v>
      </c>
    </row>
    <row r="1369" spans="2:5">
      <c r="B1369" s="943">
        <v>44983</v>
      </c>
      <c r="C1369" s="195">
        <f t="shared" si="43"/>
        <v>2</v>
      </c>
      <c r="D1369" s="195">
        <v>36.9</v>
      </c>
      <c r="E1369" s="705">
        <f t="shared" si="44"/>
        <v>2.7222222222222214</v>
      </c>
    </row>
    <row r="1370" spans="2:5">
      <c r="B1370" s="943">
        <v>44983</v>
      </c>
      <c r="C1370" s="195">
        <f t="shared" si="43"/>
        <v>2</v>
      </c>
      <c r="D1370" s="195">
        <v>36.5</v>
      </c>
      <c r="E1370" s="705">
        <f t="shared" si="44"/>
        <v>2.5</v>
      </c>
    </row>
    <row r="1371" spans="2:5">
      <c r="B1371" s="943">
        <v>44983</v>
      </c>
      <c r="C1371" s="195">
        <f t="shared" si="43"/>
        <v>2</v>
      </c>
      <c r="D1371" s="195">
        <v>36.9</v>
      </c>
      <c r="E1371" s="705">
        <f t="shared" si="44"/>
        <v>2.7222222222222214</v>
      </c>
    </row>
    <row r="1372" spans="2:5">
      <c r="B1372" s="943">
        <v>44983</v>
      </c>
      <c r="C1372" s="195">
        <f t="shared" si="43"/>
        <v>2</v>
      </c>
      <c r="D1372" s="195">
        <v>37.4</v>
      </c>
      <c r="E1372" s="705">
        <f t="shared" si="44"/>
        <v>2.9999999999999991</v>
      </c>
    </row>
    <row r="1373" spans="2:5">
      <c r="B1373" s="943">
        <v>44983</v>
      </c>
      <c r="C1373" s="195">
        <f t="shared" si="43"/>
        <v>2</v>
      </c>
      <c r="D1373" s="195">
        <v>37.9</v>
      </c>
      <c r="E1373" s="705">
        <f t="shared" si="44"/>
        <v>3.2777777777777768</v>
      </c>
    </row>
    <row r="1374" spans="2:5">
      <c r="B1374" s="943">
        <v>44983</v>
      </c>
      <c r="C1374" s="195">
        <f t="shared" si="43"/>
        <v>2</v>
      </c>
      <c r="D1374" s="195">
        <v>38.5</v>
      </c>
      <c r="E1374" s="705">
        <f t="shared" si="44"/>
        <v>3.6111111111111112</v>
      </c>
    </row>
    <row r="1375" spans="2:5">
      <c r="B1375" s="943">
        <v>44983</v>
      </c>
      <c r="C1375" s="195">
        <f t="shared" si="43"/>
        <v>2</v>
      </c>
      <c r="D1375" s="195">
        <v>38.799999999999997</v>
      </c>
      <c r="E1375" s="705">
        <f t="shared" si="44"/>
        <v>3.7777777777777759</v>
      </c>
    </row>
    <row r="1376" spans="2:5">
      <c r="B1376" s="943">
        <v>44983</v>
      </c>
      <c r="C1376" s="195">
        <f t="shared" si="43"/>
        <v>2</v>
      </c>
      <c r="D1376" s="195">
        <v>38.799999999999997</v>
      </c>
      <c r="E1376" s="705">
        <f t="shared" si="44"/>
        <v>3.7777777777777759</v>
      </c>
    </row>
    <row r="1377" spans="2:5">
      <c r="B1377" s="943">
        <v>44984</v>
      </c>
      <c r="C1377" s="195">
        <f t="shared" si="43"/>
        <v>2</v>
      </c>
      <c r="D1377" s="195">
        <v>38.799999999999997</v>
      </c>
      <c r="E1377" s="705">
        <f t="shared" si="44"/>
        <v>3.7777777777777759</v>
      </c>
    </row>
    <row r="1378" spans="2:5">
      <c r="B1378" s="943">
        <v>44984</v>
      </c>
      <c r="C1378" s="195">
        <f t="shared" si="43"/>
        <v>2</v>
      </c>
      <c r="D1378" s="195">
        <v>38.5</v>
      </c>
      <c r="E1378" s="705">
        <f t="shared" si="44"/>
        <v>3.6111111111111112</v>
      </c>
    </row>
    <row r="1379" spans="2:5">
      <c r="B1379" s="943">
        <v>44984</v>
      </c>
      <c r="C1379" s="195">
        <f t="shared" si="43"/>
        <v>2</v>
      </c>
      <c r="D1379" s="195">
        <v>37.9</v>
      </c>
      <c r="E1379" s="705">
        <f t="shared" si="44"/>
        <v>3.2777777777777768</v>
      </c>
    </row>
    <row r="1380" spans="2:5">
      <c r="B1380" s="943">
        <v>44984</v>
      </c>
      <c r="C1380" s="195">
        <f t="shared" si="43"/>
        <v>2</v>
      </c>
      <c r="D1380" s="195">
        <v>37.200000000000003</v>
      </c>
      <c r="E1380" s="705">
        <f t="shared" si="44"/>
        <v>2.8888888888888906</v>
      </c>
    </row>
    <row r="1381" spans="2:5">
      <c r="B1381" s="943">
        <v>44984</v>
      </c>
      <c r="C1381" s="195">
        <f t="shared" si="43"/>
        <v>2</v>
      </c>
      <c r="D1381" s="195">
        <v>36.700000000000003</v>
      </c>
      <c r="E1381" s="705">
        <f t="shared" si="44"/>
        <v>2.6111111111111125</v>
      </c>
    </row>
    <row r="1382" spans="2:5">
      <c r="B1382" s="943">
        <v>44984</v>
      </c>
      <c r="C1382" s="195">
        <f t="shared" si="43"/>
        <v>2</v>
      </c>
      <c r="D1382" s="195">
        <v>36.299999999999997</v>
      </c>
      <c r="E1382" s="705">
        <f t="shared" si="44"/>
        <v>2.3888888888888871</v>
      </c>
    </row>
    <row r="1383" spans="2:5">
      <c r="B1383" s="943">
        <v>44984</v>
      </c>
      <c r="C1383" s="195">
        <f t="shared" si="43"/>
        <v>2</v>
      </c>
      <c r="D1383" s="195">
        <v>36.5</v>
      </c>
      <c r="E1383" s="705">
        <f t="shared" si="44"/>
        <v>2.5</v>
      </c>
    </row>
    <row r="1384" spans="2:5">
      <c r="B1384" s="943">
        <v>44984</v>
      </c>
      <c r="C1384" s="195">
        <f t="shared" si="43"/>
        <v>2</v>
      </c>
      <c r="D1384" s="195">
        <v>37.4</v>
      </c>
      <c r="E1384" s="705">
        <f t="shared" si="44"/>
        <v>2.9999999999999991</v>
      </c>
    </row>
    <row r="1385" spans="2:5">
      <c r="B1385" s="943">
        <v>44984</v>
      </c>
      <c r="C1385" s="195">
        <f t="shared" si="43"/>
        <v>2</v>
      </c>
      <c r="D1385" s="195">
        <v>37.9</v>
      </c>
      <c r="E1385" s="705">
        <f t="shared" si="44"/>
        <v>3.2777777777777768</v>
      </c>
    </row>
    <row r="1386" spans="2:5">
      <c r="B1386" s="943">
        <v>44984</v>
      </c>
      <c r="C1386" s="195">
        <f t="shared" si="43"/>
        <v>2</v>
      </c>
      <c r="D1386" s="195">
        <v>38.5</v>
      </c>
      <c r="E1386" s="705">
        <f t="shared" si="44"/>
        <v>3.6111111111111112</v>
      </c>
    </row>
    <row r="1387" spans="2:5">
      <c r="B1387" s="943">
        <v>44984</v>
      </c>
      <c r="C1387" s="195">
        <f t="shared" si="43"/>
        <v>2</v>
      </c>
      <c r="D1387" s="195">
        <v>38.700000000000003</v>
      </c>
      <c r="E1387" s="705">
        <f t="shared" si="44"/>
        <v>3.7222222222222237</v>
      </c>
    </row>
    <row r="1388" spans="2:5">
      <c r="B1388" s="943">
        <v>44984</v>
      </c>
      <c r="C1388" s="195">
        <f t="shared" si="43"/>
        <v>2</v>
      </c>
      <c r="D1388" s="195">
        <v>38.799999999999997</v>
      </c>
      <c r="E1388" s="705">
        <f t="shared" si="44"/>
        <v>3.7777777777777759</v>
      </c>
    </row>
    <row r="1389" spans="2:5">
      <c r="B1389" s="943">
        <v>44984</v>
      </c>
      <c r="C1389" s="195">
        <f t="shared" si="43"/>
        <v>2</v>
      </c>
      <c r="D1389" s="195">
        <v>38.5</v>
      </c>
      <c r="E1389" s="705">
        <f t="shared" si="44"/>
        <v>3.6111111111111112</v>
      </c>
    </row>
    <row r="1390" spans="2:5">
      <c r="B1390" s="943">
        <v>44984</v>
      </c>
      <c r="C1390" s="195">
        <f t="shared" si="43"/>
        <v>2</v>
      </c>
      <c r="D1390" s="195">
        <v>38.5</v>
      </c>
      <c r="E1390" s="705">
        <f t="shared" si="44"/>
        <v>3.6111111111111112</v>
      </c>
    </row>
    <row r="1391" spans="2:5">
      <c r="B1391" s="943">
        <v>44984</v>
      </c>
      <c r="C1391" s="195">
        <f t="shared" si="43"/>
        <v>2</v>
      </c>
      <c r="D1391" s="195">
        <v>38.1</v>
      </c>
      <c r="E1391" s="705">
        <f t="shared" si="44"/>
        <v>3.3888888888888897</v>
      </c>
    </row>
    <row r="1392" spans="2:5">
      <c r="B1392" s="943">
        <v>44984</v>
      </c>
      <c r="C1392" s="195">
        <f t="shared" si="43"/>
        <v>2</v>
      </c>
      <c r="D1392" s="195">
        <v>37.200000000000003</v>
      </c>
      <c r="E1392" s="705">
        <f t="shared" si="44"/>
        <v>2.8888888888888906</v>
      </c>
    </row>
    <row r="1393" spans="2:5">
      <c r="B1393" s="943">
        <v>44984</v>
      </c>
      <c r="C1393" s="195">
        <f t="shared" si="43"/>
        <v>2</v>
      </c>
      <c r="D1393" s="195">
        <v>36.9</v>
      </c>
      <c r="E1393" s="705">
        <f t="shared" si="44"/>
        <v>2.7222222222222214</v>
      </c>
    </row>
    <row r="1394" spans="2:5">
      <c r="B1394" s="943">
        <v>44984</v>
      </c>
      <c r="C1394" s="195">
        <f t="shared" si="43"/>
        <v>2</v>
      </c>
      <c r="D1394" s="195">
        <v>36.5</v>
      </c>
      <c r="E1394" s="705">
        <f t="shared" si="44"/>
        <v>2.5</v>
      </c>
    </row>
    <row r="1395" spans="2:5">
      <c r="B1395" s="943">
        <v>44984</v>
      </c>
      <c r="C1395" s="195">
        <f t="shared" si="43"/>
        <v>2</v>
      </c>
      <c r="D1395" s="195">
        <v>36.299999999999997</v>
      </c>
      <c r="E1395" s="705">
        <f t="shared" si="44"/>
        <v>2.3888888888888871</v>
      </c>
    </row>
    <row r="1396" spans="2:5">
      <c r="B1396" s="943">
        <v>44984</v>
      </c>
      <c r="C1396" s="195">
        <f t="shared" si="43"/>
        <v>2</v>
      </c>
      <c r="D1396" s="195">
        <v>36.5</v>
      </c>
      <c r="E1396" s="705">
        <f t="shared" si="44"/>
        <v>2.5</v>
      </c>
    </row>
    <row r="1397" spans="2:5">
      <c r="B1397" s="943">
        <v>44984</v>
      </c>
      <c r="C1397" s="195">
        <f t="shared" si="43"/>
        <v>2</v>
      </c>
      <c r="D1397" s="195">
        <v>37.200000000000003</v>
      </c>
      <c r="E1397" s="705">
        <f t="shared" si="44"/>
        <v>2.8888888888888906</v>
      </c>
    </row>
    <row r="1398" spans="2:5">
      <c r="B1398" s="943">
        <v>44984</v>
      </c>
      <c r="C1398" s="195">
        <f t="shared" si="43"/>
        <v>2</v>
      </c>
      <c r="D1398" s="195">
        <v>37.6</v>
      </c>
      <c r="E1398" s="705">
        <f t="shared" si="44"/>
        <v>3.1111111111111116</v>
      </c>
    </row>
    <row r="1399" spans="2:5">
      <c r="B1399" s="943">
        <v>44984</v>
      </c>
      <c r="C1399" s="195">
        <f t="shared" si="43"/>
        <v>2</v>
      </c>
      <c r="D1399" s="195">
        <v>38.299999999999997</v>
      </c>
      <c r="E1399" s="705">
        <f t="shared" si="44"/>
        <v>3.4999999999999982</v>
      </c>
    </row>
    <row r="1400" spans="2:5">
      <c r="B1400" s="943">
        <v>44984</v>
      </c>
      <c r="C1400" s="195">
        <f t="shared" si="43"/>
        <v>2</v>
      </c>
      <c r="D1400" s="195">
        <v>38.700000000000003</v>
      </c>
      <c r="E1400" s="705">
        <f t="shared" si="44"/>
        <v>3.7222222222222237</v>
      </c>
    </row>
    <row r="1401" spans="2:5">
      <c r="B1401" s="943">
        <v>44985</v>
      </c>
      <c r="C1401" s="195">
        <f t="shared" si="43"/>
        <v>2</v>
      </c>
      <c r="D1401" s="195">
        <v>38.799999999999997</v>
      </c>
      <c r="E1401" s="705">
        <f t="shared" si="44"/>
        <v>3.7777777777777759</v>
      </c>
    </row>
    <row r="1402" spans="2:5">
      <c r="B1402" s="943">
        <v>44985</v>
      </c>
      <c r="C1402" s="195">
        <f t="shared" si="43"/>
        <v>2</v>
      </c>
      <c r="D1402" s="195">
        <v>38.700000000000003</v>
      </c>
      <c r="E1402" s="705">
        <f t="shared" si="44"/>
        <v>3.7222222222222237</v>
      </c>
    </row>
    <row r="1403" spans="2:5">
      <c r="B1403" s="943">
        <v>44985</v>
      </c>
      <c r="C1403" s="195">
        <f t="shared" si="43"/>
        <v>2</v>
      </c>
      <c r="D1403" s="195">
        <v>38.299999999999997</v>
      </c>
      <c r="E1403" s="705">
        <f t="shared" si="44"/>
        <v>3.4999999999999982</v>
      </c>
    </row>
    <row r="1404" spans="2:5">
      <c r="B1404" s="943">
        <v>44985</v>
      </c>
      <c r="C1404" s="195">
        <f t="shared" si="43"/>
        <v>2</v>
      </c>
      <c r="D1404" s="195">
        <v>37.9</v>
      </c>
      <c r="E1404" s="705">
        <f t="shared" si="44"/>
        <v>3.2777777777777768</v>
      </c>
    </row>
    <row r="1405" spans="2:5">
      <c r="B1405" s="943">
        <v>44985</v>
      </c>
      <c r="C1405" s="195">
        <f t="shared" si="43"/>
        <v>2</v>
      </c>
      <c r="D1405" s="195">
        <v>37.200000000000003</v>
      </c>
      <c r="E1405" s="705">
        <f t="shared" si="44"/>
        <v>2.8888888888888906</v>
      </c>
    </row>
    <row r="1406" spans="2:5">
      <c r="B1406" s="943">
        <v>44985</v>
      </c>
      <c r="C1406" s="195">
        <f t="shared" si="43"/>
        <v>2</v>
      </c>
      <c r="D1406" s="195">
        <v>36.700000000000003</v>
      </c>
      <c r="E1406" s="705">
        <f t="shared" si="44"/>
        <v>2.6111111111111125</v>
      </c>
    </row>
    <row r="1407" spans="2:5">
      <c r="B1407" s="943">
        <v>44985</v>
      </c>
      <c r="C1407" s="195">
        <f t="shared" si="43"/>
        <v>2</v>
      </c>
      <c r="D1407" s="195">
        <v>36.5</v>
      </c>
      <c r="E1407" s="705">
        <f t="shared" si="44"/>
        <v>2.5</v>
      </c>
    </row>
    <row r="1408" spans="2:5">
      <c r="B1408" s="943">
        <v>44985</v>
      </c>
      <c r="C1408" s="195">
        <f t="shared" si="43"/>
        <v>2</v>
      </c>
      <c r="D1408" s="195">
        <v>36.9</v>
      </c>
      <c r="E1408" s="705">
        <f t="shared" si="44"/>
        <v>2.7222222222222214</v>
      </c>
    </row>
    <row r="1409" spans="2:5">
      <c r="B1409" s="943">
        <v>44985</v>
      </c>
      <c r="C1409" s="195">
        <f t="shared" si="43"/>
        <v>2</v>
      </c>
      <c r="D1409" s="195">
        <v>37.799999999999997</v>
      </c>
      <c r="E1409" s="705">
        <f t="shared" si="44"/>
        <v>3.2222222222222205</v>
      </c>
    </row>
    <row r="1410" spans="2:5">
      <c r="B1410" s="943">
        <v>44985</v>
      </c>
      <c r="C1410" s="195">
        <f t="shared" si="43"/>
        <v>2</v>
      </c>
      <c r="D1410" s="195">
        <v>38.1</v>
      </c>
      <c r="E1410" s="705">
        <f t="shared" si="44"/>
        <v>3.3888888888888897</v>
      </c>
    </row>
    <row r="1411" spans="2:5">
      <c r="B1411" s="943">
        <v>44985</v>
      </c>
      <c r="C1411" s="195">
        <f t="shared" si="43"/>
        <v>2</v>
      </c>
      <c r="D1411" s="195">
        <v>38.5</v>
      </c>
      <c r="E1411" s="705">
        <f t="shared" si="44"/>
        <v>3.6111111111111112</v>
      </c>
    </row>
    <row r="1412" spans="2:5">
      <c r="B1412" s="943">
        <v>44985</v>
      </c>
      <c r="C1412" s="195">
        <f t="shared" si="43"/>
        <v>2</v>
      </c>
      <c r="D1412" s="195">
        <v>38.700000000000003</v>
      </c>
      <c r="E1412" s="705">
        <f t="shared" si="44"/>
        <v>3.7222222222222237</v>
      </c>
    </row>
    <row r="1413" spans="2:5">
      <c r="B1413" s="943">
        <v>44985</v>
      </c>
      <c r="C1413" s="195">
        <f t="shared" si="43"/>
        <v>2</v>
      </c>
      <c r="D1413" s="195">
        <v>38.799999999999997</v>
      </c>
      <c r="E1413" s="705">
        <f t="shared" si="44"/>
        <v>3.7777777777777759</v>
      </c>
    </row>
    <row r="1414" spans="2:5">
      <c r="B1414" s="943">
        <v>44985</v>
      </c>
      <c r="C1414" s="195">
        <f t="shared" si="43"/>
        <v>2</v>
      </c>
      <c r="D1414" s="195">
        <v>38.700000000000003</v>
      </c>
      <c r="E1414" s="705">
        <f t="shared" si="44"/>
        <v>3.7222222222222237</v>
      </c>
    </row>
    <row r="1415" spans="2:5">
      <c r="B1415" s="943">
        <v>44985</v>
      </c>
      <c r="C1415" s="195">
        <f t="shared" si="43"/>
        <v>2</v>
      </c>
      <c r="D1415" s="195">
        <v>38.700000000000003</v>
      </c>
      <c r="E1415" s="705">
        <f t="shared" si="44"/>
        <v>3.7222222222222237</v>
      </c>
    </row>
    <row r="1416" spans="2:5">
      <c r="B1416" s="943">
        <v>44985</v>
      </c>
      <c r="C1416" s="195">
        <f t="shared" si="43"/>
        <v>2</v>
      </c>
      <c r="D1416" s="195">
        <v>38.1</v>
      </c>
      <c r="E1416" s="705">
        <f t="shared" si="44"/>
        <v>3.3888888888888897</v>
      </c>
    </row>
    <row r="1417" spans="2:5">
      <c r="B1417" s="943">
        <v>44985</v>
      </c>
      <c r="C1417" s="195">
        <f t="shared" si="43"/>
        <v>2</v>
      </c>
      <c r="D1417" s="195">
        <v>37.4</v>
      </c>
      <c r="E1417" s="705">
        <f t="shared" si="44"/>
        <v>2.9999999999999991</v>
      </c>
    </row>
    <row r="1418" spans="2:5">
      <c r="B1418" s="943">
        <v>44985</v>
      </c>
      <c r="C1418" s="195">
        <f t="shared" ref="C1418:C1481" si="45">MONTH(B1418)</f>
        <v>2</v>
      </c>
      <c r="D1418" s="195">
        <v>36.9</v>
      </c>
      <c r="E1418" s="705">
        <f t="shared" ref="E1418:E1481" si="46">CONVERT(D1418,"F","C")</f>
        <v>2.7222222222222214</v>
      </c>
    </row>
    <row r="1419" spans="2:5">
      <c r="B1419" s="943">
        <v>44985</v>
      </c>
      <c r="C1419" s="195">
        <f t="shared" si="45"/>
        <v>2</v>
      </c>
      <c r="D1419" s="195">
        <v>36.5</v>
      </c>
      <c r="E1419" s="705">
        <f t="shared" si="46"/>
        <v>2.5</v>
      </c>
    </row>
    <row r="1420" spans="2:5">
      <c r="B1420" s="943">
        <v>44985</v>
      </c>
      <c r="C1420" s="195">
        <f t="shared" si="45"/>
        <v>2</v>
      </c>
      <c r="D1420" s="195">
        <v>36.299999999999997</v>
      </c>
      <c r="E1420" s="705">
        <f t="shared" si="46"/>
        <v>2.3888888888888871</v>
      </c>
    </row>
    <row r="1421" spans="2:5">
      <c r="B1421" s="943">
        <v>44985</v>
      </c>
      <c r="C1421" s="195">
        <f t="shared" si="45"/>
        <v>2</v>
      </c>
      <c r="D1421" s="195">
        <v>36.5</v>
      </c>
      <c r="E1421" s="705">
        <f t="shared" si="46"/>
        <v>2.5</v>
      </c>
    </row>
    <row r="1422" spans="2:5">
      <c r="B1422" s="943">
        <v>44985</v>
      </c>
      <c r="C1422" s="195">
        <f t="shared" si="45"/>
        <v>2</v>
      </c>
      <c r="D1422" s="195">
        <v>37.4</v>
      </c>
      <c r="E1422" s="705">
        <f t="shared" si="46"/>
        <v>2.9999999999999991</v>
      </c>
    </row>
    <row r="1423" spans="2:5">
      <c r="B1423" s="943">
        <v>44985</v>
      </c>
      <c r="C1423" s="195">
        <f t="shared" si="45"/>
        <v>2</v>
      </c>
      <c r="D1423" s="195">
        <v>37.6</v>
      </c>
      <c r="E1423" s="705">
        <f t="shared" si="46"/>
        <v>3.1111111111111116</v>
      </c>
    </row>
    <row r="1424" spans="2:5">
      <c r="B1424" s="943">
        <v>44985</v>
      </c>
      <c r="C1424" s="195">
        <f t="shared" si="45"/>
        <v>2</v>
      </c>
      <c r="D1424" s="195">
        <v>37.9</v>
      </c>
      <c r="E1424" s="705">
        <f t="shared" si="46"/>
        <v>3.2777777777777768</v>
      </c>
    </row>
    <row r="1425" spans="2:5">
      <c r="B1425" s="943">
        <v>44986</v>
      </c>
      <c r="C1425" s="195">
        <f t="shared" si="45"/>
        <v>3</v>
      </c>
      <c r="D1425" s="195">
        <v>38.299999999999997</v>
      </c>
      <c r="E1425" s="705">
        <f t="shared" si="46"/>
        <v>3.4999999999999982</v>
      </c>
    </row>
    <row r="1426" spans="2:5">
      <c r="B1426" s="943">
        <v>44986</v>
      </c>
      <c r="C1426" s="195">
        <f t="shared" si="45"/>
        <v>3</v>
      </c>
      <c r="D1426" s="195">
        <v>38.5</v>
      </c>
      <c r="E1426" s="705">
        <f t="shared" si="46"/>
        <v>3.6111111111111112</v>
      </c>
    </row>
    <row r="1427" spans="2:5">
      <c r="B1427" s="943">
        <v>44986</v>
      </c>
      <c r="C1427" s="195">
        <f t="shared" si="45"/>
        <v>3</v>
      </c>
      <c r="D1427" s="195">
        <v>38.299999999999997</v>
      </c>
      <c r="E1427" s="705">
        <f t="shared" si="46"/>
        <v>3.4999999999999982</v>
      </c>
    </row>
    <row r="1428" spans="2:5">
      <c r="B1428" s="943">
        <v>44986</v>
      </c>
      <c r="C1428" s="195">
        <f t="shared" si="45"/>
        <v>3</v>
      </c>
      <c r="D1428" s="195">
        <v>37.9</v>
      </c>
      <c r="E1428" s="705">
        <f t="shared" si="46"/>
        <v>3.2777777777777768</v>
      </c>
    </row>
    <row r="1429" spans="2:5">
      <c r="B1429" s="943">
        <v>44986</v>
      </c>
      <c r="C1429" s="195">
        <f t="shared" si="45"/>
        <v>3</v>
      </c>
      <c r="D1429" s="195">
        <v>37.6</v>
      </c>
      <c r="E1429" s="705">
        <f t="shared" si="46"/>
        <v>3.1111111111111116</v>
      </c>
    </row>
    <row r="1430" spans="2:5">
      <c r="B1430" s="943">
        <v>44986</v>
      </c>
      <c r="C1430" s="195">
        <f t="shared" si="45"/>
        <v>3</v>
      </c>
      <c r="D1430" s="195">
        <v>36.9</v>
      </c>
      <c r="E1430" s="705">
        <f t="shared" si="46"/>
        <v>2.7222222222222214</v>
      </c>
    </row>
    <row r="1431" spans="2:5">
      <c r="B1431" s="943">
        <v>44986</v>
      </c>
      <c r="C1431" s="195">
        <f t="shared" si="45"/>
        <v>3</v>
      </c>
      <c r="D1431" s="195">
        <v>36.5</v>
      </c>
      <c r="E1431" s="705">
        <f t="shared" si="46"/>
        <v>2.5</v>
      </c>
    </row>
    <row r="1432" spans="2:5">
      <c r="B1432" s="943">
        <v>44986</v>
      </c>
      <c r="C1432" s="195">
        <f t="shared" si="45"/>
        <v>3</v>
      </c>
      <c r="D1432" s="195">
        <v>36.1</v>
      </c>
      <c r="E1432" s="705">
        <f t="shared" si="46"/>
        <v>2.2777777777777786</v>
      </c>
    </row>
    <row r="1433" spans="2:5">
      <c r="B1433" s="943">
        <v>44986</v>
      </c>
      <c r="C1433" s="195">
        <f t="shared" si="45"/>
        <v>3</v>
      </c>
      <c r="D1433" s="195">
        <v>36.5</v>
      </c>
      <c r="E1433" s="705">
        <f t="shared" si="46"/>
        <v>2.5</v>
      </c>
    </row>
    <row r="1434" spans="2:5">
      <c r="B1434" s="943">
        <v>44986</v>
      </c>
      <c r="C1434" s="195">
        <f t="shared" si="45"/>
        <v>3</v>
      </c>
      <c r="D1434" s="195" t="s">
        <v>1432</v>
      </c>
      <c r="E1434" s="705">
        <f t="shared" si="46"/>
        <v>2.7777777777777777</v>
      </c>
    </row>
    <row r="1435" spans="2:5">
      <c r="B1435" s="943">
        <v>44986</v>
      </c>
      <c r="C1435" s="195">
        <f t="shared" si="45"/>
        <v>3</v>
      </c>
      <c r="D1435" s="195">
        <v>37.4</v>
      </c>
      <c r="E1435" s="705">
        <f t="shared" si="46"/>
        <v>2.9999999999999991</v>
      </c>
    </row>
    <row r="1436" spans="2:5">
      <c r="B1436" s="943">
        <v>44986</v>
      </c>
      <c r="C1436" s="195">
        <f t="shared" si="45"/>
        <v>3</v>
      </c>
      <c r="D1436" s="195">
        <v>37.9</v>
      </c>
      <c r="E1436" s="705">
        <f t="shared" si="46"/>
        <v>3.2777777777777768</v>
      </c>
    </row>
    <row r="1437" spans="2:5">
      <c r="B1437" s="943">
        <v>44986</v>
      </c>
      <c r="C1437" s="195">
        <f t="shared" si="45"/>
        <v>3</v>
      </c>
      <c r="D1437" s="195">
        <v>38.299999999999997</v>
      </c>
      <c r="E1437" s="705">
        <f t="shared" si="46"/>
        <v>3.4999999999999982</v>
      </c>
    </row>
    <row r="1438" spans="2:5">
      <c r="B1438" s="943">
        <v>44986</v>
      </c>
      <c r="C1438" s="195">
        <f t="shared" si="45"/>
        <v>3</v>
      </c>
      <c r="D1438" s="195">
        <v>38.5</v>
      </c>
      <c r="E1438" s="705">
        <f t="shared" si="46"/>
        <v>3.6111111111111112</v>
      </c>
    </row>
    <row r="1439" spans="2:5">
      <c r="B1439" s="943">
        <v>44986</v>
      </c>
      <c r="C1439" s="195">
        <f t="shared" si="45"/>
        <v>3</v>
      </c>
      <c r="D1439" s="195">
        <v>38.299999999999997</v>
      </c>
      <c r="E1439" s="705">
        <f t="shared" si="46"/>
        <v>3.4999999999999982</v>
      </c>
    </row>
    <row r="1440" spans="2:5">
      <c r="B1440" s="943">
        <v>44986</v>
      </c>
      <c r="C1440" s="195">
        <f t="shared" si="45"/>
        <v>3</v>
      </c>
      <c r="D1440" s="195">
        <v>38.1</v>
      </c>
      <c r="E1440" s="705">
        <f t="shared" si="46"/>
        <v>3.3888888888888897</v>
      </c>
    </row>
    <row r="1441" spans="2:5">
      <c r="B1441" s="943">
        <v>44986</v>
      </c>
      <c r="C1441" s="195">
        <f t="shared" si="45"/>
        <v>3</v>
      </c>
      <c r="D1441" s="195">
        <v>37.799999999999997</v>
      </c>
      <c r="E1441" s="705">
        <f t="shared" si="46"/>
        <v>3.2222222222222205</v>
      </c>
    </row>
    <row r="1442" spans="2:5">
      <c r="B1442" s="943">
        <v>44986</v>
      </c>
      <c r="C1442" s="195">
        <f t="shared" si="45"/>
        <v>3</v>
      </c>
      <c r="D1442" s="195" t="s">
        <v>1432</v>
      </c>
      <c r="E1442" s="705">
        <f t="shared" si="46"/>
        <v>2.7777777777777777</v>
      </c>
    </row>
    <row r="1443" spans="2:5">
      <c r="B1443" s="943">
        <v>44986</v>
      </c>
      <c r="C1443" s="195">
        <f t="shared" si="45"/>
        <v>3</v>
      </c>
      <c r="D1443" s="195">
        <v>36.5</v>
      </c>
      <c r="E1443" s="705">
        <f t="shared" si="46"/>
        <v>2.5</v>
      </c>
    </row>
    <row r="1444" spans="2:5">
      <c r="B1444" s="943">
        <v>44986</v>
      </c>
      <c r="C1444" s="195">
        <f t="shared" si="45"/>
        <v>3</v>
      </c>
      <c r="D1444" s="195">
        <v>36.299999999999997</v>
      </c>
      <c r="E1444" s="705">
        <f t="shared" si="46"/>
        <v>2.3888888888888871</v>
      </c>
    </row>
    <row r="1445" spans="2:5">
      <c r="B1445" s="943">
        <v>44986</v>
      </c>
      <c r="C1445" s="195">
        <f t="shared" si="45"/>
        <v>3</v>
      </c>
      <c r="D1445" s="195">
        <v>36.1</v>
      </c>
      <c r="E1445" s="705">
        <f t="shared" si="46"/>
        <v>2.2777777777777786</v>
      </c>
    </row>
    <row r="1446" spans="2:5">
      <c r="B1446" s="943">
        <v>44986</v>
      </c>
      <c r="C1446" s="195">
        <f t="shared" si="45"/>
        <v>3</v>
      </c>
      <c r="D1446" s="195">
        <v>36.5</v>
      </c>
      <c r="E1446" s="705">
        <f t="shared" si="46"/>
        <v>2.5</v>
      </c>
    </row>
    <row r="1447" spans="2:5">
      <c r="B1447" s="943">
        <v>44986</v>
      </c>
      <c r="C1447" s="195">
        <f t="shared" si="45"/>
        <v>3</v>
      </c>
      <c r="D1447" s="195">
        <v>36.9</v>
      </c>
      <c r="E1447" s="705">
        <f t="shared" si="46"/>
        <v>2.7222222222222214</v>
      </c>
    </row>
    <row r="1448" spans="2:5">
      <c r="B1448" s="943">
        <v>44986</v>
      </c>
      <c r="C1448" s="195">
        <f t="shared" si="45"/>
        <v>3</v>
      </c>
      <c r="D1448" s="195">
        <v>37.4</v>
      </c>
      <c r="E1448" s="705">
        <f t="shared" si="46"/>
        <v>2.9999999999999991</v>
      </c>
    </row>
    <row r="1449" spans="2:5">
      <c r="B1449" s="943">
        <v>44987</v>
      </c>
      <c r="C1449" s="195">
        <f t="shared" si="45"/>
        <v>3</v>
      </c>
      <c r="D1449" s="195">
        <v>37.9</v>
      </c>
      <c r="E1449" s="705">
        <f t="shared" si="46"/>
        <v>3.2777777777777768</v>
      </c>
    </row>
    <row r="1450" spans="2:5">
      <c r="B1450" s="943">
        <v>44987</v>
      </c>
      <c r="C1450" s="195">
        <f t="shared" si="45"/>
        <v>3</v>
      </c>
      <c r="D1450" s="195">
        <v>38.5</v>
      </c>
      <c r="E1450" s="705">
        <f t="shared" si="46"/>
        <v>3.6111111111111112</v>
      </c>
    </row>
    <row r="1451" spans="2:5">
      <c r="B1451" s="943">
        <v>44987</v>
      </c>
      <c r="C1451" s="195">
        <f t="shared" si="45"/>
        <v>3</v>
      </c>
      <c r="D1451" s="195" t="s">
        <v>1431</v>
      </c>
      <c r="E1451" s="705">
        <f t="shared" si="46"/>
        <v>3.8888888888888888</v>
      </c>
    </row>
    <row r="1452" spans="2:5">
      <c r="B1452" s="943">
        <v>44987</v>
      </c>
      <c r="C1452" s="195">
        <f t="shared" si="45"/>
        <v>3</v>
      </c>
      <c r="D1452" s="195">
        <v>38.799999999999997</v>
      </c>
      <c r="E1452" s="705">
        <f t="shared" si="46"/>
        <v>3.7777777777777759</v>
      </c>
    </row>
    <row r="1453" spans="2:5">
      <c r="B1453" s="943">
        <v>44987</v>
      </c>
      <c r="C1453" s="195">
        <f t="shared" si="45"/>
        <v>3</v>
      </c>
      <c r="D1453" s="195">
        <v>38.5</v>
      </c>
      <c r="E1453" s="705">
        <f t="shared" si="46"/>
        <v>3.6111111111111112</v>
      </c>
    </row>
    <row r="1454" spans="2:5">
      <c r="B1454" s="943">
        <v>44987</v>
      </c>
      <c r="C1454" s="195">
        <f t="shared" si="45"/>
        <v>3</v>
      </c>
      <c r="D1454" s="195">
        <v>37.9</v>
      </c>
      <c r="E1454" s="705">
        <f t="shared" si="46"/>
        <v>3.2777777777777768</v>
      </c>
    </row>
    <row r="1455" spans="2:5">
      <c r="B1455" s="943">
        <v>44987</v>
      </c>
      <c r="C1455" s="195">
        <f t="shared" si="45"/>
        <v>3</v>
      </c>
      <c r="D1455" s="195">
        <v>37.4</v>
      </c>
      <c r="E1455" s="705">
        <f t="shared" si="46"/>
        <v>2.9999999999999991</v>
      </c>
    </row>
    <row r="1456" spans="2:5">
      <c r="B1456" s="943">
        <v>44987</v>
      </c>
      <c r="C1456" s="195">
        <f t="shared" si="45"/>
        <v>3</v>
      </c>
      <c r="D1456" s="195">
        <v>36.9</v>
      </c>
      <c r="E1456" s="705">
        <f t="shared" si="46"/>
        <v>2.7222222222222214</v>
      </c>
    </row>
    <row r="1457" spans="2:5">
      <c r="B1457" s="943">
        <v>44987</v>
      </c>
      <c r="C1457" s="195">
        <f t="shared" si="45"/>
        <v>3</v>
      </c>
      <c r="D1457" s="195">
        <v>36.700000000000003</v>
      </c>
      <c r="E1457" s="705">
        <f t="shared" si="46"/>
        <v>2.6111111111111125</v>
      </c>
    </row>
    <row r="1458" spans="2:5">
      <c r="B1458" s="943">
        <v>44987</v>
      </c>
      <c r="C1458" s="195">
        <f t="shared" si="45"/>
        <v>3</v>
      </c>
      <c r="D1458" s="195" t="s">
        <v>1432</v>
      </c>
      <c r="E1458" s="705">
        <f t="shared" si="46"/>
        <v>2.7777777777777777</v>
      </c>
    </row>
    <row r="1459" spans="2:5">
      <c r="B1459" s="943">
        <v>44987</v>
      </c>
      <c r="C1459" s="195">
        <f t="shared" si="45"/>
        <v>3</v>
      </c>
      <c r="D1459" s="195">
        <v>37.799999999999997</v>
      </c>
      <c r="E1459" s="705">
        <f t="shared" si="46"/>
        <v>3.2222222222222205</v>
      </c>
    </row>
    <row r="1460" spans="2:5">
      <c r="B1460" s="943">
        <v>44987</v>
      </c>
      <c r="C1460" s="195">
        <f t="shared" si="45"/>
        <v>3</v>
      </c>
      <c r="D1460" s="195">
        <v>38.1</v>
      </c>
      <c r="E1460" s="705">
        <f t="shared" si="46"/>
        <v>3.3888888888888897</v>
      </c>
    </row>
    <row r="1461" spans="2:5">
      <c r="B1461" s="943">
        <v>44987</v>
      </c>
      <c r="C1461" s="195">
        <f t="shared" si="45"/>
        <v>3</v>
      </c>
      <c r="D1461" s="195">
        <v>38.700000000000003</v>
      </c>
      <c r="E1461" s="705">
        <f t="shared" si="46"/>
        <v>3.7222222222222237</v>
      </c>
    </row>
    <row r="1462" spans="2:5">
      <c r="B1462" s="943">
        <v>44987</v>
      </c>
      <c r="C1462" s="195">
        <f t="shared" si="45"/>
        <v>3</v>
      </c>
      <c r="D1462" s="195">
        <v>39.200000000000003</v>
      </c>
      <c r="E1462" s="705">
        <f t="shared" si="46"/>
        <v>4.0000000000000018</v>
      </c>
    </row>
    <row r="1463" spans="2:5">
      <c r="B1463" s="943">
        <v>44987</v>
      </c>
      <c r="C1463" s="195">
        <f t="shared" si="45"/>
        <v>3</v>
      </c>
      <c r="D1463" s="195">
        <v>39.200000000000003</v>
      </c>
      <c r="E1463" s="705">
        <f t="shared" si="46"/>
        <v>4.0000000000000018</v>
      </c>
    </row>
    <row r="1464" spans="2:5">
      <c r="B1464" s="943">
        <v>44987</v>
      </c>
      <c r="C1464" s="195">
        <f t="shared" si="45"/>
        <v>3</v>
      </c>
      <c r="D1464" s="195">
        <v>39.200000000000003</v>
      </c>
      <c r="E1464" s="705">
        <f t="shared" si="46"/>
        <v>4.0000000000000018</v>
      </c>
    </row>
    <row r="1465" spans="2:5">
      <c r="B1465" s="943">
        <v>44987</v>
      </c>
      <c r="C1465" s="195">
        <f t="shared" si="45"/>
        <v>3</v>
      </c>
      <c r="D1465" s="195">
        <v>39.200000000000003</v>
      </c>
      <c r="E1465" s="705">
        <f t="shared" si="46"/>
        <v>4.0000000000000018</v>
      </c>
    </row>
    <row r="1466" spans="2:5">
      <c r="B1466" s="943">
        <v>44987</v>
      </c>
      <c r="C1466" s="195">
        <f t="shared" si="45"/>
        <v>3</v>
      </c>
      <c r="D1466" s="195">
        <v>38.799999999999997</v>
      </c>
      <c r="E1466" s="705">
        <f t="shared" si="46"/>
        <v>3.7777777777777759</v>
      </c>
    </row>
    <row r="1467" spans="2:5">
      <c r="B1467" s="943">
        <v>44987</v>
      </c>
      <c r="C1467" s="195">
        <f t="shared" si="45"/>
        <v>3</v>
      </c>
      <c r="D1467" s="195">
        <v>38.1</v>
      </c>
      <c r="E1467" s="705">
        <f t="shared" si="46"/>
        <v>3.3888888888888897</v>
      </c>
    </row>
    <row r="1468" spans="2:5">
      <c r="B1468" s="943">
        <v>44987</v>
      </c>
      <c r="C1468" s="195">
        <f t="shared" si="45"/>
        <v>3</v>
      </c>
      <c r="D1468" s="195">
        <v>37.4</v>
      </c>
      <c r="E1468" s="705">
        <f t="shared" si="46"/>
        <v>2.9999999999999991</v>
      </c>
    </row>
    <row r="1469" spans="2:5">
      <c r="B1469" s="943">
        <v>44987</v>
      </c>
      <c r="C1469" s="195">
        <f t="shared" si="45"/>
        <v>3</v>
      </c>
      <c r="D1469" s="195" t="s">
        <v>1432</v>
      </c>
      <c r="E1469" s="705">
        <f t="shared" si="46"/>
        <v>2.7777777777777777</v>
      </c>
    </row>
    <row r="1470" spans="2:5">
      <c r="B1470" s="943">
        <v>44987</v>
      </c>
      <c r="C1470" s="195">
        <f t="shared" si="45"/>
        <v>3</v>
      </c>
      <c r="D1470" s="195">
        <v>36.9</v>
      </c>
      <c r="E1470" s="705">
        <f t="shared" si="46"/>
        <v>2.7222222222222214</v>
      </c>
    </row>
    <row r="1471" spans="2:5">
      <c r="B1471" s="943">
        <v>44987</v>
      </c>
      <c r="C1471" s="195">
        <f t="shared" si="45"/>
        <v>3</v>
      </c>
      <c r="D1471" s="195">
        <v>36.9</v>
      </c>
      <c r="E1471" s="705">
        <f t="shared" si="46"/>
        <v>2.7222222222222214</v>
      </c>
    </row>
    <row r="1472" spans="2:5">
      <c r="B1472" s="943">
        <v>44987</v>
      </c>
      <c r="C1472" s="195">
        <f t="shared" si="45"/>
        <v>3</v>
      </c>
      <c r="D1472" s="195">
        <v>37.6</v>
      </c>
      <c r="E1472" s="705">
        <f t="shared" si="46"/>
        <v>3.1111111111111116</v>
      </c>
    </row>
    <row r="1473" spans="2:5">
      <c r="B1473" s="943">
        <v>44988</v>
      </c>
      <c r="C1473" s="195">
        <f t="shared" si="45"/>
        <v>3</v>
      </c>
      <c r="D1473" s="195">
        <v>38.1</v>
      </c>
      <c r="E1473" s="705">
        <f t="shared" si="46"/>
        <v>3.3888888888888897</v>
      </c>
    </row>
    <row r="1474" spans="2:5">
      <c r="B1474" s="943">
        <v>44988</v>
      </c>
      <c r="C1474" s="195">
        <f t="shared" si="45"/>
        <v>3</v>
      </c>
      <c r="D1474" s="195">
        <v>38.5</v>
      </c>
      <c r="E1474" s="705">
        <f t="shared" si="46"/>
        <v>3.6111111111111112</v>
      </c>
    </row>
    <row r="1475" spans="2:5">
      <c r="B1475" s="943">
        <v>44988</v>
      </c>
      <c r="C1475" s="195">
        <f t="shared" si="45"/>
        <v>3</v>
      </c>
      <c r="D1475" s="195">
        <v>38.799999999999997</v>
      </c>
      <c r="E1475" s="705">
        <f t="shared" si="46"/>
        <v>3.7777777777777759</v>
      </c>
    </row>
    <row r="1476" spans="2:5">
      <c r="B1476" s="943">
        <v>44988</v>
      </c>
      <c r="C1476" s="195">
        <f t="shared" si="45"/>
        <v>3</v>
      </c>
      <c r="D1476" s="195" t="s">
        <v>1431</v>
      </c>
      <c r="E1476" s="705">
        <f t="shared" si="46"/>
        <v>3.8888888888888888</v>
      </c>
    </row>
    <row r="1477" spans="2:5">
      <c r="B1477" s="943">
        <v>44988</v>
      </c>
      <c r="C1477" s="195">
        <f t="shared" si="45"/>
        <v>3</v>
      </c>
      <c r="D1477" s="195">
        <v>38.799999999999997</v>
      </c>
      <c r="E1477" s="705">
        <f t="shared" si="46"/>
        <v>3.7777777777777759</v>
      </c>
    </row>
    <row r="1478" spans="2:5">
      <c r="B1478" s="943">
        <v>44988</v>
      </c>
      <c r="C1478" s="195">
        <f t="shared" si="45"/>
        <v>3</v>
      </c>
      <c r="D1478" s="195">
        <v>38.5</v>
      </c>
      <c r="E1478" s="705">
        <f t="shared" si="46"/>
        <v>3.6111111111111112</v>
      </c>
    </row>
    <row r="1479" spans="2:5">
      <c r="B1479" s="943">
        <v>44988</v>
      </c>
      <c r="C1479" s="195">
        <f t="shared" si="45"/>
        <v>3</v>
      </c>
      <c r="D1479" s="195">
        <v>37.9</v>
      </c>
      <c r="E1479" s="705">
        <f t="shared" si="46"/>
        <v>3.2777777777777768</v>
      </c>
    </row>
    <row r="1480" spans="2:5">
      <c r="B1480" s="943">
        <v>44988</v>
      </c>
      <c r="C1480" s="195">
        <f t="shared" si="45"/>
        <v>3</v>
      </c>
      <c r="D1480" s="195">
        <v>37.4</v>
      </c>
      <c r="E1480" s="705">
        <f t="shared" si="46"/>
        <v>2.9999999999999991</v>
      </c>
    </row>
    <row r="1481" spans="2:5">
      <c r="B1481" s="943">
        <v>44988</v>
      </c>
      <c r="C1481" s="195">
        <f t="shared" si="45"/>
        <v>3</v>
      </c>
      <c r="D1481" s="195">
        <v>36.9</v>
      </c>
      <c r="E1481" s="705">
        <f t="shared" si="46"/>
        <v>2.7222222222222214</v>
      </c>
    </row>
    <row r="1482" spans="2:5">
      <c r="B1482" s="943">
        <v>44988</v>
      </c>
      <c r="C1482" s="195">
        <f t="shared" ref="C1482:C1545" si="47">MONTH(B1482)</f>
        <v>3</v>
      </c>
      <c r="D1482" s="195">
        <v>36.5</v>
      </c>
      <c r="E1482" s="705">
        <f t="shared" ref="E1482:E1545" si="48">CONVERT(D1482,"F","C")</f>
        <v>2.5</v>
      </c>
    </row>
    <row r="1483" spans="2:5">
      <c r="B1483" s="943">
        <v>44988</v>
      </c>
      <c r="C1483" s="195">
        <f t="shared" si="47"/>
        <v>3</v>
      </c>
      <c r="D1483" s="195">
        <v>36.9</v>
      </c>
      <c r="E1483" s="705">
        <f t="shared" si="48"/>
        <v>2.7222222222222214</v>
      </c>
    </row>
    <row r="1484" spans="2:5">
      <c r="B1484" s="943">
        <v>44988</v>
      </c>
      <c r="C1484" s="195">
        <f t="shared" si="47"/>
        <v>3</v>
      </c>
      <c r="D1484" s="195">
        <v>37.6</v>
      </c>
      <c r="E1484" s="705">
        <f t="shared" si="48"/>
        <v>3.1111111111111116</v>
      </c>
    </row>
    <row r="1485" spans="2:5">
      <c r="B1485" s="943">
        <v>44988</v>
      </c>
      <c r="C1485" s="195">
        <f t="shared" si="47"/>
        <v>3</v>
      </c>
      <c r="D1485" s="195">
        <v>37.9</v>
      </c>
      <c r="E1485" s="705">
        <f t="shared" si="48"/>
        <v>3.2777777777777768</v>
      </c>
    </row>
    <row r="1486" spans="2:5">
      <c r="B1486" s="943">
        <v>44988</v>
      </c>
      <c r="C1486" s="195">
        <f t="shared" si="47"/>
        <v>3</v>
      </c>
      <c r="D1486" s="195">
        <v>38.299999999999997</v>
      </c>
      <c r="E1486" s="705">
        <f t="shared" si="48"/>
        <v>3.4999999999999982</v>
      </c>
    </row>
    <row r="1487" spans="2:5">
      <c r="B1487" s="943">
        <v>44988</v>
      </c>
      <c r="C1487" s="195">
        <f t="shared" si="47"/>
        <v>3</v>
      </c>
      <c r="D1487" s="195">
        <v>38.700000000000003</v>
      </c>
      <c r="E1487" s="705">
        <f t="shared" si="48"/>
        <v>3.7222222222222237</v>
      </c>
    </row>
    <row r="1488" spans="2:5">
      <c r="B1488" s="943">
        <v>44988</v>
      </c>
      <c r="C1488" s="195">
        <f t="shared" si="47"/>
        <v>3</v>
      </c>
      <c r="D1488" s="195">
        <v>38.799999999999997</v>
      </c>
      <c r="E1488" s="705">
        <f t="shared" si="48"/>
        <v>3.7777777777777759</v>
      </c>
    </row>
    <row r="1489" spans="2:5">
      <c r="B1489" s="943">
        <v>44988</v>
      </c>
      <c r="C1489" s="195">
        <f t="shared" si="47"/>
        <v>3</v>
      </c>
      <c r="D1489" s="195">
        <v>38.799999999999997</v>
      </c>
      <c r="E1489" s="705">
        <f t="shared" si="48"/>
        <v>3.7777777777777759</v>
      </c>
    </row>
    <row r="1490" spans="2:5">
      <c r="B1490" s="943">
        <v>44988</v>
      </c>
      <c r="C1490" s="195">
        <f t="shared" si="47"/>
        <v>3</v>
      </c>
      <c r="D1490" s="195">
        <v>38.799999999999997</v>
      </c>
      <c r="E1490" s="705">
        <f t="shared" si="48"/>
        <v>3.7777777777777759</v>
      </c>
    </row>
    <row r="1491" spans="2:5">
      <c r="B1491" s="943">
        <v>44988</v>
      </c>
      <c r="C1491" s="195">
        <f t="shared" si="47"/>
        <v>3</v>
      </c>
      <c r="D1491" s="195">
        <v>38.700000000000003</v>
      </c>
      <c r="E1491" s="705">
        <f t="shared" si="48"/>
        <v>3.7222222222222237</v>
      </c>
    </row>
    <row r="1492" spans="2:5">
      <c r="B1492" s="943">
        <v>44988</v>
      </c>
      <c r="C1492" s="195">
        <f t="shared" si="47"/>
        <v>3</v>
      </c>
      <c r="D1492" s="195">
        <v>38.1</v>
      </c>
      <c r="E1492" s="705">
        <f t="shared" si="48"/>
        <v>3.3888888888888897</v>
      </c>
    </row>
    <row r="1493" spans="2:5">
      <c r="B1493" s="943">
        <v>44988</v>
      </c>
      <c r="C1493" s="195">
        <f t="shared" si="47"/>
        <v>3</v>
      </c>
      <c r="D1493" s="195">
        <v>37.799999999999997</v>
      </c>
      <c r="E1493" s="705">
        <f t="shared" si="48"/>
        <v>3.2222222222222205</v>
      </c>
    </row>
    <row r="1494" spans="2:5">
      <c r="B1494" s="943">
        <v>44988</v>
      </c>
      <c r="C1494" s="195">
        <f t="shared" si="47"/>
        <v>3</v>
      </c>
      <c r="D1494" s="195">
        <v>37.4</v>
      </c>
      <c r="E1494" s="705">
        <f t="shared" si="48"/>
        <v>2.9999999999999991</v>
      </c>
    </row>
    <row r="1495" spans="2:5">
      <c r="B1495" s="943">
        <v>44988</v>
      </c>
      <c r="C1495" s="195">
        <f t="shared" si="47"/>
        <v>3</v>
      </c>
      <c r="D1495" s="195">
        <v>37.200000000000003</v>
      </c>
      <c r="E1495" s="705">
        <f t="shared" si="48"/>
        <v>2.8888888888888906</v>
      </c>
    </row>
    <row r="1496" spans="2:5">
      <c r="B1496" s="943">
        <v>44988</v>
      </c>
      <c r="C1496" s="195">
        <f t="shared" si="47"/>
        <v>3</v>
      </c>
      <c r="D1496" s="195">
        <v>37.4</v>
      </c>
      <c r="E1496" s="705">
        <f t="shared" si="48"/>
        <v>2.9999999999999991</v>
      </c>
    </row>
    <row r="1497" spans="2:5">
      <c r="B1497" s="943">
        <v>44989</v>
      </c>
      <c r="C1497" s="195">
        <f t="shared" si="47"/>
        <v>3</v>
      </c>
      <c r="D1497" s="195">
        <v>38.1</v>
      </c>
      <c r="E1497" s="705">
        <f t="shared" si="48"/>
        <v>3.3888888888888897</v>
      </c>
    </row>
    <row r="1498" spans="2:5">
      <c r="B1498" s="943">
        <v>44989</v>
      </c>
      <c r="C1498" s="195">
        <f t="shared" si="47"/>
        <v>3</v>
      </c>
      <c r="D1498" s="195">
        <v>38.299999999999997</v>
      </c>
      <c r="E1498" s="705">
        <f t="shared" si="48"/>
        <v>3.4999999999999982</v>
      </c>
    </row>
    <row r="1499" spans="2:5">
      <c r="B1499" s="943">
        <v>44989</v>
      </c>
      <c r="C1499" s="195">
        <f t="shared" si="47"/>
        <v>3</v>
      </c>
      <c r="D1499" s="195">
        <v>38.5</v>
      </c>
      <c r="E1499" s="705">
        <f t="shared" si="48"/>
        <v>3.6111111111111112</v>
      </c>
    </row>
    <row r="1500" spans="2:5">
      <c r="B1500" s="943">
        <v>44989</v>
      </c>
      <c r="C1500" s="195">
        <f t="shared" si="47"/>
        <v>3</v>
      </c>
      <c r="D1500" s="195">
        <v>38.700000000000003</v>
      </c>
      <c r="E1500" s="705">
        <f t="shared" si="48"/>
        <v>3.7222222222222237</v>
      </c>
    </row>
    <row r="1501" spans="2:5">
      <c r="B1501" s="943">
        <v>44989</v>
      </c>
      <c r="C1501" s="195">
        <f t="shared" si="47"/>
        <v>3</v>
      </c>
      <c r="D1501" s="195">
        <v>38.799999999999997</v>
      </c>
      <c r="E1501" s="705">
        <f t="shared" si="48"/>
        <v>3.7777777777777759</v>
      </c>
    </row>
    <row r="1502" spans="2:5">
      <c r="B1502" s="943">
        <v>44989</v>
      </c>
      <c r="C1502" s="195">
        <f t="shared" si="47"/>
        <v>3</v>
      </c>
      <c r="D1502" s="195">
        <v>38.700000000000003</v>
      </c>
      <c r="E1502" s="705">
        <f t="shared" si="48"/>
        <v>3.7222222222222237</v>
      </c>
    </row>
    <row r="1503" spans="2:5">
      <c r="B1503" s="943">
        <v>44989</v>
      </c>
      <c r="C1503" s="195">
        <f t="shared" si="47"/>
        <v>3</v>
      </c>
      <c r="D1503" s="195">
        <v>38.700000000000003</v>
      </c>
      <c r="E1503" s="705">
        <f t="shared" si="48"/>
        <v>3.7222222222222237</v>
      </c>
    </row>
    <row r="1504" spans="2:5">
      <c r="B1504" s="943">
        <v>44989</v>
      </c>
      <c r="C1504" s="195">
        <f t="shared" si="47"/>
        <v>3</v>
      </c>
      <c r="D1504" s="195">
        <v>38.5</v>
      </c>
      <c r="E1504" s="705">
        <f t="shared" si="48"/>
        <v>3.6111111111111112</v>
      </c>
    </row>
    <row r="1505" spans="2:5">
      <c r="B1505" s="943">
        <v>44989</v>
      </c>
      <c r="C1505" s="195">
        <f t="shared" si="47"/>
        <v>3</v>
      </c>
      <c r="D1505" s="195">
        <v>37.9</v>
      </c>
      <c r="E1505" s="705">
        <f t="shared" si="48"/>
        <v>3.2777777777777768</v>
      </c>
    </row>
    <row r="1506" spans="2:5">
      <c r="B1506" s="943">
        <v>44989</v>
      </c>
      <c r="C1506" s="195">
        <f t="shared" si="47"/>
        <v>3</v>
      </c>
      <c r="D1506" s="195">
        <v>37.6</v>
      </c>
      <c r="E1506" s="705">
        <f t="shared" si="48"/>
        <v>3.1111111111111116</v>
      </c>
    </row>
    <row r="1507" spans="2:5">
      <c r="B1507" s="943">
        <v>44989</v>
      </c>
      <c r="C1507" s="195">
        <f t="shared" si="47"/>
        <v>3</v>
      </c>
      <c r="D1507" s="195">
        <v>37.4</v>
      </c>
      <c r="E1507" s="705">
        <f t="shared" si="48"/>
        <v>2.9999999999999991</v>
      </c>
    </row>
    <row r="1508" spans="2:5">
      <c r="B1508" s="943">
        <v>44989</v>
      </c>
      <c r="C1508" s="195">
        <f t="shared" si="47"/>
        <v>3</v>
      </c>
      <c r="D1508" s="195">
        <v>37.9</v>
      </c>
      <c r="E1508" s="705">
        <f t="shared" si="48"/>
        <v>3.2777777777777768</v>
      </c>
    </row>
    <row r="1509" spans="2:5">
      <c r="B1509" s="943">
        <v>44989</v>
      </c>
      <c r="C1509" s="195">
        <f t="shared" si="47"/>
        <v>3</v>
      </c>
      <c r="D1509" s="195">
        <v>38.299999999999997</v>
      </c>
      <c r="E1509" s="705">
        <f t="shared" si="48"/>
        <v>3.4999999999999982</v>
      </c>
    </row>
    <row r="1510" spans="2:5">
      <c r="B1510" s="943">
        <v>44989</v>
      </c>
      <c r="C1510" s="195">
        <f t="shared" si="47"/>
        <v>3</v>
      </c>
      <c r="D1510" s="195">
        <v>38.5</v>
      </c>
      <c r="E1510" s="705">
        <f t="shared" si="48"/>
        <v>3.6111111111111112</v>
      </c>
    </row>
    <row r="1511" spans="2:5">
      <c r="B1511" s="943">
        <v>44989</v>
      </c>
      <c r="C1511" s="195">
        <f t="shared" si="47"/>
        <v>3</v>
      </c>
      <c r="D1511" s="195">
        <v>38.5</v>
      </c>
      <c r="E1511" s="705">
        <f t="shared" si="48"/>
        <v>3.6111111111111112</v>
      </c>
    </row>
    <row r="1512" spans="2:5">
      <c r="B1512" s="943">
        <v>44989</v>
      </c>
      <c r="C1512" s="195">
        <f t="shared" si="47"/>
        <v>3</v>
      </c>
      <c r="D1512" s="195">
        <v>38.5</v>
      </c>
      <c r="E1512" s="705">
        <f t="shared" si="48"/>
        <v>3.6111111111111112</v>
      </c>
    </row>
    <row r="1513" spans="2:5">
      <c r="B1513" s="943">
        <v>44989</v>
      </c>
      <c r="C1513" s="195">
        <f t="shared" si="47"/>
        <v>3</v>
      </c>
      <c r="D1513" s="195">
        <v>38.5</v>
      </c>
      <c r="E1513" s="705">
        <f t="shared" si="48"/>
        <v>3.6111111111111112</v>
      </c>
    </row>
    <row r="1514" spans="2:5">
      <c r="B1514" s="943">
        <v>44989</v>
      </c>
      <c r="C1514" s="195">
        <f t="shared" si="47"/>
        <v>3</v>
      </c>
      <c r="D1514" s="195">
        <v>38.5</v>
      </c>
      <c r="E1514" s="705">
        <f t="shared" si="48"/>
        <v>3.6111111111111112</v>
      </c>
    </row>
    <row r="1515" spans="2:5">
      <c r="B1515" s="943">
        <v>44989</v>
      </c>
      <c r="C1515" s="195">
        <f t="shared" si="47"/>
        <v>3</v>
      </c>
      <c r="D1515" s="195">
        <v>38.5</v>
      </c>
      <c r="E1515" s="705">
        <f t="shared" si="48"/>
        <v>3.6111111111111112</v>
      </c>
    </row>
    <row r="1516" spans="2:5">
      <c r="B1516" s="943">
        <v>44989</v>
      </c>
      <c r="C1516" s="195">
        <f t="shared" si="47"/>
        <v>3</v>
      </c>
      <c r="D1516" s="195">
        <v>38.1</v>
      </c>
      <c r="E1516" s="705">
        <f t="shared" si="48"/>
        <v>3.3888888888888897</v>
      </c>
    </row>
    <row r="1517" spans="2:5">
      <c r="B1517" s="943">
        <v>44989</v>
      </c>
      <c r="C1517" s="195">
        <f t="shared" si="47"/>
        <v>3</v>
      </c>
      <c r="D1517" s="195">
        <v>37.799999999999997</v>
      </c>
      <c r="E1517" s="705">
        <f t="shared" si="48"/>
        <v>3.2222222222222205</v>
      </c>
    </row>
    <row r="1518" spans="2:5">
      <c r="B1518" s="943">
        <v>44989</v>
      </c>
      <c r="C1518" s="195">
        <f t="shared" si="47"/>
        <v>3</v>
      </c>
      <c r="D1518" s="195">
        <v>37.4</v>
      </c>
      <c r="E1518" s="705">
        <f t="shared" si="48"/>
        <v>2.9999999999999991</v>
      </c>
    </row>
    <row r="1519" spans="2:5">
      <c r="B1519" s="943">
        <v>44989</v>
      </c>
      <c r="C1519" s="195">
        <f t="shared" si="47"/>
        <v>3</v>
      </c>
      <c r="D1519" s="195" t="s">
        <v>1432</v>
      </c>
      <c r="E1519" s="705">
        <f t="shared" si="48"/>
        <v>2.7777777777777777</v>
      </c>
    </row>
    <row r="1520" spans="2:5">
      <c r="B1520" s="943">
        <v>44989</v>
      </c>
      <c r="C1520" s="195">
        <f t="shared" si="47"/>
        <v>3</v>
      </c>
      <c r="D1520" s="195">
        <v>36.9</v>
      </c>
      <c r="E1520" s="705">
        <f t="shared" si="48"/>
        <v>2.7222222222222214</v>
      </c>
    </row>
    <row r="1521" spans="2:5">
      <c r="B1521" s="943">
        <v>44990</v>
      </c>
      <c r="C1521" s="195">
        <f t="shared" si="47"/>
        <v>3</v>
      </c>
      <c r="D1521" s="195" t="s">
        <v>1432</v>
      </c>
      <c r="E1521" s="705">
        <f t="shared" si="48"/>
        <v>2.7777777777777777</v>
      </c>
    </row>
    <row r="1522" spans="2:5">
      <c r="B1522" s="943">
        <v>44990</v>
      </c>
      <c r="C1522" s="195">
        <f t="shared" si="47"/>
        <v>3</v>
      </c>
      <c r="D1522" s="195">
        <v>37.4</v>
      </c>
      <c r="E1522" s="705">
        <f t="shared" si="48"/>
        <v>2.9999999999999991</v>
      </c>
    </row>
    <row r="1523" spans="2:5">
      <c r="B1523" s="943">
        <v>44990</v>
      </c>
      <c r="C1523" s="195">
        <f t="shared" si="47"/>
        <v>3</v>
      </c>
      <c r="D1523" s="195">
        <v>37.799999999999997</v>
      </c>
      <c r="E1523" s="705">
        <f t="shared" si="48"/>
        <v>3.2222222222222205</v>
      </c>
    </row>
    <row r="1524" spans="2:5">
      <c r="B1524" s="943">
        <v>44990</v>
      </c>
      <c r="C1524" s="195">
        <f t="shared" si="47"/>
        <v>3</v>
      </c>
      <c r="D1524" s="195">
        <v>37.9</v>
      </c>
      <c r="E1524" s="705">
        <f t="shared" si="48"/>
        <v>3.2777777777777768</v>
      </c>
    </row>
    <row r="1525" spans="2:5">
      <c r="B1525" s="943">
        <v>44990</v>
      </c>
      <c r="C1525" s="195">
        <f t="shared" si="47"/>
        <v>3</v>
      </c>
      <c r="D1525" s="195">
        <v>38.299999999999997</v>
      </c>
      <c r="E1525" s="705">
        <f t="shared" si="48"/>
        <v>3.4999999999999982</v>
      </c>
    </row>
    <row r="1526" spans="2:5">
      <c r="B1526" s="943">
        <v>44990</v>
      </c>
      <c r="C1526" s="195">
        <f t="shared" si="47"/>
        <v>3</v>
      </c>
      <c r="D1526" s="195">
        <v>38.5</v>
      </c>
      <c r="E1526" s="705">
        <f t="shared" si="48"/>
        <v>3.6111111111111112</v>
      </c>
    </row>
    <row r="1527" spans="2:5">
      <c r="B1527" s="943">
        <v>44990</v>
      </c>
      <c r="C1527" s="195">
        <f t="shared" si="47"/>
        <v>3</v>
      </c>
      <c r="D1527" s="195">
        <v>38.299999999999997</v>
      </c>
      <c r="E1527" s="705">
        <f t="shared" si="48"/>
        <v>3.4999999999999982</v>
      </c>
    </row>
    <row r="1528" spans="2:5">
      <c r="B1528" s="943">
        <v>44990</v>
      </c>
      <c r="C1528" s="195">
        <f t="shared" si="47"/>
        <v>3</v>
      </c>
      <c r="D1528" s="195">
        <v>37.9</v>
      </c>
      <c r="E1528" s="705">
        <f t="shared" si="48"/>
        <v>3.2777777777777768</v>
      </c>
    </row>
    <row r="1529" spans="2:5">
      <c r="B1529" s="943">
        <v>44990</v>
      </c>
      <c r="C1529" s="195">
        <f t="shared" si="47"/>
        <v>3</v>
      </c>
      <c r="D1529" s="195">
        <v>37.6</v>
      </c>
      <c r="E1529" s="705">
        <f t="shared" si="48"/>
        <v>3.1111111111111116</v>
      </c>
    </row>
    <row r="1530" spans="2:5">
      <c r="B1530" s="943">
        <v>44990</v>
      </c>
      <c r="C1530" s="195">
        <f t="shared" si="47"/>
        <v>3</v>
      </c>
      <c r="D1530" s="195" t="s">
        <v>1432</v>
      </c>
      <c r="E1530" s="705">
        <f t="shared" si="48"/>
        <v>2.7777777777777777</v>
      </c>
    </row>
    <row r="1531" spans="2:5">
      <c r="B1531" s="943">
        <v>44990</v>
      </c>
      <c r="C1531" s="195">
        <f t="shared" si="47"/>
        <v>3</v>
      </c>
      <c r="D1531" s="195">
        <v>36.700000000000003</v>
      </c>
      <c r="E1531" s="705">
        <f t="shared" si="48"/>
        <v>2.6111111111111125</v>
      </c>
    </row>
    <row r="1532" spans="2:5">
      <c r="B1532" s="943">
        <v>44990</v>
      </c>
      <c r="C1532" s="195">
        <f t="shared" si="47"/>
        <v>3</v>
      </c>
      <c r="D1532" s="195">
        <v>36.700000000000003</v>
      </c>
      <c r="E1532" s="705">
        <f t="shared" si="48"/>
        <v>2.6111111111111125</v>
      </c>
    </row>
    <row r="1533" spans="2:5">
      <c r="B1533" s="943">
        <v>44990</v>
      </c>
      <c r="C1533" s="195">
        <f t="shared" si="47"/>
        <v>3</v>
      </c>
      <c r="D1533" s="195">
        <v>36.9</v>
      </c>
      <c r="E1533" s="705">
        <f t="shared" si="48"/>
        <v>2.7222222222222214</v>
      </c>
    </row>
    <row r="1534" spans="2:5">
      <c r="B1534" s="943">
        <v>44990</v>
      </c>
      <c r="C1534" s="195">
        <f t="shared" si="47"/>
        <v>3</v>
      </c>
      <c r="D1534" s="195">
        <v>37.4</v>
      </c>
      <c r="E1534" s="705">
        <f t="shared" si="48"/>
        <v>2.9999999999999991</v>
      </c>
    </row>
    <row r="1535" spans="2:5">
      <c r="B1535" s="943">
        <v>44990</v>
      </c>
      <c r="C1535" s="195">
        <f t="shared" si="47"/>
        <v>3</v>
      </c>
      <c r="D1535" s="195">
        <v>37.799999999999997</v>
      </c>
      <c r="E1535" s="705">
        <f t="shared" si="48"/>
        <v>3.2222222222222205</v>
      </c>
    </row>
    <row r="1536" spans="2:5">
      <c r="B1536" s="943">
        <v>44990</v>
      </c>
      <c r="C1536" s="195">
        <f t="shared" si="47"/>
        <v>3</v>
      </c>
      <c r="D1536" s="195">
        <v>38.299999999999997</v>
      </c>
      <c r="E1536" s="705">
        <f t="shared" si="48"/>
        <v>3.4999999999999982</v>
      </c>
    </row>
    <row r="1537" spans="2:5">
      <c r="B1537" s="943">
        <v>44990</v>
      </c>
      <c r="C1537" s="195">
        <f t="shared" si="47"/>
        <v>3</v>
      </c>
      <c r="D1537" s="195">
        <v>38.700000000000003</v>
      </c>
      <c r="E1537" s="705">
        <f t="shared" si="48"/>
        <v>3.7222222222222237</v>
      </c>
    </row>
    <row r="1538" spans="2:5">
      <c r="B1538" s="943">
        <v>44990</v>
      </c>
      <c r="C1538" s="195">
        <f t="shared" si="47"/>
        <v>3</v>
      </c>
      <c r="D1538" s="195">
        <v>38.799999999999997</v>
      </c>
      <c r="E1538" s="705">
        <f t="shared" si="48"/>
        <v>3.7777777777777759</v>
      </c>
    </row>
    <row r="1539" spans="2:5">
      <c r="B1539" s="943">
        <v>44990</v>
      </c>
      <c r="C1539" s="195">
        <f t="shared" si="47"/>
        <v>3</v>
      </c>
      <c r="D1539" s="195">
        <v>38.799999999999997</v>
      </c>
      <c r="E1539" s="705">
        <f t="shared" si="48"/>
        <v>3.7777777777777759</v>
      </c>
    </row>
    <row r="1540" spans="2:5">
      <c r="B1540" s="943">
        <v>44990</v>
      </c>
      <c r="C1540" s="195">
        <f t="shared" si="47"/>
        <v>3</v>
      </c>
      <c r="D1540" s="195">
        <v>38.5</v>
      </c>
      <c r="E1540" s="705">
        <f t="shared" si="48"/>
        <v>3.6111111111111112</v>
      </c>
    </row>
    <row r="1541" spans="2:5">
      <c r="B1541" s="943">
        <v>44990</v>
      </c>
      <c r="C1541" s="195">
        <f t="shared" si="47"/>
        <v>3</v>
      </c>
      <c r="D1541" s="195">
        <v>37.9</v>
      </c>
      <c r="E1541" s="705">
        <f t="shared" si="48"/>
        <v>3.2777777777777768</v>
      </c>
    </row>
    <row r="1542" spans="2:5">
      <c r="B1542" s="943">
        <v>44990</v>
      </c>
      <c r="C1542" s="195">
        <f t="shared" si="47"/>
        <v>3</v>
      </c>
      <c r="D1542" s="195">
        <v>37.6</v>
      </c>
      <c r="E1542" s="705">
        <f t="shared" si="48"/>
        <v>3.1111111111111116</v>
      </c>
    </row>
    <row r="1543" spans="2:5">
      <c r="B1543" s="943">
        <v>44990</v>
      </c>
      <c r="C1543" s="195">
        <f t="shared" si="47"/>
        <v>3</v>
      </c>
      <c r="D1543" s="195">
        <v>37.200000000000003</v>
      </c>
      <c r="E1543" s="705">
        <f t="shared" si="48"/>
        <v>2.8888888888888906</v>
      </c>
    </row>
    <row r="1544" spans="2:5">
      <c r="B1544" s="943">
        <v>44990</v>
      </c>
      <c r="C1544" s="195">
        <f t="shared" si="47"/>
        <v>3</v>
      </c>
      <c r="D1544" s="195">
        <v>37.200000000000003</v>
      </c>
      <c r="E1544" s="705">
        <f t="shared" si="48"/>
        <v>2.8888888888888906</v>
      </c>
    </row>
    <row r="1545" spans="2:5">
      <c r="B1545" s="943">
        <v>44991</v>
      </c>
      <c r="C1545" s="195">
        <f t="shared" si="47"/>
        <v>3</v>
      </c>
      <c r="D1545" s="195" t="s">
        <v>1432</v>
      </c>
      <c r="E1545" s="705">
        <f t="shared" si="48"/>
        <v>2.7777777777777777</v>
      </c>
    </row>
    <row r="1546" spans="2:5">
      <c r="B1546" s="943">
        <v>44991</v>
      </c>
      <c r="C1546" s="195">
        <f t="shared" ref="C1546:C1609" si="49">MONTH(B1546)</f>
        <v>3</v>
      </c>
      <c r="D1546" s="195">
        <v>37.4</v>
      </c>
      <c r="E1546" s="705">
        <f t="shared" ref="E1546:E1609" si="50">CONVERT(D1546,"F","C")</f>
        <v>2.9999999999999991</v>
      </c>
    </row>
    <row r="1547" spans="2:5">
      <c r="B1547" s="943">
        <v>44991</v>
      </c>
      <c r="C1547" s="195">
        <f t="shared" si="49"/>
        <v>3</v>
      </c>
      <c r="D1547" s="195">
        <v>38.1</v>
      </c>
      <c r="E1547" s="705">
        <f t="shared" si="50"/>
        <v>3.3888888888888897</v>
      </c>
    </row>
    <row r="1548" spans="2:5">
      <c r="B1548" s="943">
        <v>44991</v>
      </c>
      <c r="C1548" s="195">
        <f t="shared" si="49"/>
        <v>3</v>
      </c>
      <c r="D1548" s="195">
        <v>38.700000000000003</v>
      </c>
      <c r="E1548" s="705">
        <f t="shared" si="50"/>
        <v>3.7222222222222237</v>
      </c>
    </row>
    <row r="1549" spans="2:5">
      <c r="B1549" s="943">
        <v>44991</v>
      </c>
      <c r="C1549" s="195">
        <f t="shared" si="49"/>
        <v>3</v>
      </c>
      <c r="D1549" s="195">
        <v>38.799999999999997</v>
      </c>
      <c r="E1549" s="705">
        <f t="shared" si="50"/>
        <v>3.7777777777777759</v>
      </c>
    </row>
    <row r="1550" spans="2:5">
      <c r="B1550" s="943">
        <v>44991</v>
      </c>
      <c r="C1550" s="195">
        <f t="shared" si="49"/>
        <v>3</v>
      </c>
      <c r="D1550" s="195">
        <v>39.200000000000003</v>
      </c>
      <c r="E1550" s="705">
        <f t="shared" si="50"/>
        <v>4.0000000000000018</v>
      </c>
    </row>
    <row r="1551" spans="2:5">
      <c r="B1551" s="943">
        <v>44991</v>
      </c>
      <c r="C1551" s="195">
        <f t="shared" si="49"/>
        <v>3</v>
      </c>
      <c r="D1551" s="195">
        <v>38.700000000000003</v>
      </c>
      <c r="E1551" s="705">
        <f t="shared" si="50"/>
        <v>3.7222222222222237</v>
      </c>
    </row>
    <row r="1552" spans="2:5">
      <c r="B1552" s="943">
        <v>44991</v>
      </c>
      <c r="C1552" s="195">
        <f t="shared" si="49"/>
        <v>3</v>
      </c>
      <c r="D1552" s="195">
        <v>38.700000000000003</v>
      </c>
      <c r="E1552" s="705">
        <f t="shared" si="50"/>
        <v>3.7222222222222237</v>
      </c>
    </row>
    <row r="1553" spans="2:5">
      <c r="B1553" s="943">
        <v>44991</v>
      </c>
      <c r="C1553" s="195">
        <f t="shared" si="49"/>
        <v>3</v>
      </c>
      <c r="D1553" s="195">
        <v>38.299999999999997</v>
      </c>
      <c r="E1553" s="705">
        <f t="shared" si="50"/>
        <v>3.4999999999999982</v>
      </c>
    </row>
    <row r="1554" spans="2:5">
      <c r="B1554" s="943">
        <v>44991</v>
      </c>
      <c r="C1554" s="195">
        <f t="shared" si="49"/>
        <v>3</v>
      </c>
      <c r="D1554" s="195">
        <v>37.6</v>
      </c>
      <c r="E1554" s="705">
        <f t="shared" si="50"/>
        <v>3.1111111111111116</v>
      </c>
    </row>
    <row r="1555" spans="2:5">
      <c r="B1555" s="943">
        <v>44991</v>
      </c>
      <c r="C1555" s="195">
        <f t="shared" si="49"/>
        <v>3</v>
      </c>
      <c r="D1555" s="195" t="s">
        <v>1432</v>
      </c>
      <c r="E1555" s="705">
        <f t="shared" si="50"/>
        <v>2.7777777777777777</v>
      </c>
    </row>
    <row r="1556" spans="2:5">
      <c r="B1556" s="943">
        <v>44991</v>
      </c>
      <c r="C1556" s="195">
        <f t="shared" si="49"/>
        <v>3</v>
      </c>
      <c r="D1556" s="195">
        <v>36.9</v>
      </c>
      <c r="E1556" s="705">
        <f t="shared" si="50"/>
        <v>2.7222222222222214</v>
      </c>
    </row>
    <row r="1557" spans="2:5">
      <c r="B1557" s="943">
        <v>44991</v>
      </c>
      <c r="C1557" s="195">
        <f t="shared" si="49"/>
        <v>3</v>
      </c>
      <c r="D1557" s="195">
        <v>36.9</v>
      </c>
      <c r="E1557" s="705">
        <f t="shared" si="50"/>
        <v>2.7222222222222214</v>
      </c>
    </row>
    <row r="1558" spans="2:5">
      <c r="B1558" s="943">
        <v>44991</v>
      </c>
      <c r="C1558" s="195">
        <f t="shared" si="49"/>
        <v>3</v>
      </c>
      <c r="D1558" s="195">
        <v>37.200000000000003</v>
      </c>
      <c r="E1558" s="705">
        <f t="shared" si="50"/>
        <v>2.8888888888888906</v>
      </c>
    </row>
    <row r="1559" spans="2:5">
      <c r="B1559" s="943">
        <v>44991</v>
      </c>
      <c r="C1559" s="195">
        <f t="shared" si="49"/>
        <v>3</v>
      </c>
      <c r="D1559" s="195">
        <v>37.9</v>
      </c>
      <c r="E1559" s="705">
        <f t="shared" si="50"/>
        <v>3.2777777777777768</v>
      </c>
    </row>
    <row r="1560" spans="2:5">
      <c r="B1560" s="943">
        <v>44991</v>
      </c>
      <c r="C1560" s="195">
        <f t="shared" si="49"/>
        <v>3</v>
      </c>
      <c r="D1560" s="195">
        <v>38.700000000000003</v>
      </c>
      <c r="E1560" s="705">
        <f t="shared" si="50"/>
        <v>3.7222222222222237</v>
      </c>
    </row>
    <row r="1561" spans="2:5">
      <c r="B1561" s="943">
        <v>44991</v>
      </c>
      <c r="C1561" s="195">
        <f t="shared" si="49"/>
        <v>3</v>
      </c>
      <c r="D1561" s="195" t="s">
        <v>1431</v>
      </c>
      <c r="E1561" s="705">
        <f t="shared" si="50"/>
        <v>3.8888888888888888</v>
      </c>
    </row>
    <row r="1562" spans="2:5">
      <c r="B1562" s="943">
        <v>44991</v>
      </c>
      <c r="C1562" s="195">
        <f t="shared" si="49"/>
        <v>3</v>
      </c>
      <c r="D1562" s="195">
        <v>39.200000000000003</v>
      </c>
      <c r="E1562" s="705">
        <f t="shared" si="50"/>
        <v>4.0000000000000018</v>
      </c>
    </row>
    <row r="1563" spans="2:5">
      <c r="B1563" s="943">
        <v>44991</v>
      </c>
      <c r="C1563" s="195">
        <f t="shared" si="49"/>
        <v>3</v>
      </c>
      <c r="D1563" s="195">
        <v>39.4</v>
      </c>
      <c r="E1563" s="705">
        <f t="shared" si="50"/>
        <v>4.1111111111111098</v>
      </c>
    </row>
    <row r="1564" spans="2:5">
      <c r="B1564" s="943">
        <v>44991</v>
      </c>
      <c r="C1564" s="195">
        <f t="shared" si="49"/>
        <v>3</v>
      </c>
      <c r="D1564" s="195">
        <v>39.4</v>
      </c>
      <c r="E1564" s="705">
        <f t="shared" si="50"/>
        <v>4.1111111111111098</v>
      </c>
    </row>
    <row r="1565" spans="2:5">
      <c r="B1565" s="943">
        <v>44991</v>
      </c>
      <c r="C1565" s="195">
        <f t="shared" si="49"/>
        <v>3</v>
      </c>
      <c r="D1565" s="195" t="s">
        <v>1431</v>
      </c>
      <c r="E1565" s="705">
        <f t="shared" si="50"/>
        <v>3.8888888888888888</v>
      </c>
    </row>
    <row r="1566" spans="2:5">
      <c r="B1566" s="943">
        <v>44991</v>
      </c>
      <c r="C1566" s="195">
        <f t="shared" si="49"/>
        <v>3</v>
      </c>
      <c r="D1566" s="195">
        <v>38.700000000000003</v>
      </c>
      <c r="E1566" s="705">
        <f t="shared" si="50"/>
        <v>3.7222222222222237</v>
      </c>
    </row>
    <row r="1567" spans="2:5">
      <c r="B1567" s="943">
        <v>44991</v>
      </c>
      <c r="C1567" s="195">
        <f t="shared" si="49"/>
        <v>3</v>
      </c>
      <c r="D1567" s="195">
        <v>38.1</v>
      </c>
      <c r="E1567" s="705">
        <f t="shared" si="50"/>
        <v>3.3888888888888897</v>
      </c>
    </row>
    <row r="1568" spans="2:5">
      <c r="B1568" s="943">
        <v>44991</v>
      </c>
      <c r="C1568" s="195">
        <f t="shared" si="49"/>
        <v>3</v>
      </c>
      <c r="D1568" s="195">
        <v>37.799999999999997</v>
      </c>
      <c r="E1568" s="705">
        <f t="shared" si="50"/>
        <v>3.2222222222222205</v>
      </c>
    </row>
    <row r="1569" spans="2:5">
      <c r="B1569" s="943">
        <v>44992</v>
      </c>
      <c r="C1569" s="195">
        <f t="shared" si="49"/>
        <v>3</v>
      </c>
      <c r="D1569" s="195">
        <v>37.799999999999997</v>
      </c>
      <c r="E1569" s="705">
        <f t="shared" si="50"/>
        <v>3.2222222222222205</v>
      </c>
    </row>
    <row r="1570" spans="2:5">
      <c r="B1570" s="943">
        <v>44992</v>
      </c>
      <c r="C1570" s="195">
        <f t="shared" si="49"/>
        <v>3</v>
      </c>
      <c r="D1570" s="195">
        <v>37.9</v>
      </c>
      <c r="E1570" s="705">
        <f t="shared" si="50"/>
        <v>3.2777777777777768</v>
      </c>
    </row>
    <row r="1571" spans="2:5">
      <c r="B1571" s="943">
        <v>44992</v>
      </c>
      <c r="C1571" s="195">
        <f t="shared" si="49"/>
        <v>3</v>
      </c>
      <c r="D1571" s="195">
        <v>38.5</v>
      </c>
      <c r="E1571" s="705">
        <f t="shared" si="50"/>
        <v>3.6111111111111112</v>
      </c>
    </row>
    <row r="1572" spans="2:5">
      <c r="B1572" s="943">
        <v>44992</v>
      </c>
      <c r="C1572" s="195">
        <f t="shared" si="49"/>
        <v>3</v>
      </c>
      <c r="D1572" s="195">
        <v>38.799999999999997</v>
      </c>
      <c r="E1572" s="705">
        <f t="shared" si="50"/>
        <v>3.7777777777777759</v>
      </c>
    </row>
    <row r="1573" spans="2:5">
      <c r="B1573" s="943">
        <v>44992</v>
      </c>
      <c r="C1573" s="195">
        <f t="shared" si="49"/>
        <v>3</v>
      </c>
      <c r="D1573" s="195">
        <v>39.200000000000003</v>
      </c>
      <c r="E1573" s="705">
        <f t="shared" si="50"/>
        <v>4.0000000000000018</v>
      </c>
    </row>
    <row r="1574" spans="2:5">
      <c r="B1574" s="943">
        <v>44992</v>
      </c>
      <c r="C1574" s="195">
        <f t="shared" si="49"/>
        <v>3</v>
      </c>
      <c r="D1574" s="195">
        <v>39.4</v>
      </c>
      <c r="E1574" s="705">
        <f t="shared" si="50"/>
        <v>4.1111111111111098</v>
      </c>
    </row>
    <row r="1575" spans="2:5">
      <c r="B1575" s="943">
        <v>44992</v>
      </c>
      <c r="C1575" s="195">
        <f t="shared" si="49"/>
        <v>3</v>
      </c>
      <c r="D1575" s="195">
        <v>39.4</v>
      </c>
      <c r="E1575" s="705">
        <f t="shared" si="50"/>
        <v>4.1111111111111098</v>
      </c>
    </row>
    <row r="1576" spans="2:5">
      <c r="B1576" s="943">
        <v>44992</v>
      </c>
      <c r="C1576" s="195">
        <f t="shared" si="49"/>
        <v>3</v>
      </c>
      <c r="D1576" s="195">
        <v>39.200000000000003</v>
      </c>
      <c r="E1576" s="705">
        <f t="shared" si="50"/>
        <v>4.0000000000000018</v>
      </c>
    </row>
    <row r="1577" spans="2:5">
      <c r="B1577" s="943">
        <v>44992</v>
      </c>
      <c r="C1577" s="195">
        <f t="shared" si="49"/>
        <v>3</v>
      </c>
      <c r="D1577" s="195" t="s">
        <v>1431</v>
      </c>
      <c r="E1577" s="705">
        <f t="shared" si="50"/>
        <v>3.8888888888888888</v>
      </c>
    </row>
    <row r="1578" spans="2:5">
      <c r="B1578" s="943">
        <v>44992</v>
      </c>
      <c r="C1578" s="195">
        <f t="shared" si="49"/>
        <v>3</v>
      </c>
      <c r="D1578" s="195">
        <v>38.799999999999997</v>
      </c>
      <c r="E1578" s="705">
        <f t="shared" si="50"/>
        <v>3.7777777777777759</v>
      </c>
    </row>
    <row r="1579" spans="2:5">
      <c r="B1579" s="943">
        <v>44992</v>
      </c>
      <c r="C1579" s="195">
        <f t="shared" si="49"/>
        <v>3</v>
      </c>
      <c r="D1579" s="195">
        <v>38.1</v>
      </c>
      <c r="E1579" s="705">
        <f t="shared" si="50"/>
        <v>3.3888888888888897</v>
      </c>
    </row>
    <row r="1580" spans="2:5">
      <c r="B1580" s="943">
        <v>44992</v>
      </c>
      <c r="C1580" s="195">
        <f t="shared" si="49"/>
        <v>3</v>
      </c>
      <c r="D1580" s="195">
        <v>37.9</v>
      </c>
      <c r="E1580" s="705">
        <f t="shared" si="50"/>
        <v>3.2777777777777768</v>
      </c>
    </row>
    <row r="1581" spans="2:5">
      <c r="B1581" s="943">
        <v>44992</v>
      </c>
      <c r="C1581" s="195">
        <f t="shared" si="49"/>
        <v>3</v>
      </c>
      <c r="D1581" s="195">
        <v>37.6</v>
      </c>
      <c r="E1581" s="705">
        <f t="shared" si="50"/>
        <v>3.1111111111111116</v>
      </c>
    </row>
    <row r="1582" spans="2:5">
      <c r="B1582" s="943">
        <v>44992</v>
      </c>
      <c r="C1582" s="195">
        <f t="shared" si="49"/>
        <v>3</v>
      </c>
      <c r="D1582" s="195">
        <v>37.9</v>
      </c>
      <c r="E1582" s="705">
        <f t="shared" si="50"/>
        <v>3.2777777777777768</v>
      </c>
    </row>
    <row r="1583" spans="2:5">
      <c r="B1583" s="943">
        <v>44992</v>
      </c>
      <c r="C1583" s="195">
        <f t="shared" si="49"/>
        <v>3</v>
      </c>
      <c r="D1583" s="195">
        <v>38.5</v>
      </c>
      <c r="E1583" s="705">
        <f t="shared" si="50"/>
        <v>3.6111111111111112</v>
      </c>
    </row>
    <row r="1584" spans="2:5">
      <c r="B1584" s="943">
        <v>44992</v>
      </c>
      <c r="C1584" s="195">
        <f t="shared" si="49"/>
        <v>3</v>
      </c>
      <c r="D1584" s="195">
        <v>38.799999999999997</v>
      </c>
      <c r="E1584" s="705">
        <f t="shared" si="50"/>
        <v>3.7777777777777759</v>
      </c>
    </row>
    <row r="1585" spans="2:5">
      <c r="B1585" s="943">
        <v>44992</v>
      </c>
      <c r="C1585" s="195">
        <f t="shared" si="49"/>
        <v>3</v>
      </c>
      <c r="D1585" s="195">
        <v>39.200000000000003</v>
      </c>
      <c r="E1585" s="705">
        <f t="shared" si="50"/>
        <v>4.0000000000000018</v>
      </c>
    </row>
    <row r="1586" spans="2:5">
      <c r="B1586" s="943">
        <v>44992</v>
      </c>
      <c r="C1586" s="195">
        <f t="shared" si="49"/>
        <v>3</v>
      </c>
      <c r="D1586" s="195">
        <v>39.200000000000003</v>
      </c>
      <c r="E1586" s="705">
        <f t="shared" si="50"/>
        <v>4.0000000000000018</v>
      </c>
    </row>
    <row r="1587" spans="2:5">
      <c r="B1587" s="943">
        <v>44992</v>
      </c>
      <c r="C1587" s="195">
        <f t="shared" si="49"/>
        <v>3</v>
      </c>
      <c r="D1587" s="195">
        <v>39.4</v>
      </c>
      <c r="E1587" s="705">
        <f t="shared" si="50"/>
        <v>4.1111111111111098</v>
      </c>
    </row>
    <row r="1588" spans="2:5">
      <c r="B1588" s="943">
        <v>44992</v>
      </c>
      <c r="C1588" s="195">
        <f t="shared" si="49"/>
        <v>3</v>
      </c>
      <c r="D1588" s="195">
        <v>39.4</v>
      </c>
      <c r="E1588" s="705">
        <f t="shared" si="50"/>
        <v>4.1111111111111098</v>
      </c>
    </row>
    <row r="1589" spans="2:5">
      <c r="B1589" s="943">
        <v>44992</v>
      </c>
      <c r="C1589" s="195">
        <f t="shared" si="49"/>
        <v>3</v>
      </c>
      <c r="D1589" s="195">
        <v>39.200000000000003</v>
      </c>
      <c r="E1589" s="705">
        <f t="shared" si="50"/>
        <v>4.0000000000000018</v>
      </c>
    </row>
    <row r="1590" spans="2:5">
      <c r="B1590" s="943">
        <v>44992</v>
      </c>
      <c r="C1590" s="195">
        <f t="shared" si="49"/>
        <v>3</v>
      </c>
      <c r="D1590" s="195" t="s">
        <v>1431</v>
      </c>
      <c r="E1590" s="705">
        <f t="shared" si="50"/>
        <v>3.8888888888888888</v>
      </c>
    </row>
    <row r="1591" spans="2:5">
      <c r="B1591" s="943">
        <v>44992</v>
      </c>
      <c r="C1591" s="195">
        <f t="shared" si="49"/>
        <v>3</v>
      </c>
      <c r="D1591" s="195">
        <v>38.700000000000003</v>
      </c>
      <c r="E1591" s="705">
        <f t="shared" si="50"/>
        <v>3.7222222222222237</v>
      </c>
    </row>
    <row r="1592" spans="2:5">
      <c r="B1592" s="943">
        <v>44992</v>
      </c>
      <c r="C1592" s="195">
        <f t="shared" si="49"/>
        <v>3</v>
      </c>
      <c r="D1592" s="195">
        <v>38.5</v>
      </c>
      <c r="E1592" s="705">
        <f t="shared" si="50"/>
        <v>3.6111111111111112</v>
      </c>
    </row>
    <row r="1593" spans="2:5">
      <c r="B1593" s="943">
        <v>44993</v>
      </c>
      <c r="C1593" s="195">
        <f t="shared" si="49"/>
        <v>3</v>
      </c>
      <c r="D1593" s="195">
        <v>38.1</v>
      </c>
      <c r="E1593" s="705">
        <f t="shared" si="50"/>
        <v>3.3888888888888897</v>
      </c>
    </row>
    <row r="1594" spans="2:5">
      <c r="B1594" s="943">
        <v>44993</v>
      </c>
      <c r="C1594" s="195">
        <f t="shared" si="49"/>
        <v>3</v>
      </c>
      <c r="D1594" s="195">
        <v>38.1</v>
      </c>
      <c r="E1594" s="705">
        <f t="shared" si="50"/>
        <v>3.3888888888888897</v>
      </c>
    </row>
    <row r="1595" spans="2:5">
      <c r="B1595" s="943">
        <v>44993</v>
      </c>
      <c r="C1595" s="195">
        <f t="shared" si="49"/>
        <v>3</v>
      </c>
      <c r="D1595" s="195">
        <v>38.299999999999997</v>
      </c>
      <c r="E1595" s="705">
        <f t="shared" si="50"/>
        <v>3.4999999999999982</v>
      </c>
    </row>
    <row r="1596" spans="2:5">
      <c r="B1596" s="943">
        <v>44993</v>
      </c>
      <c r="C1596" s="195">
        <f t="shared" si="49"/>
        <v>3</v>
      </c>
      <c r="D1596" s="195">
        <v>38.799999999999997</v>
      </c>
      <c r="E1596" s="705">
        <f t="shared" si="50"/>
        <v>3.7777777777777759</v>
      </c>
    </row>
    <row r="1597" spans="2:5">
      <c r="B1597" s="943">
        <v>44993</v>
      </c>
      <c r="C1597" s="195">
        <f t="shared" si="49"/>
        <v>3</v>
      </c>
      <c r="D1597" s="195">
        <v>38.799999999999997</v>
      </c>
      <c r="E1597" s="705">
        <f t="shared" si="50"/>
        <v>3.7777777777777759</v>
      </c>
    </row>
    <row r="1598" spans="2:5">
      <c r="B1598" s="943">
        <v>44993</v>
      </c>
      <c r="C1598" s="195">
        <f t="shared" si="49"/>
        <v>3</v>
      </c>
      <c r="D1598" s="195" t="s">
        <v>1431</v>
      </c>
      <c r="E1598" s="705">
        <f t="shared" si="50"/>
        <v>3.8888888888888888</v>
      </c>
    </row>
    <row r="1599" spans="2:5">
      <c r="B1599" s="943">
        <v>44993</v>
      </c>
      <c r="C1599" s="195">
        <f t="shared" si="49"/>
        <v>3</v>
      </c>
      <c r="D1599" s="195" t="s">
        <v>1431</v>
      </c>
      <c r="E1599" s="705">
        <f t="shared" si="50"/>
        <v>3.8888888888888888</v>
      </c>
    </row>
    <row r="1600" spans="2:5">
      <c r="B1600" s="943">
        <v>44993</v>
      </c>
      <c r="C1600" s="195">
        <f t="shared" si="49"/>
        <v>3</v>
      </c>
      <c r="D1600" s="195" t="s">
        <v>1431</v>
      </c>
      <c r="E1600" s="705">
        <f t="shared" si="50"/>
        <v>3.8888888888888888</v>
      </c>
    </row>
    <row r="1601" spans="2:5">
      <c r="B1601" s="943">
        <v>44993</v>
      </c>
      <c r="C1601" s="195">
        <f t="shared" si="49"/>
        <v>3</v>
      </c>
      <c r="D1601" s="195" t="s">
        <v>1431</v>
      </c>
      <c r="E1601" s="705">
        <f t="shared" si="50"/>
        <v>3.8888888888888888</v>
      </c>
    </row>
    <row r="1602" spans="2:5">
      <c r="B1602" s="943">
        <v>44993</v>
      </c>
      <c r="C1602" s="195">
        <f t="shared" si="49"/>
        <v>3</v>
      </c>
      <c r="D1602" s="195">
        <v>38.799999999999997</v>
      </c>
      <c r="E1602" s="705">
        <f t="shared" si="50"/>
        <v>3.7777777777777759</v>
      </c>
    </row>
    <row r="1603" spans="2:5">
      <c r="B1603" s="943">
        <v>44993</v>
      </c>
      <c r="C1603" s="195">
        <f t="shared" si="49"/>
        <v>3</v>
      </c>
      <c r="D1603" s="195">
        <v>38.299999999999997</v>
      </c>
      <c r="E1603" s="705">
        <f t="shared" si="50"/>
        <v>3.4999999999999982</v>
      </c>
    </row>
    <row r="1604" spans="2:5">
      <c r="B1604" s="943">
        <v>44993</v>
      </c>
      <c r="C1604" s="195">
        <f t="shared" si="49"/>
        <v>3</v>
      </c>
      <c r="D1604" s="195">
        <v>37.9</v>
      </c>
      <c r="E1604" s="705">
        <f t="shared" si="50"/>
        <v>3.2777777777777768</v>
      </c>
    </row>
    <row r="1605" spans="2:5">
      <c r="B1605" s="943">
        <v>44993</v>
      </c>
      <c r="C1605" s="195">
        <f t="shared" si="49"/>
        <v>3</v>
      </c>
      <c r="D1605" s="195">
        <v>37.799999999999997</v>
      </c>
      <c r="E1605" s="705">
        <f t="shared" si="50"/>
        <v>3.2222222222222205</v>
      </c>
    </row>
    <row r="1606" spans="2:5">
      <c r="B1606" s="943">
        <v>44993</v>
      </c>
      <c r="C1606" s="195">
        <f t="shared" si="49"/>
        <v>3</v>
      </c>
      <c r="D1606" s="195">
        <v>37.799999999999997</v>
      </c>
      <c r="E1606" s="705">
        <f t="shared" si="50"/>
        <v>3.2222222222222205</v>
      </c>
    </row>
    <row r="1607" spans="2:5">
      <c r="B1607" s="943">
        <v>44993</v>
      </c>
      <c r="C1607" s="195">
        <f t="shared" si="49"/>
        <v>3</v>
      </c>
      <c r="D1607" s="195">
        <v>37.9</v>
      </c>
      <c r="E1607" s="705">
        <f t="shared" si="50"/>
        <v>3.2777777777777768</v>
      </c>
    </row>
    <row r="1608" spans="2:5">
      <c r="B1608" s="943">
        <v>44993</v>
      </c>
      <c r="C1608" s="195">
        <f t="shared" si="49"/>
        <v>3</v>
      </c>
      <c r="D1608" s="195">
        <v>38.299999999999997</v>
      </c>
      <c r="E1608" s="705">
        <f t="shared" si="50"/>
        <v>3.4999999999999982</v>
      </c>
    </row>
    <row r="1609" spans="2:5">
      <c r="B1609" s="943">
        <v>44993</v>
      </c>
      <c r="C1609" s="195">
        <f t="shared" si="49"/>
        <v>3</v>
      </c>
      <c r="D1609" s="195">
        <v>38.700000000000003</v>
      </c>
      <c r="E1609" s="705">
        <f t="shared" si="50"/>
        <v>3.7222222222222237</v>
      </c>
    </row>
    <row r="1610" spans="2:5">
      <c r="B1610" s="943">
        <v>44993</v>
      </c>
      <c r="C1610" s="195">
        <f t="shared" ref="C1610:C1673" si="51">MONTH(B1610)</f>
        <v>3</v>
      </c>
      <c r="D1610" s="195" t="s">
        <v>1431</v>
      </c>
      <c r="E1610" s="705">
        <f t="shared" ref="E1610:E1673" si="52">CONVERT(D1610,"F","C")</f>
        <v>3.8888888888888888</v>
      </c>
    </row>
    <row r="1611" spans="2:5">
      <c r="B1611" s="943">
        <v>44993</v>
      </c>
      <c r="C1611" s="195">
        <f t="shared" si="51"/>
        <v>3</v>
      </c>
      <c r="D1611" s="195">
        <v>39.200000000000003</v>
      </c>
      <c r="E1611" s="705">
        <f t="shared" si="52"/>
        <v>4.0000000000000018</v>
      </c>
    </row>
    <row r="1612" spans="2:5">
      <c r="B1612" s="943">
        <v>44993</v>
      </c>
      <c r="C1612" s="195">
        <f t="shared" si="51"/>
        <v>3</v>
      </c>
      <c r="D1612" s="195">
        <v>39.200000000000003</v>
      </c>
      <c r="E1612" s="705">
        <f t="shared" si="52"/>
        <v>4.0000000000000018</v>
      </c>
    </row>
    <row r="1613" spans="2:5">
      <c r="B1613" s="943">
        <v>44993</v>
      </c>
      <c r="C1613" s="195">
        <f t="shared" si="51"/>
        <v>3</v>
      </c>
      <c r="D1613" s="195">
        <v>39.200000000000003</v>
      </c>
      <c r="E1613" s="705">
        <f t="shared" si="52"/>
        <v>4.0000000000000018</v>
      </c>
    </row>
    <row r="1614" spans="2:5">
      <c r="B1614" s="943">
        <v>44993</v>
      </c>
      <c r="C1614" s="195">
        <f t="shared" si="51"/>
        <v>3</v>
      </c>
      <c r="D1614" s="195">
        <v>39.200000000000003</v>
      </c>
      <c r="E1614" s="705">
        <f t="shared" si="52"/>
        <v>4.0000000000000018</v>
      </c>
    </row>
    <row r="1615" spans="2:5">
      <c r="B1615" s="943">
        <v>44993</v>
      </c>
      <c r="C1615" s="195">
        <f t="shared" si="51"/>
        <v>3</v>
      </c>
      <c r="D1615" s="195">
        <v>38.799999999999997</v>
      </c>
      <c r="E1615" s="705">
        <f t="shared" si="52"/>
        <v>3.7777777777777759</v>
      </c>
    </row>
    <row r="1616" spans="2:5">
      <c r="B1616" s="943">
        <v>44993</v>
      </c>
      <c r="C1616" s="195">
        <f t="shared" si="51"/>
        <v>3</v>
      </c>
      <c r="D1616" s="195">
        <v>38.700000000000003</v>
      </c>
      <c r="E1616" s="705">
        <f t="shared" si="52"/>
        <v>3.7222222222222237</v>
      </c>
    </row>
    <row r="1617" spans="2:5">
      <c r="B1617" s="943">
        <v>44994</v>
      </c>
      <c r="C1617" s="195">
        <f t="shared" si="51"/>
        <v>3</v>
      </c>
      <c r="D1617" s="195">
        <v>38.5</v>
      </c>
      <c r="E1617" s="705">
        <f t="shared" si="52"/>
        <v>3.6111111111111112</v>
      </c>
    </row>
    <row r="1618" spans="2:5">
      <c r="B1618" s="943">
        <v>44994</v>
      </c>
      <c r="C1618" s="195">
        <f t="shared" si="51"/>
        <v>3</v>
      </c>
      <c r="D1618" s="195">
        <v>38.299999999999997</v>
      </c>
      <c r="E1618" s="705">
        <f t="shared" si="52"/>
        <v>3.4999999999999982</v>
      </c>
    </row>
    <row r="1619" spans="2:5">
      <c r="B1619" s="943">
        <v>44994</v>
      </c>
      <c r="C1619" s="195">
        <f t="shared" si="51"/>
        <v>3</v>
      </c>
      <c r="D1619" s="195">
        <v>38.5</v>
      </c>
      <c r="E1619" s="705">
        <f t="shared" si="52"/>
        <v>3.6111111111111112</v>
      </c>
    </row>
    <row r="1620" spans="2:5">
      <c r="B1620" s="943">
        <v>44994</v>
      </c>
      <c r="C1620" s="195">
        <f t="shared" si="51"/>
        <v>3</v>
      </c>
      <c r="D1620" s="195">
        <v>38.799999999999997</v>
      </c>
      <c r="E1620" s="705">
        <f t="shared" si="52"/>
        <v>3.7777777777777759</v>
      </c>
    </row>
    <row r="1621" spans="2:5">
      <c r="B1621" s="943">
        <v>44994</v>
      </c>
      <c r="C1621" s="195">
        <f t="shared" si="51"/>
        <v>3</v>
      </c>
      <c r="D1621" s="195" t="s">
        <v>1431</v>
      </c>
      <c r="E1621" s="705">
        <f t="shared" si="52"/>
        <v>3.8888888888888888</v>
      </c>
    </row>
    <row r="1622" spans="2:5">
      <c r="B1622" s="943">
        <v>44994</v>
      </c>
      <c r="C1622" s="195">
        <f t="shared" si="51"/>
        <v>3</v>
      </c>
      <c r="D1622" s="195">
        <v>39.200000000000003</v>
      </c>
      <c r="E1622" s="705">
        <f t="shared" si="52"/>
        <v>4.0000000000000018</v>
      </c>
    </row>
    <row r="1623" spans="2:5">
      <c r="B1623" s="943">
        <v>44994</v>
      </c>
      <c r="C1623" s="195">
        <f t="shared" si="51"/>
        <v>3</v>
      </c>
      <c r="D1623" s="195">
        <v>39.200000000000003</v>
      </c>
      <c r="E1623" s="705">
        <f t="shared" si="52"/>
        <v>4.0000000000000018</v>
      </c>
    </row>
    <row r="1624" spans="2:5">
      <c r="B1624" s="943">
        <v>44994</v>
      </c>
      <c r="C1624" s="195">
        <f t="shared" si="51"/>
        <v>3</v>
      </c>
      <c r="D1624" s="195">
        <v>39.200000000000003</v>
      </c>
      <c r="E1624" s="705">
        <f t="shared" si="52"/>
        <v>4.0000000000000018</v>
      </c>
    </row>
    <row r="1625" spans="2:5">
      <c r="B1625" s="943">
        <v>44994</v>
      </c>
      <c r="C1625" s="195">
        <f t="shared" si="51"/>
        <v>3</v>
      </c>
      <c r="D1625" s="195">
        <v>39.200000000000003</v>
      </c>
      <c r="E1625" s="705">
        <f t="shared" si="52"/>
        <v>4.0000000000000018</v>
      </c>
    </row>
    <row r="1626" spans="2:5">
      <c r="B1626" s="943">
        <v>44994</v>
      </c>
      <c r="C1626" s="195">
        <f t="shared" si="51"/>
        <v>3</v>
      </c>
      <c r="D1626" s="195" t="s">
        <v>1431</v>
      </c>
      <c r="E1626" s="705">
        <f t="shared" si="52"/>
        <v>3.8888888888888888</v>
      </c>
    </row>
    <row r="1627" spans="2:5">
      <c r="B1627" s="943">
        <v>44994</v>
      </c>
      <c r="C1627" s="195">
        <f t="shared" si="51"/>
        <v>3</v>
      </c>
      <c r="D1627" s="195">
        <v>38.799999999999997</v>
      </c>
      <c r="E1627" s="705">
        <f t="shared" si="52"/>
        <v>3.7777777777777759</v>
      </c>
    </row>
    <row r="1628" spans="2:5">
      <c r="B1628" s="943">
        <v>44994</v>
      </c>
      <c r="C1628" s="195">
        <f t="shared" si="51"/>
        <v>3</v>
      </c>
      <c r="D1628" s="195">
        <v>38.5</v>
      </c>
      <c r="E1628" s="705">
        <f t="shared" si="52"/>
        <v>3.6111111111111112</v>
      </c>
    </row>
    <row r="1629" spans="2:5">
      <c r="B1629" s="943">
        <v>44994</v>
      </c>
      <c r="C1629" s="195">
        <f t="shared" si="51"/>
        <v>3</v>
      </c>
      <c r="D1629" s="195">
        <v>38.299999999999997</v>
      </c>
      <c r="E1629" s="705">
        <f t="shared" si="52"/>
        <v>3.4999999999999982</v>
      </c>
    </row>
    <row r="1630" spans="2:5">
      <c r="B1630" s="943">
        <v>44994</v>
      </c>
      <c r="C1630" s="195">
        <f t="shared" si="51"/>
        <v>3</v>
      </c>
      <c r="D1630" s="195">
        <v>38.1</v>
      </c>
      <c r="E1630" s="705">
        <f t="shared" si="52"/>
        <v>3.3888888888888897</v>
      </c>
    </row>
    <row r="1631" spans="2:5">
      <c r="B1631" s="943">
        <v>44994</v>
      </c>
      <c r="C1631" s="195">
        <f t="shared" si="51"/>
        <v>3</v>
      </c>
      <c r="D1631" s="195">
        <v>38.299999999999997</v>
      </c>
      <c r="E1631" s="705">
        <f t="shared" si="52"/>
        <v>3.4999999999999982</v>
      </c>
    </row>
    <row r="1632" spans="2:5">
      <c r="B1632" s="943">
        <v>44994</v>
      </c>
      <c r="C1632" s="195">
        <f t="shared" si="51"/>
        <v>3</v>
      </c>
      <c r="D1632" s="195">
        <v>38.5</v>
      </c>
      <c r="E1632" s="705">
        <f t="shared" si="52"/>
        <v>3.6111111111111112</v>
      </c>
    </row>
    <row r="1633" spans="2:5">
      <c r="B1633" s="943">
        <v>44994</v>
      </c>
      <c r="C1633" s="195">
        <f t="shared" si="51"/>
        <v>3</v>
      </c>
      <c r="D1633" s="195">
        <v>38.799999999999997</v>
      </c>
      <c r="E1633" s="705">
        <f t="shared" si="52"/>
        <v>3.7777777777777759</v>
      </c>
    </row>
    <row r="1634" spans="2:5">
      <c r="B1634" s="943">
        <v>44994</v>
      </c>
      <c r="C1634" s="195">
        <f t="shared" si="51"/>
        <v>3</v>
      </c>
      <c r="D1634" s="195" t="s">
        <v>1431</v>
      </c>
      <c r="E1634" s="705">
        <f t="shared" si="52"/>
        <v>3.8888888888888888</v>
      </c>
    </row>
    <row r="1635" spans="2:5">
      <c r="B1635" s="943">
        <v>44994</v>
      </c>
      <c r="C1635" s="195">
        <f t="shared" si="51"/>
        <v>3</v>
      </c>
      <c r="D1635" s="195">
        <v>39.200000000000003</v>
      </c>
      <c r="E1635" s="705">
        <f t="shared" si="52"/>
        <v>4.0000000000000018</v>
      </c>
    </row>
    <row r="1636" spans="2:5">
      <c r="B1636" s="943">
        <v>44994</v>
      </c>
      <c r="C1636" s="195">
        <f t="shared" si="51"/>
        <v>3</v>
      </c>
      <c r="D1636" s="195">
        <v>39.200000000000003</v>
      </c>
      <c r="E1636" s="705">
        <f t="shared" si="52"/>
        <v>4.0000000000000018</v>
      </c>
    </row>
    <row r="1637" spans="2:5">
      <c r="B1637" s="943">
        <v>44994</v>
      </c>
      <c r="C1637" s="195">
        <f t="shared" si="51"/>
        <v>3</v>
      </c>
      <c r="D1637" s="195">
        <v>39.4</v>
      </c>
      <c r="E1637" s="705">
        <f t="shared" si="52"/>
        <v>4.1111111111111098</v>
      </c>
    </row>
    <row r="1638" spans="2:5">
      <c r="B1638" s="943">
        <v>44994</v>
      </c>
      <c r="C1638" s="195">
        <f t="shared" si="51"/>
        <v>3</v>
      </c>
      <c r="D1638" s="195">
        <v>39.4</v>
      </c>
      <c r="E1638" s="705">
        <f t="shared" si="52"/>
        <v>4.1111111111111098</v>
      </c>
    </row>
    <row r="1639" spans="2:5">
      <c r="B1639" s="943">
        <v>44994</v>
      </c>
      <c r="C1639" s="195">
        <f t="shared" si="51"/>
        <v>3</v>
      </c>
      <c r="D1639" s="195">
        <v>39.4</v>
      </c>
      <c r="E1639" s="705">
        <f t="shared" si="52"/>
        <v>4.1111111111111098</v>
      </c>
    </row>
    <row r="1640" spans="2:5">
      <c r="B1640" s="943">
        <v>44994</v>
      </c>
      <c r="C1640" s="195">
        <f t="shared" si="51"/>
        <v>3</v>
      </c>
      <c r="D1640" s="195">
        <v>39.200000000000003</v>
      </c>
      <c r="E1640" s="705">
        <f t="shared" si="52"/>
        <v>4.0000000000000018</v>
      </c>
    </row>
    <row r="1641" spans="2:5">
      <c r="B1641" s="943">
        <v>44995</v>
      </c>
      <c r="C1641" s="195">
        <f t="shared" si="51"/>
        <v>3</v>
      </c>
      <c r="D1641" s="195" t="s">
        <v>1431</v>
      </c>
      <c r="E1641" s="705">
        <f t="shared" si="52"/>
        <v>3.8888888888888888</v>
      </c>
    </row>
    <row r="1642" spans="2:5">
      <c r="B1642" s="943">
        <v>44995</v>
      </c>
      <c r="C1642" s="195">
        <f t="shared" si="51"/>
        <v>3</v>
      </c>
      <c r="D1642" s="195">
        <v>38.799999999999997</v>
      </c>
      <c r="E1642" s="705">
        <f t="shared" si="52"/>
        <v>3.7777777777777759</v>
      </c>
    </row>
    <row r="1643" spans="2:5">
      <c r="B1643" s="943">
        <v>44995</v>
      </c>
      <c r="C1643" s="195">
        <f t="shared" si="51"/>
        <v>3</v>
      </c>
      <c r="D1643" s="195">
        <v>38.799999999999997</v>
      </c>
      <c r="E1643" s="705">
        <f t="shared" si="52"/>
        <v>3.7777777777777759</v>
      </c>
    </row>
    <row r="1644" spans="2:5">
      <c r="B1644" s="943">
        <v>44995</v>
      </c>
      <c r="C1644" s="195">
        <f t="shared" si="51"/>
        <v>3</v>
      </c>
      <c r="D1644" s="195" t="s">
        <v>1431</v>
      </c>
      <c r="E1644" s="705">
        <f t="shared" si="52"/>
        <v>3.8888888888888888</v>
      </c>
    </row>
    <row r="1645" spans="2:5">
      <c r="B1645" s="943">
        <v>44995</v>
      </c>
      <c r="C1645" s="195">
        <f t="shared" si="51"/>
        <v>3</v>
      </c>
      <c r="D1645" s="195">
        <v>39.200000000000003</v>
      </c>
      <c r="E1645" s="705">
        <f t="shared" si="52"/>
        <v>4.0000000000000018</v>
      </c>
    </row>
    <row r="1646" spans="2:5">
      <c r="B1646" s="943">
        <v>44995</v>
      </c>
      <c r="C1646" s="195">
        <f t="shared" si="51"/>
        <v>3</v>
      </c>
      <c r="D1646" s="195">
        <v>39.200000000000003</v>
      </c>
      <c r="E1646" s="705">
        <f t="shared" si="52"/>
        <v>4.0000000000000018</v>
      </c>
    </row>
    <row r="1647" spans="2:5">
      <c r="B1647" s="943">
        <v>44995</v>
      </c>
      <c r="C1647" s="195">
        <f t="shared" si="51"/>
        <v>3</v>
      </c>
      <c r="D1647" s="195">
        <v>39.4</v>
      </c>
      <c r="E1647" s="705">
        <f t="shared" si="52"/>
        <v>4.1111111111111098</v>
      </c>
    </row>
    <row r="1648" spans="2:5">
      <c r="B1648" s="943">
        <v>44995</v>
      </c>
      <c r="C1648" s="195">
        <f t="shared" si="51"/>
        <v>3</v>
      </c>
      <c r="D1648" s="195">
        <v>39.4</v>
      </c>
      <c r="E1648" s="705">
        <f t="shared" si="52"/>
        <v>4.1111111111111098</v>
      </c>
    </row>
    <row r="1649" spans="2:5">
      <c r="B1649" s="943">
        <v>44995</v>
      </c>
      <c r="C1649" s="195">
        <f t="shared" si="51"/>
        <v>3</v>
      </c>
      <c r="D1649" s="195">
        <v>39.200000000000003</v>
      </c>
      <c r="E1649" s="705">
        <f t="shared" si="52"/>
        <v>4.0000000000000018</v>
      </c>
    </row>
    <row r="1650" spans="2:5">
      <c r="B1650" s="943">
        <v>44995</v>
      </c>
      <c r="C1650" s="195">
        <f t="shared" si="51"/>
        <v>3</v>
      </c>
      <c r="D1650" s="195">
        <v>39.200000000000003</v>
      </c>
      <c r="E1650" s="705">
        <f t="shared" si="52"/>
        <v>4.0000000000000018</v>
      </c>
    </row>
    <row r="1651" spans="2:5">
      <c r="B1651" s="943">
        <v>44995</v>
      </c>
      <c r="C1651" s="195">
        <f t="shared" si="51"/>
        <v>3</v>
      </c>
      <c r="D1651" s="195">
        <v>39.200000000000003</v>
      </c>
      <c r="E1651" s="705">
        <f t="shared" si="52"/>
        <v>4.0000000000000018</v>
      </c>
    </row>
    <row r="1652" spans="2:5">
      <c r="B1652" s="943">
        <v>44995</v>
      </c>
      <c r="C1652" s="195">
        <f t="shared" si="51"/>
        <v>3</v>
      </c>
      <c r="D1652" s="195">
        <v>38.799999999999997</v>
      </c>
      <c r="E1652" s="705">
        <f t="shared" si="52"/>
        <v>3.7777777777777759</v>
      </c>
    </row>
    <row r="1653" spans="2:5">
      <c r="B1653" s="943">
        <v>44995</v>
      </c>
      <c r="C1653" s="195">
        <f t="shared" si="51"/>
        <v>3</v>
      </c>
      <c r="D1653" s="195">
        <v>38.700000000000003</v>
      </c>
      <c r="E1653" s="705">
        <f t="shared" si="52"/>
        <v>3.7222222222222237</v>
      </c>
    </row>
    <row r="1654" spans="2:5">
      <c r="B1654" s="943">
        <v>44995</v>
      </c>
      <c r="C1654" s="195">
        <f t="shared" si="51"/>
        <v>3</v>
      </c>
      <c r="D1654" s="195">
        <v>38.700000000000003</v>
      </c>
      <c r="E1654" s="705">
        <f t="shared" si="52"/>
        <v>3.7222222222222237</v>
      </c>
    </row>
    <row r="1655" spans="2:5">
      <c r="B1655" s="943">
        <v>44995</v>
      </c>
      <c r="C1655" s="195">
        <f t="shared" si="51"/>
        <v>3</v>
      </c>
      <c r="D1655" s="195">
        <v>38.700000000000003</v>
      </c>
      <c r="E1655" s="705">
        <f t="shared" si="52"/>
        <v>3.7222222222222237</v>
      </c>
    </row>
    <row r="1656" spans="2:5">
      <c r="B1656" s="943">
        <v>44995</v>
      </c>
      <c r="C1656" s="195">
        <f t="shared" si="51"/>
        <v>3</v>
      </c>
      <c r="D1656" s="195">
        <v>38.700000000000003</v>
      </c>
      <c r="E1656" s="705">
        <f t="shared" si="52"/>
        <v>3.7222222222222237</v>
      </c>
    </row>
    <row r="1657" spans="2:5">
      <c r="B1657" s="943">
        <v>44995</v>
      </c>
      <c r="C1657" s="195">
        <f t="shared" si="51"/>
        <v>3</v>
      </c>
      <c r="D1657" s="195">
        <v>38.799999999999997</v>
      </c>
      <c r="E1657" s="705">
        <f t="shared" si="52"/>
        <v>3.7777777777777759</v>
      </c>
    </row>
    <row r="1658" spans="2:5">
      <c r="B1658" s="943">
        <v>44995</v>
      </c>
      <c r="C1658" s="195">
        <f t="shared" si="51"/>
        <v>3</v>
      </c>
      <c r="D1658" s="195" t="s">
        <v>1431</v>
      </c>
      <c r="E1658" s="705">
        <f t="shared" si="52"/>
        <v>3.8888888888888888</v>
      </c>
    </row>
    <row r="1659" spans="2:5">
      <c r="B1659" s="943">
        <v>44995</v>
      </c>
      <c r="C1659" s="195">
        <f t="shared" si="51"/>
        <v>3</v>
      </c>
      <c r="D1659" s="195">
        <v>39.200000000000003</v>
      </c>
      <c r="E1659" s="705">
        <f t="shared" si="52"/>
        <v>4.0000000000000018</v>
      </c>
    </row>
    <row r="1660" spans="2:5">
      <c r="B1660" s="943">
        <v>44995</v>
      </c>
      <c r="C1660" s="195">
        <f t="shared" si="51"/>
        <v>3</v>
      </c>
      <c r="D1660" s="195">
        <v>39.4</v>
      </c>
      <c r="E1660" s="705">
        <f t="shared" si="52"/>
        <v>4.1111111111111098</v>
      </c>
    </row>
    <row r="1661" spans="2:5">
      <c r="B1661" s="943">
        <v>44995</v>
      </c>
      <c r="C1661" s="195">
        <f t="shared" si="51"/>
        <v>3</v>
      </c>
      <c r="D1661" s="195">
        <v>39.6</v>
      </c>
      <c r="E1661" s="705">
        <f t="shared" si="52"/>
        <v>4.2222222222222232</v>
      </c>
    </row>
    <row r="1662" spans="2:5">
      <c r="B1662" s="943">
        <v>44995</v>
      </c>
      <c r="C1662" s="195">
        <f t="shared" si="51"/>
        <v>3</v>
      </c>
      <c r="D1662" s="195">
        <v>39.6</v>
      </c>
      <c r="E1662" s="705">
        <f t="shared" si="52"/>
        <v>4.2222222222222232</v>
      </c>
    </row>
    <row r="1663" spans="2:5">
      <c r="B1663" s="943">
        <v>44995</v>
      </c>
      <c r="C1663" s="195">
        <f t="shared" si="51"/>
        <v>3</v>
      </c>
      <c r="D1663" s="195">
        <v>39.6</v>
      </c>
      <c r="E1663" s="705">
        <f t="shared" si="52"/>
        <v>4.2222222222222232</v>
      </c>
    </row>
    <row r="1664" spans="2:5">
      <c r="B1664" s="943">
        <v>44995</v>
      </c>
      <c r="C1664" s="195">
        <f t="shared" si="51"/>
        <v>3</v>
      </c>
      <c r="D1664" s="195">
        <v>39.6</v>
      </c>
      <c r="E1664" s="705">
        <f t="shared" si="52"/>
        <v>4.2222222222222232</v>
      </c>
    </row>
    <row r="1665" spans="2:5">
      <c r="B1665" s="943">
        <v>44996</v>
      </c>
      <c r="C1665" s="195">
        <f t="shared" si="51"/>
        <v>3</v>
      </c>
      <c r="D1665" s="195">
        <v>39.4</v>
      </c>
      <c r="E1665" s="705">
        <f t="shared" si="52"/>
        <v>4.1111111111111098</v>
      </c>
    </row>
    <row r="1666" spans="2:5">
      <c r="B1666" s="943">
        <v>44996</v>
      </c>
      <c r="C1666" s="195">
        <f t="shared" si="51"/>
        <v>3</v>
      </c>
      <c r="D1666" s="195">
        <v>39.4</v>
      </c>
      <c r="E1666" s="705">
        <f t="shared" si="52"/>
        <v>4.1111111111111098</v>
      </c>
    </row>
    <row r="1667" spans="2:5">
      <c r="B1667" s="943">
        <v>44996</v>
      </c>
      <c r="C1667" s="195">
        <f t="shared" si="51"/>
        <v>3</v>
      </c>
      <c r="D1667" s="195">
        <v>39.200000000000003</v>
      </c>
      <c r="E1667" s="705">
        <f t="shared" si="52"/>
        <v>4.0000000000000018</v>
      </c>
    </row>
    <row r="1668" spans="2:5">
      <c r="B1668" s="943">
        <v>44996</v>
      </c>
      <c r="C1668" s="195">
        <f t="shared" si="51"/>
        <v>3</v>
      </c>
      <c r="D1668" s="195">
        <v>39.4</v>
      </c>
      <c r="E1668" s="705">
        <f t="shared" si="52"/>
        <v>4.1111111111111098</v>
      </c>
    </row>
    <row r="1669" spans="2:5">
      <c r="B1669" s="943">
        <v>44996</v>
      </c>
      <c r="C1669" s="195">
        <f t="shared" si="51"/>
        <v>3</v>
      </c>
      <c r="D1669" s="195">
        <v>39.6</v>
      </c>
      <c r="E1669" s="705">
        <f t="shared" si="52"/>
        <v>4.2222222222222232</v>
      </c>
    </row>
    <row r="1670" spans="2:5">
      <c r="B1670" s="943">
        <v>44996</v>
      </c>
      <c r="C1670" s="195">
        <f t="shared" si="51"/>
        <v>3</v>
      </c>
      <c r="D1670" s="195">
        <v>39.6</v>
      </c>
      <c r="E1670" s="705">
        <f t="shared" si="52"/>
        <v>4.2222222222222232</v>
      </c>
    </row>
    <row r="1671" spans="2:5">
      <c r="B1671" s="943">
        <v>44996</v>
      </c>
      <c r="C1671" s="195">
        <f t="shared" si="51"/>
        <v>3</v>
      </c>
      <c r="D1671" s="195">
        <v>39.6</v>
      </c>
      <c r="E1671" s="705">
        <f t="shared" si="52"/>
        <v>4.2222222222222232</v>
      </c>
    </row>
    <row r="1672" spans="2:5">
      <c r="B1672" s="943">
        <v>44996</v>
      </c>
      <c r="C1672" s="195">
        <f t="shared" si="51"/>
        <v>3</v>
      </c>
      <c r="D1672" s="195">
        <v>39.4</v>
      </c>
      <c r="E1672" s="705">
        <f t="shared" si="52"/>
        <v>4.1111111111111098</v>
      </c>
    </row>
    <row r="1673" spans="2:5">
      <c r="B1673" s="943">
        <v>44996</v>
      </c>
      <c r="C1673" s="195">
        <f t="shared" si="51"/>
        <v>3</v>
      </c>
      <c r="D1673" s="195">
        <v>39.4</v>
      </c>
      <c r="E1673" s="705">
        <f t="shared" si="52"/>
        <v>4.1111111111111098</v>
      </c>
    </row>
    <row r="1674" spans="2:5">
      <c r="B1674" s="943">
        <v>44996</v>
      </c>
      <c r="C1674" s="195">
        <f t="shared" ref="C1674:C1737" si="53">MONTH(B1674)</f>
        <v>3</v>
      </c>
      <c r="D1674" s="195">
        <v>39.4</v>
      </c>
      <c r="E1674" s="705">
        <f t="shared" ref="E1674:E1737" si="54">CONVERT(D1674,"F","C")</f>
        <v>4.1111111111111098</v>
      </c>
    </row>
    <row r="1675" spans="2:5">
      <c r="B1675" s="943">
        <v>44996</v>
      </c>
      <c r="C1675" s="195">
        <f t="shared" si="53"/>
        <v>3</v>
      </c>
      <c r="D1675" s="195">
        <v>39.4</v>
      </c>
      <c r="E1675" s="705">
        <f t="shared" si="54"/>
        <v>4.1111111111111098</v>
      </c>
    </row>
    <row r="1676" spans="2:5">
      <c r="B1676" s="943">
        <v>44996</v>
      </c>
      <c r="C1676" s="195">
        <f t="shared" si="53"/>
        <v>3</v>
      </c>
      <c r="D1676" s="195">
        <v>39.4</v>
      </c>
      <c r="E1676" s="705">
        <f t="shared" si="54"/>
        <v>4.1111111111111098</v>
      </c>
    </row>
    <row r="1677" spans="2:5">
      <c r="B1677" s="943">
        <v>44996</v>
      </c>
      <c r="C1677" s="195">
        <f t="shared" si="53"/>
        <v>3</v>
      </c>
      <c r="D1677" s="195">
        <v>39.4</v>
      </c>
      <c r="E1677" s="705">
        <f t="shared" si="54"/>
        <v>4.1111111111111098</v>
      </c>
    </row>
    <row r="1678" spans="2:5">
      <c r="B1678" s="943">
        <v>44996</v>
      </c>
      <c r="C1678" s="195">
        <f t="shared" si="53"/>
        <v>3</v>
      </c>
      <c r="D1678" s="195">
        <v>39.200000000000003</v>
      </c>
      <c r="E1678" s="705">
        <f t="shared" si="54"/>
        <v>4.0000000000000018</v>
      </c>
    </row>
    <row r="1679" spans="2:5">
      <c r="B1679" s="943">
        <v>44996</v>
      </c>
      <c r="C1679" s="195">
        <f t="shared" si="53"/>
        <v>3</v>
      </c>
      <c r="D1679" s="195">
        <v>39.200000000000003</v>
      </c>
      <c r="E1679" s="705">
        <f t="shared" si="54"/>
        <v>4.0000000000000018</v>
      </c>
    </row>
    <row r="1680" spans="2:5">
      <c r="B1680" s="943">
        <v>44996</v>
      </c>
      <c r="C1680" s="195">
        <f t="shared" si="53"/>
        <v>3</v>
      </c>
      <c r="D1680" s="195">
        <v>39.200000000000003</v>
      </c>
      <c r="E1680" s="705">
        <f t="shared" si="54"/>
        <v>4.0000000000000018</v>
      </c>
    </row>
    <row r="1681" spans="2:5">
      <c r="B1681" s="943">
        <v>44996</v>
      </c>
      <c r="C1681" s="195">
        <f t="shared" si="53"/>
        <v>3</v>
      </c>
      <c r="D1681" s="195">
        <v>39.200000000000003</v>
      </c>
      <c r="E1681" s="705">
        <f t="shared" si="54"/>
        <v>4.0000000000000018</v>
      </c>
    </row>
    <row r="1682" spans="2:5">
      <c r="B1682" s="943">
        <v>44996</v>
      </c>
      <c r="C1682" s="195">
        <f t="shared" si="53"/>
        <v>3</v>
      </c>
      <c r="D1682" s="195">
        <v>39.4</v>
      </c>
      <c r="E1682" s="705">
        <f t="shared" si="54"/>
        <v>4.1111111111111098</v>
      </c>
    </row>
    <row r="1683" spans="2:5">
      <c r="B1683" s="943">
        <v>44996</v>
      </c>
      <c r="C1683" s="195">
        <f t="shared" si="53"/>
        <v>3</v>
      </c>
      <c r="D1683" s="195">
        <v>39.4</v>
      </c>
      <c r="E1683" s="705">
        <f t="shared" si="54"/>
        <v>4.1111111111111098</v>
      </c>
    </row>
    <row r="1684" spans="2:5">
      <c r="B1684" s="943">
        <v>44996</v>
      </c>
      <c r="C1684" s="195">
        <f t="shared" si="53"/>
        <v>3</v>
      </c>
      <c r="D1684" s="195">
        <v>39.4</v>
      </c>
      <c r="E1684" s="705">
        <f t="shared" si="54"/>
        <v>4.1111111111111098</v>
      </c>
    </row>
    <row r="1685" spans="2:5">
      <c r="B1685" s="943">
        <v>44996</v>
      </c>
      <c r="C1685" s="195">
        <f t="shared" si="53"/>
        <v>3</v>
      </c>
      <c r="D1685" s="195">
        <v>39.6</v>
      </c>
      <c r="E1685" s="705">
        <f t="shared" si="54"/>
        <v>4.2222222222222232</v>
      </c>
    </row>
    <row r="1686" spans="2:5">
      <c r="B1686" s="943">
        <v>44996</v>
      </c>
      <c r="C1686" s="195">
        <f t="shared" si="53"/>
        <v>3</v>
      </c>
      <c r="D1686" s="195">
        <v>39.6</v>
      </c>
      <c r="E1686" s="705">
        <f t="shared" si="54"/>
        <v>4.2222222222222232</v>
      </c>
    </row>
    <row r="1687" spans="2:5">
      <c r="B1687" s="943">
        <v>44996</v>
      </c>
      <c r="C1687" s="195">
        <f t="shared" si="53"/>
        <v>3</v>
      </c>
      <c r="D1687" s="195">
        <v>39.6</v>
      </c>
      <c r="E1687" s="705">
        <f t="shared" si="54"/>
        <v>4.2222222222222232</v>
      </c>
    </row>
    <row r="1688" spans="2:5">
      <c r="B1688" s="943">
        <v>44996</v>
      </c>
      <c r="C1688" s="195">
        <f t="shared" si="53"/>
        <v>3</v>
      </c>
      <c r="D1688" s="195">
        <v>39.4</v>
      </c>
      <c r="E1688" s="705">
        <f t="shared" si="54"/>
        <v>4.1111111111111098</v>
      </c>
    </row>
    <row r="1689" spans="2:5">
      <c r="B1689" s="943">
        <v>44997</v>
      </c>
      <c r="C1689" s="195">
        <f t="shared" si="53"/>
        <v>3</v>
      </c>
      <c r="D1689" s="195">
        <v>39.4</v>
      </c>
      <c r="E1689" s="705">
        <f t="shared" si="54"/>
        <v>4.1111111111111098</v>
      </c>
    </row>
    <row r="1690" spans="2:5">
      <c r="B1690" s="943">
        <v>44997</v>
      </c>
      <c r="C1690" s="195">
        <f t="shared" si="53"/>
        <v>3</v>
      </c>
      <c r="D1690" s="195">
        <v>39.4</v>
      </c>
      <c r="E1690" s="705">
        <f t="shared" si="54"/>
        <v>4.1111111111111098</v>
      </c>
    </row>
    <row r="1691" spans="2:5">
      <c r="B1691" s="943">
        <v>44997</v>
      </c>
      <c r="C1691" s="195">
        <f t="shared" si="53"/>
        <v>3</v>
      </c>
      <c r="D1691" s="195">
        <v>39.200000000000003</v>
      </c>
      <c r="E1691" s="705">
        <f t="shared" si="54"/>
        <v>4.0000000000000018</v>
      </c>
    </row>
    <row r="1692" spans="2:5">
      <c r="B1692" s="943">
        <v>44997</v>
      </c>
      <c r="C1692" s="195">
        <f t="shared" si="53"/>
        <v>3</v>
      </c>
      <c r="D1692" s="195">
        <v>39.200000000000003</v>
      </c>
      <c r="E1692" s="705">
        <f t="shared" si="54"/>
        <v>4.0000000000000018</v>
      </c>
    </row>
    <row r="1693" spans="2:5">
      <c r="B1693" s="943">
        <v>44997</v>
      </c>
      <c r="C1693" s="195">
        <f t="shared" si="53"/>
        <v>3</v>
      </c>
      <c r="D1693" s="195">
        <v>39.200000000000003</v>
      </c>
      <c r="E1693" s="705">
        <f t="shared" si="54"/>
        <v>4.0000000000000018</v>
      </c>
    </row>
    <row r="1694" spans="2:5">
      <c r="B1694" s="943">
        <v>44997</v>
      </c>
      <c r="C1694" s="195">
        <f t="shared" si="53"/>
        <v>3</v>
      </c>
      <c r="D1694" s="195">
        <v>39.4</v>
      </c>
      <c r="E1694" s="705">
        <f t="shared" si="54"/>
        <v>4.1111111111111098</v>
      </c>
    </row>
    <row r="1695" spans="2:5">
      <c r="B1695" s="943">
        <v>44997</v>
      </c>
      <c r="C1695" s="195">
        <f t="shared" si="53"/>
        <v>3</v>
      </c>
      <c r="D1695" s="195">
        <v>39.4</v>
      </c>
      <c r="E1695" s="705">
        <f t="shared" si="54"/>
        <v>4.1111111111111098</v>
      </c>
    </row>
    <row r="1696" spans="2:5">
      <c r="B1696" s="943">
        <v>44997</v>
      </c>
      <c r="C1696" s="195">
        <f t="shared" si="53"/>
        <v>3</v>
      </c>
      <c r="D1696" s="195">
        <v>39.4</v>
      </c>
      <c r="E1696" s="705">
        <f t="shared" si="54"/>
        <v>4.1111111111111098</v>
      </c>
    </row>
    <row r="1697" spans="2:5">
      <c r="B1697" s="943">
        <v>44997</v>
      </c>
      <c r="C1697" s="195">
        <f t="shared" si="53"/>
        <v>3</v>
      </c>
      <c r="D1697" s="195">
        <v>39.4</v>
      </c>
      <c r="E1697" s="705">
        <f t="shared" si="54"/>
        <v>4.1111111111111098</v>
      </c>
    </row>
    <row r="1698" spans="2:5">
      <c r="B1698" s="943">
        <v>44997</v>
      </c>
      <c r="C1698" s="195">
        <f t="shared" si="53"/>
        <v>3</v>
      </c>
      <c r="D1698" s="195">
        <v>39.4</v>
      </c>
      <c r="E1698" s="705">
        <f t="shared" si="54"/>
        <v>4.1111111111111098</v>
      </c>
    </row>
    <row r="1699" spans="2:5">
      <c r="B1699" s="943">
        <v>44997</v>
      </c>
      <c r="C1699" s="195">
        <f t="shared" si="53"/>
        <v>3</v>
      </c>
      <c r="D1699" s="195">
        <v>39.200000000000003</v>
      </c>
      <c r="E1699" s="705">
        <f t="shared" si="54"/>
        <v>4.0000000000000018</v>
      </c>
    </row>
    <row r="1700" spans="2:5">
      <c r="B1700" s="943">
        <v>44997</v>
      </c>
      <c r="C1700" s="195">
        <f t="shared" si="53"/>
        <v>3</v>
      </c>
      <c r="D1700" s="195">
        <v>39.200000000000003</v>
      </c>
      <c r="E1700" s="705">
        <f t="shared" si="54"/>
        <v>4.0000000000000018</v>
      </c>
    </row>
    <row r="1701" spans="2:5">
      <c r="B1701" s="943">
        <v>44997</v>
      </c>
      <c r="C1701" s="195">
        <f t="shared" si="53"/>
        <v>3</v>
      </c>
      <c r="D1701" s="195">
        <v>39.200000000000003</v>
      </c>
      <c r="E1701" s="705">
        <f t="shared" si="54"/>
        <v>4.0000000000000018</v>
      </c>
    </row>
    <row r="1702" spans="2:5">
      <c r="B1702" s="943">
        <v>44997</v>
      </c>
      <c r="C1702" s="195">
        <f t="shared" si="53"/>
        <v>3</v>
      </c>
      <c r="D1702" s="195" t="s">
        <v>1431</v>
      </c>
      <c r="E1702" s="705">
        <f t="shared" si="54"/>
        <v>3.8888888888888888</v>
      </c>
    </row>
    <row r="1703" spans="2:5">
      <c r="B1703" s="943">
        <v>44997</v>
      </c>
      <c r="C1703" s="195">
        <f t="shared" si="53"/>
        <v>3</v>
      </c>
      <c r="D1703" s="195" t="s">
        <v>1431</v>
      </c>
      <c r="E1703" s="705">
        <f t="shared" si="54"/>
        <v>3.8888888888888888</v>
      </c>
    </row>
    <row r="1704" spans="2:5">
      <c r="B1704" s="943">
        <v>44997</v>
      </c>
      <c r="C1704" s="195">
        <f t="shared" si="53"/>
        <v>3</v>
      </c>
      <c r="D1704" s="195" t="s">
        <v>1431</v>
      </c>
      <c r="E1704" s="705">
        <f t="shared" si="54"/>
        <v>3.8888888888888888</v>
      </c>
    </row>
    <row r="1705" spans="2:5">
      <c r="B1705" s="943">
        <v>44997</v>
      </c>
      <c r="C1705" s="195">
        <f t="shared" si="53"/>
        <v>3</v>
      </c>
      <c r="D1705" s="195" t="s">
        <v>1431</v>
      </c>
      <c r="E1705" s="705">
        <f t="shared" si="54"/>
        <v>3.8888888888888888</v>
      </c>
    </row>
    <row r="1706" spans="2:5">
      <c r="B1706" s="943">
        <v>44997</v>
      </c>
      <c r="C1706" s="195">
        <f t="shared" si="53"/>
        <v>3</v>
      </c>
      <c r="D1706" s="195" t="s">
        <v>1431</v>
      </c>
      <c r="E1706" s="705">
        <f t="shared" si="54"/>
        <v>3.8888888888888888</v>
      </c>
    </row>
    <row r="1707" spans="2:5">
      <c r="B1707" s="943">
        <v>44997</v>
      </c>
      <c r="C1707" s="195">
        <f t="shared" si="53"/>
        <v>3</v>
      </c>
      <c r="D1707" s="195">
        <v>39.200000000000003</v>
      </c>
      <c r="E1707" s="705">
        <f t="shared" si="54"/>
        <v>4.0000000000000018</v>
      </c>
    </row>
    <row r="1708" spans="2:5">
      <c r="B1708" s="943">
        <v>44997</v>
      </c>
      <c r="C1708" s="195">
        <f t="shared" si="53"/>
        <v>3</v>
      </c>
      <c r="D1708" s="195">
        <v>39.4</v>
      </c>
      <c r="E1708" s="705">
        <f t="shared" si="54"/>
        <v>4.1111111111111098</v>
      </c>
    </row>
    <row r="1709" spans="2:5">
      <c r="B1709" s="943">
        <v>44997</v>
      </c>
      <c r="C1709" s="195">
        <f t="shared" si="53"/>
        <v>3</v>
      </c>
      <c r="D1709" s="195">
        <v>39.4</v>
      </c>
      <c r="E1709" s="705">
        <f t="shared" si="54"/>
        <v>4.1111111111111098</v>
      </c>
    </row>
    <row r="1710" spans="2:5">
      <c r="B1710" s="943">
        <v>44997</v>
      </c>
      <c r="C1710" s="195">
        <f t="shared" si="53"/>
        <v>3</v>
      </c>
      <c r="D1710" s="195">
        <v>39.6</v>
      </c>
      <c r="E1710" s="705">
        <f t="shared" si="54"/>
        <v>4.2222222222222232</v>
      </c>
    </row>
    <row r="1711" spans="2:5">
      <c r="B1711" s="943">
        <v>44997</v>
      </c>
      <c r="C1711" s="195">
        <f t="shared" si="53"/>
        <v>3</v>
      </c>
      <c r="D1711" s="195">
        <v>39.6</v>
      </c>
      <c r="E1711" s="705">
        <f t="shared" si="54"/>
        <v>4.2222222222222232</v>
      </c>
    </row>
    <row r="1712" spans="2:5">
      <c r="B1712" s="943">
        <v>44997</v>
      </c>
      <c r="C1712" s="195">
        <f t="shared" si="53"/>
        <v>3</v>
      </c>
      <c r="D1712" s="195">
        <v>39.6</v>
      </c>
      <c r="E1712" s="705">
        <f t="shared" si="54"/>
        <v>4.2222222222222232</v>
      </c>
    </row>
    <row r="1713" spans="2:5">
      <c r="B1713" s="943">
        <v>44998</v>
      </c>
      <c r="C1713" s="195">
        <f t="shared" si="53"/>
        <v>3</v>
      </c>
      <c r="D1713" s="195">
        <v>39.6</v>
      </c>
      <c r="E1713" s="705">
        <f t="shared" si="54"/>
        <v>4.2222222222222232</v>
      </c>
    </row>
    <row r="1714" spans="2:5">
      <c r="B1714" s="943">
        <v>44998</v>
      </c>
      <c r="C1714" s="195">
        <f t="shared" si="53"/>
        <v>3</v>
      </c>
      <c r="D1714" s="195">
        <v>39.6</v>
      </c>
      <c r="E1714" s="705">
        <f t="shared" si="54"/>
        <v>4.2222222222222232</v>
      </c>
    </row>
    <row r="1715" spans="2:5">
      <c r="B1715" s="943">
        <v>44998</v>
      </c>
      <c r="C1715" s="195">
        <f t="shared" si="53"/>
        <v>3</v>
      </c>
      <c r="D1715" s="195">
        <v>39.6</v>
      </c>
      <c r="E1715" s="705">
        <f t="shared" si="54"/>
        <v>4.2222222222222232</v>
      </c>
    </row>
    <row r="1716" spans="2:5">
      <c r="B1716" s="943">
        <v>44998</v>
      </c>
      <c r="C1716" s="195">
        <f t="shared" si="53"/>
        <v>3</v>
      </c>
      <c r="D1716" s="195">
        <v>39.6</v>
      </c>
      <c r="E1716" s="705">
        <f t="shared" si="54"/>
        <v>4.2222222222222232</v>
      </c>
    </row>
    <row r="1717" spans="2:5">
      <c r="B1717" s="943">
        <v>44998</v>
      </c>
      <c r="C1717" s="195">
        <f t="shared" si="53"/>
        <v>3</v>
      </c>
      <c r="D1717" s="195">
        <v>39.4</v>
      </c>
      <c r="E1717" s="705">
        <f t="shared" si="54"/>
        <v>4.1111111111111098</v>
      </c>
    </row>
    <row r="1718" spans="2:5">
      <c r="B1718" s="943">
        <v>44998</v>
      </c>
      <c r="C1718" s="195">
        <f t="shared" si="53"/>
        <v>3</v>
      </c>
      <c r="D1718" s="195">
        <v>39.6</v>
      </c>
      <c r="E1718" s="705">
        <f t="shared" si="54"/>
        <v>4.2222222222222232</v>
      </c>
    </row>
    <row r="1719" spans="2:5">
      <c r="B1719" s="943">
        <v>44998</v>
      </c>
      <c r="C1719" s="195">
        <f t="shared" si="53"/>
        <v>3</v>
      </c>
      <c r="D1719" s="195">
        <v>39.6</v>
      </c>
      <c r="E1719" s="705">
        <f t="shared" si="54"/>
        <v>4.2222222222222232</v>
      </c>
    </row>
    <row r="1720" spans="2:5">
      <c r="B1720" s="943">
        <v>44998</v>
      </c>
      <c r="C1720" s="195">
        <f t="shared" si="53"/>
        <v>3</v>
      </c>
      <c r="D1720" s="195">
        <v>39.6</v>
      </c>
      <c r="E1720" s="705">
        <f t="shared" si="54"/>
        <v>4.2222222222222232</v>
      </c>
    </row>
    <row r="1721" spans="2:5">
      <c r="B1721" s="943">
        <v>44998</v>
      </c>
      <c r="C1721" s="195">
        <f t="shared" si="53"/>
        <v>3</v>
      </c>
      <c r="D1721" s="195">
        <v>39.6</v>
      </c>
      <c r="E1721" s="705">
        <f t="shared" si="54"/>
        <v>4.2222222222222232</v>
      </c>
    </row>
    <row r="1722" spans="2:5">
      <c r="B1722" s="943">
        <v>44998</v>
      </c>
      <c r="C1722" s="195">
        <f t="shared" si="53"/>
        <v>3</v>
      </c>
      <c r="D1722" s="195">
        <v>39.6</v>
      </c>
      <c r="E1722" s="705">
        <f t="shared" si="54"/>
        <v>4.2222222222222232</v>
      </c>
    </row>
    <row r="1723" spans="2:5">
      <c r="B1723" s="943">
        <v>44998</v>
      </c>
      <c r="C1723" s="195">
        <f t="shared" si="53"/>
        <v>3</v>
      </c>
      <c r="D1723" s="195">
        <v>39.6</v>
      </c>
      <c r="E1723" s="705">
        <f t="shared" si="54"/>
        <v>4.2222222222222232</v>
      </c>
    </row>
    <row r="1724" spans="2:5">
      <c r="B1724" s="943">
        <v>44998</v>
      </c>
      <c r="C1724" s="195">
        <f t="shared" si="53"/>
        <v>3</v>
      </c>
      <c r="D1724" s="195">
        <v>39.6</v>
      </c>
      <c r="E1724" s="705">
        <f t="shared" si="54"/>
        <v>4.2222222222222232</v>
      </c>
    </row>
    <row r="1725" spans="2:5">
      <c r="B1725" s="943">
        <v>44998</v>
      </c>
      <c r="C1725" s="195">
        <f t="shared" si="53"/>
        <v>3</v>
      </c>
      <c r="D1725" s="195">
        <v>39.6</v>
      </c>
      <c r="E1725" s="705">
        <f t="shared" si="54"/>
        <v>4.2222222222222232</v>
      </c>
    </row>
    <row r="1726" spans="2:5">
      <c r="B1726" s="943">
        <v>44998</v>
      </c>
      <c r="C1726" s="195">
        <f t="shared" si="53"/>
        <v>3</v>
      </c>
      <c r="D1726" s="195">
        <v>39.4</v>
      </c>
      <c r="E1726" s="705">
        <f t="shared" si="54"/>
        <v>4.1111111111111098</v>
      </c>
    </row>
    <row r="1727" spans="2:5">
      <c r="B1727" s="943">
        <v>44998</v>
      </c>
      <c r="C1727" s="195">
        <f t="shared" si="53"/>
        <v>3</v>
      </c>
      <c r="D1727" s="195">
        <v>39.4</v>
      </c>
      <c r="E1727" s="705">
        <f t="shared" si="54"/>
        <v>4.1111111111111098</v>
      </c>
    </row>
    <row r="1728" spans="2:5">
      <c r="B1728" s="943">
        <v>44998</v>
      </c>
      <c r="C1728" s="195">
        <f t="shared" si="53"/>
        <v>3</v>
      </c>
      <c r="D1728" s="195">
        <v>39.4</v>
      </c>
      <c r="E1728" s="705">
        <f t="shared" si="54"/>
        <v>4.1111111111111098</v>
      </c>
    </row>
    <row r="1729" spans="2:5">
      <c r="B1729" s="943">
        <v>44998</v>
      </c>
      <c r="C1729" s="195">
        <f t="shared" si="53"/>
        <v>3</v>
      </c>
      <c r="D1729" s="195">
        <v>39.4</v>
      </c>
      <c r="E1729" s="705">
        <f t="shared" si="54"/>
        <v>4.1111111111111098</v>
      </c>
    </row>
    <row r="1730" spans="2:5">
      <c r="B1730" s="943">
        <v>44998</v>
      </c>
      <c r="C1730" s="195">
        <f t="shared" si="53"/>
        <v>3</v>
      </c>
      <c r="D1730" s="195">
        <v>39.4</v>
      </c>
      <c r="E1730" s="705">
        <f t="shared" si="54"/>
        <v>4.1111111111111098</v>
      </c>
    </row>
    <row r="1731" spans="2:5">
      <c r="B1731" s="943">
        <v>44998</v>
      </c>
      <c r="C1731" s="195">
        <f t="shared" si="53"/>
        <v>3</v>
      </c>
      <c r="D1731" s="195">
        <v>39.6</v>
      </c>
      <c r="E1731" s="705">
        <f t="shared" si="54"/>
        <v>4.2222222222222232</v>
      </c>
    </row>
    <row r="1732" spans="2:5">
      <c r="B1732" s="943">
        <v>44998</v>
      </c>
      <c r="C1732" s="195">
        <f t="shared" si="53"/>
        <v>3</v>
      </c>
      <c r="D1732" s="195">
        <v>39.6</v>
      </c>
      <c r="E1732" s="705">
        <f t="shared" si="54"/>
        <v>4.2222222222222232</v>
      </c>
    </row>
    <row r="1733" spans="2:5">
      <c r="B1733" s="943">
        <v>44998</v>
      </c>
      <c r="C1733" s="195">
        <f t="shared" si="53"/>
        <v>3</v>
      </c>
      <c r="D1733" s="195">
        <v>39.6</v>
      </c>
      <c r="E1733" s="705">
        <f t="shared" si="54"/>
        <v>4.2222222222222232</v>
      </c>
    </row>
    <row r="1734" spans="2:5">
      <c r="B1734" s="943">
        <v>44998</v>
      </c>
      <c r="C1734" s="195">
        <f t="shared" si="53"/>
        <v>3</v>
      </c>
      <c r="D1734" s="195">
        <v>39.6</v>
      </c>
      <c r="E1734" s="705">
        <f t="shared" si="54"/>
        <v>4.2222222222222232</v>
      </c>
    </row>
    <row r="1735" spans="2:5">
      <c r="B1735" s="943">
        <v>44998</v>
      </c>
      <c r="C1735" s="195">
        <f t="shared" si="53"/>
        <v>3</v>
      </c>
      <c r="D1735" s="195">
        <v>39.6</v>
      </c>
      <c r="E1735" s="705">
        <f t="shared" si="54"/>
        <v>4.2222222222222232</v>
      </c>
    </row>
    <row r="1736" spans="2:5">
      <c r="B1736" s="943">
        <v>44998</v>
      </c>
      <c r="C1736" s="195">
        <f t="shared" si="53"/>
        <v>3</v>
      </c>
      <c r="D1736" s="195">
        <v>39.6</v>
      </c>
      <c r="E1736" s="705">
        <f t="shared" si="54"/>
        <v>4.2222222222222232</v>
      </c>
    </row>
    <row r="1737" spans="2:5">
      <c r="B1737" s="943">
        <v>44999</v>
      </c>
      <c r="C1737" s="195">
        <f t="shared" si="53"/>
        <v>3</v>
      </c>
      <c r="D1737" s="195">
        <v>39.6</v>
      </c>
      <c r="E1737" s="705">
        <f t="shared" si="54"/>
        <v>4.2222222222222232</v>
      </c>
    </row>
    <row r="1738" spans="2:5">
      <c r="B1738" s="943">
        <v>44999</v>
      </c>
      <c r="C1738" s="195">
        <f t="shared" ref="C1738:C1801" si="55">MONTH(B1738)</f>
        <v>3</v>
      </c>
      <c r="D1738" s="195">
        <v>39.6</v>
      </c>
      <c r="E1738" s="705">
        <f t="shared" ref="E1738:E1801" si="56">CONVERT(D1738,"F","C")</f>
        <v>4.2222222222222232</v>
      </c>
    </row>
    <row r="1739" spans="2:5">
      <c r="B1739" s="943">
        <v>44999</v>
      </c>
      <c r="C1739" s="195">
        <f t="shared" si="55"/>
        <v>3</v>
      </c>
      <c r="D1739" s="195">
        <v>39.6</v>
      </c>
      <c r="E1739" s="705">
        <f t="shared" si="56"/>
        <v>4.2222222222222232</v>
      </c>
    </row>
    <row r="1740" spans="2:5">
      <c r="B1740" s="943">
        <v>44999</v>
      </c>
      <c r="C1740" s="195">
        <f t="shared" si="55"/>
        <v>3</v>
      </c>
      <c r="D1740" s="195">
        <v>39.6</v>
      </c>
      <c r="E1740" s="705">
        <f t="shared" si="56"/>
        <v>4.2222222222222232</v>
      </c>
    </row>
    <row r="1741" spans="2:5">
      <c r="B1741" s="943">
        <v>44999</v>
      </c>
      <c r="C1741" s="195">
        <f t="shared" si="55"/>
        <v>3</v>
      </c>
      <c r="D1741" s="195">
        <v>39.6</v>
      </c>
      <c r="E1741" s="705">
        <f t="shared" si="56"/>
        <v>4.2222222222222232</v>
      </c>
    </row>
    <row r="1742" spans="2:5">
      <c r="B1742" s="943">
        <v>44999</v>
      </c>
      <c r="C1742" s="195">
        <f t="shared" si="55"/>
        <v>3</v>
      </c>
      <c r="D1742" s="195">
        <v>39.6</v>
      </c>
      <c r="E1742" s="705">
        <f t="shared" si="56"/>
        <v>4.2222222222222232</v>
      </c>
    </row>
    <row r="1743" spans="2:5">
      <c r="B1743" s="943">
        <v>44999</v>
      </c>
      <c r="C1743" s="195">
        <f t="shared" si="55"/>
        <v>3</v>
      </c>
      <c r="D1743" s="195">
        <v>39.6</v>
      </c>
      <c r="E1743" s="705">
        <f t="shared" si="56"/>
        <v>4.2222222222222232</v>
      </c>
    </row>
    <row r="1744" spans="2:5">
      <c r="B1744" s="943">
        <v>44999</v>
      </c>
      <c r="C1744" s="195">
        <f t="shared" si="55"/>
        <v>3</v>
      </c>
      <c r="D1744" s="195">
        <v>39.6</v>
      </c>
      <c r="E1744" s="705">
        <f t="shared" si="56"/>
        <v>4.2222222222222232</v>
      </c>
    </row>
    <row r="1745" spans="2:5">
      <c r="B1745" s="943">
        <v>44999</v>
      </c>
      <c r="C1745" s="195">
        <f t="shared" si="55"/>
        <v>3</v>
      </c>
      <c r="D1745" s="195">
        <v>39.6</v>
      </c>
      <c r="E1745" s="705">
        <f t="shared" si="56"/>
        <v>4.2222222222222232</v>
      </c>
    </row>
    <row r="1746" spans="2:5">
      <c r="B1746" s="943">
        <v>44999</v>
      </c>
      <c r="C1746" s="195">
        <f t="shared" si="55"/>
        <v>3</v>
      </c>
      <c r="D1746" s="195">
        <v>39.6</v>
      </c>
      <c r="E1746" s="705">
        <f t="shared" si="56"/>
        <v>4.2222222222222232</v>
      </c>
    </row>
    <row r="1747" spans="2:5">
      <c r="B1747" s="943">
        <v>44999</v>
      </c>
      <c r="C1747" s="195">
        <f t="shared" si="55"/>
        <v>3</v>
      </c>
      <c r="D1747" s="195">
        <v>39.6</v>
      </c>
      <c r="E1747" s="705">
        <f t="shared" si="56"/>
        <v>4.2222222222222232</v>
      </c>
    </row>
    <row r="1748" spans="2:5">
      <c r="B1748" s="943">
        <v>44999</v>
      </c>
      <c r="C1748" s="195">
        <f t="shared" si="55"/>
        <v>3</v>
      </c>
      <c r="D1748" s="195">
        <v>39.6</v>
      </c>
      <c r="E1748" s="705">
        <f t="shared" si="56"/>
        <v>4.2222222222222232</v>
      </c>
    </row>
    <row r="1749" spans="2:5">
      <c r="B1749" s="943">
        <v>44999</v>
      </c>
      <c r="C1749" s="195">
        <f t="shared" si="55"/>
        <v>3</v>
      </c>
      <c r="D1749" s="195">
        <v>39.6</v>
      </c>
      <c r="E1749" s="705">
        <f t="shared" si="56"/>
        <v>4.2222222222222232</v>
      </c>
    </row>
    <row r="1750" spans="2:5">
      <c r="B1750" s="943">
        <v>44999</v>
      </c>
      <c r="C1750" s="195">
        <f t="shared" si="55"/>
        <v>3</v>
      </c>
      <c r="D1750" s="195">
        <v>39.6</v>
      </c>
      <c r="E1750" s="705">
        <f t="shared" si="56"/>
        <v>4.2222222222222232</v>
      </c>
    </row>
    <row r="1751" spans="2:5">
      <c r="B1751" s="943">
        <v>44999</v>
      </c>
      <c r="C1751" s="195">
        <f t="shared" si="55"/>
        <v>3</v>
      </c>
      <c r="D1751" s="195">
        <v>39.4</v>
      </c>
      <c r="E1751" s="705">
        <f t="shared" si="56"/>
        <v>4.1111111111111098</v>
      </c>
    </row>
    <row r="1752" spans="2:5">
      <c r="B1752" s="943">
        <v>44999</v>
      </c>
      <c r="C1752" s="195">
        <f t="shared" si="55"/>
        <v>3</v>
      </c>
      <c r="D1752" s="195">
        <v>39.4</v>
      </c>
      <c r="E1752" s="705">
        <f t="shared" si="56"/>
        <v>4.1111111111111098</v>
      </c>
    </row>
    <row r="1753" spans="2:5">
      <c r="B1753" s="943">
        <v>44999</v>
      </c>
      <c r="C1753" s="195">
        <f t="shared" si="55"/>
        <v>3</v>
      </c>
      <c r="D1753" s="195">
        <v>39.200000000000003</v>
      </c>
      <c r="E1753" s="705">
        <f t="shared" si="56"/>
        <v>4.0000000000000018</v>
      </c>
    </row>
    <row r="1754" spans="2:5">
      <c r="B1754" s="943">
        <v>44999</v>
      </c>
      <c r="C1754" s="195">
        <f t="shared" si="55"/>
        <v>3</v>
      </c>
      <c r="D1754" s="195" t="s">
        <v>1431</v>
      </c>
      <c r="E1754" s="705">
        <f t="shared" si="56"/>
        <v>3.8888888888888888</v>
      </c>
    </row>
    <row r="1755" spans="2:5">
      <c r="B1755" s="943">
        <v>44999</v>
      </c>
      <c r="C1755" s="195">
        <f t="shared" si="55"/>
        <v>3</v>
      </c>
      <c r="D1755" s="195">
        <v>39.200000000000003</v>
      </c>
      <c r="E1755" s="705">
        <f t="shared" si="56"/>
        <v>4.0000000000000018</v>
      </c>
    </row>
    <row r="1756" spans="2:5">
      <c r="B1756" s="943">
        <v>44999</v>
      </c>
      <c r="C1756" s="195">
        <f t="shared" si="55"/>
        <v>3</v>
      </c>
      <c r="D1756" s="195">
        <v>39.200000000000003</v>
      </c>
      <c r="E1756" s="705">
        <f t="shared" si="56"/>
        <v>4.0000000000000018</v>
      </c>
    </row>
    <row r="1757" spans="2:5">
      <c r="B1757" s="943">
        <v>44999</v>
      </c>
      <c r="C1757" s="195">
        <f t="shared" si="55"/>
        <v>3</v>
      </c>
      <c r="D1757" s="195">
        <v>39.200000000000003</v>
      </c>
      <c r="E1757" s="705">
        <f t="shared" si="56"/>
        <v>4.0000000000000018</v>
      </c>
    </row>
    <row r="1758" spans="2:5">
      <c r="B1758" s="943">
        <v>44999</v>
      </c>
      <c r="C1758" s="195">
        <f t="shared" si="55"/>
        <v>3</v>
      </c>
      <c r="D1758" s="195">
        <v>39.200000000000003</v>
      </c>
      <c r="E1758" s="705">
        <f t="shared" si="56"/>
        <v>4.0000000000000018</v>
      </c>
    </row>
    <row r="1759" spans="2:5">
      <c r="B1759" s="943">
        <v>44999</v>
      </c>
      <c r="C1759" s="195">
        <f t="shared" si="55"/>
        <v>3</v>
      </c>
      <c r="D1759" s="195">
        <v>39.200000000000003</v>
      </c>
      <c r="E1759" s="705">
        <f t="shared" si="56"/>
        <v>4.0000000000000018</v>
      </c>
    </row>
    <row r="1760" spans="2:5">
      <c r="B1760" s="943">
        <v>44999</v>
      </c>
      <c r="C1760" s="195">
        <f t="shared" si="55"/>
        <v>3</v>
      </c>
      <c r="D1760" s="195" t="s">
        <v>1431</v>
      </c>
      <c r="E1760" s="705">
        <f t="shared" si="56"/>
        <v>3.8888888888888888</v>
      </c>
    </row>
    <row r="1761" spans="2:5">
      <c r="B1761" s="943">
        <v>45000</v>
      </c>
      <c r="C1761" s="195">
        <f t="shared" si="55"/>
        <v>3</v>
      </c>
      <c r="D1761" s="195">
        <v>38.799999999999997</v>
      </c>
      <c r="E1761" s="705">
        <f t="shared" si="56"/>
        <v>3.7777777777777759</v>
      </c>
    </row>
    <row r="1762" spans="2:5">
      <c r="B1762" s="943">
        <v>45000</v>
      </c>
      <c r="C1762" s="195">
        <f t="shared" si="55"/>
        <v>3</v>
      </c>
      <c r="D1762" s="195">
        <v>38.799999999999997</v>
      </c>
      <c r="E1762" s="705">
        <f t="shared" si="56"/>
        <v>3.7777777777777759</v>
      </c>
    </row>
    <row r="1763" spans="2:5">
      <c r="B1763" s="943">
        <v>45000</v>
      </c>
      <c r="C1763" s="195">
        <f t="shared" si="55"/>
        <v>3</v>
      </c>
      <c r="D1763" s="195">
        <v>38.700000000000003</v>
      </c>
      <c r="E1763" s="705">
        <f t="shared" si="56"/>
        <v>3.7222222222222237</v>
      </c>
    </row>
    <row r="1764" spans="2:5">
      <c r="B1764" s="943">
        <v>45000</v>
      </c>
      <c r="C1764" s="195">
        <f t="shared" si="55"/>
        <v>3</v>
      </c>
      <c r="D1764" s="195">
        <v>38.5</v>
      </c>
      <c r="E1764" s="705">
        <f t="shared" si="56"/>
        <v>3.6111111111111112</v>
      </c>
    </row>
    <row r="1765" spans="2:5">
      <c r="B1765" s="943">
        <v>45000</v>
      </c>
      <c r="C1765" s="195">
        <f t="shared" si="55"/>
        <v>3</v>
      </c>
      <c r="D1765" s="195">
        <v>38.299999999999997</v>
      </c>
      <c r="E1765" s="705">
        <f t="shared" si="56"/>
        <v>3.4999999999999982</v>
      </c>
    </row>
    <row r="1766" spans="2:5">
      <c r="B1766" s="943">
        <v>45000</v>
      </c>
      <c r="C1766" s="195">
        <f t="shared" si="55"/>
        <v>3</v>
      </c>
      <c r="D1766" s="195">
        <v>38.299999999999997</v>
      </c>
      <c r="E1766" s="705">
        <f t="shared" si="56"/>
        <v>3.4999999999999982</v>
      </c>
    </row>
    <row r="1767" spans="2:5">
      <c r="B1767" s="943">
        <v>45000</v>
      </c>
      <c r="C1767" s="195">
        <f t="shared" si="55"/>
        <v>3</v>
      </c>
      <c r="D1767" s="195">
        <v>38.5</v>
      </c>
      <c r="E1767" s="705">
        <f t="shared" si="56"/>
        <v>3.6111111111111112</v>
      </c>
    </row>
    <row r="1768" spans="2:5">
      <c r="B1768" s="943">
        <v>45000</v>
      </c>
      <c r="C1768" s="195">
        <f t="shared" si="55"/>
        <v>3</v>
      </c>
      <c r="D1768" s="195">
        <v>38.5</v>
      </c>
      <c r="E1768" s="705">
        <f t="shared" si="56"/>
        <v>3.6111111111111112</v>
      </c>
    </row>
    <row r="1769" spans="2:5">
      <c r="B1769" s="943">
        <v>45000</v>
      </c>
      <c r="C1769" s="195">
        <f t="shared" si="55"/>
        <v>3</v>
      </c>
      <c r="D1769" s="195">
        <v>38.700000000000003</v>
      </c>
      <c r="E1769" s="705">
        <f t="shared" si="56"/>
        <v>3.7222222222222237</v>
      </c>
    </row>
    <row r="1770" spans="2:5">
      <c r="B1770" s="943">
        <v>45000</v>
      </c>
      <c r="C1770" s="195">
        <f t="shared" si="55"/>
        <v>3</v>
      </c>
      <c r="D1770" s="195">
        <v>38.700000000000003</v>
      </c>
      <c r="E1770" s="705">
        <f t="shared" si="56"/>
        <v>3.7222222222222237</v>
      </c>
    </row>
    <row r="1771" spans="2:5">
      <c r="B1771" s="943">
        <v>45000</v>
      </c>
      <c r="C1771" s="195">
        <f t="shared" si="55"/>
        <v>3</v>
      </c>
      <c r="D1771" s="195">
        <v>38.799999999999997</v>
      </c>
      <c r="E1771" s="705">
        <f t="shared" si="56"/>
        <v>3.7777777777777759</v>
      </c>
    </row>
    <row r="1772" spans="2:5">
      <c r="B1772" s="943">
        <v>45000</v>
      </c>
      <c r="C1772" s="195">
        <f t="shared" si="55"/>
        <v>3</v>
      </c>
      <c r="D1772" s="195">
        <v>38.799999999999997</v>
      </c>
      <c r="E1772" s="705">
        <f t="shared" si="56"/>
        <v>3.7777777777777759</v>
      </c>
    </row>
    <row r="1773" spans="2:5">
      <c r="B1773" s="943">
        <v>45000</v>
      </c>
      <c r="C1773" s="195">
        <f t="shared" si="55"/>
        <v>3</v>
      </c>
      <c r="D1773" s="195">
        <v>38.799999999999997</v>
      </c>
      <c r="E1773" s="705">
        <f t="shared" si="56"/>
        <v>3.7777777777777759</v>
      </c>
    </row>
    <row r="1774" spans="2:5">
      <c r="B1774" s="943">
        <v>45000</v>
      </c>
      <c r="C1774" s="195">
        <f t="shared" si="55"/>
        <v>3</v>
      </c>
      <c r="D1774" s="195">
        <v>38.700000000000003</v>
      </c>
      <c r="E1774" s="705">
        <f t="shared" si="56"/>
        <v>3.7222222222222237</v>
      </c>
    </row>
    <row r="1775" spans="2:5">
      <c r="B1775" s="943">
        <v>45000</v>
      </c>
      <c r="C1775" s="195">
        <f t="shared" si="55"/>
        <v>3</v>
      </c>
      <c r="D1775" s="195">
        <v>38.5</v>
      </c>
      <c r="E1775" s="705">
        <f t="shared" si="56"/>
        <v>3.6111111111111112</v>
      </c>
    </row>
    <row r="1776" spans="2:5">
      <c r="B1776" s="943">
        <v>45000</v>
      </c>
      <c r="C1776" s="195">
        <f t="shared" si="55"/>
        <v>3</v>
      </c>
      <c r="D1776" s="195">
        <v>38.299999999999997</v>
      </c>
      <c r="E1776" s="705">
        <f t="shared" si="56"/>
        <v>3.4999999999999982</v>
      </c>
    </row>
    <row r="1777" spans="2:5">
      <c r="B1777" s="943">
        <v>45000</v>
      </c>
      <c r="C1777" s="195">
        <f t="shared" si="55"/>
        <v>3</v>
      </c>
      <c r="D1777" s="195">
        <v>38.299999999999997</v>
      </c>
      <c r="E1777" s="705">
        <f t="shared" si="56"/>
        <v>3.4999999999999982</v>
      </c>
    </row>
    <row r="1778" spans="2:5">
      <c r="B1778" s="943">
        <v>45000</v>
      </c>
      <c r="C1778" s="195">
        <f t="shared" si="55"/>
        <v>3</v>
      </c>
      <c r="D1778" s="195">
        <v>38.299999999999997</v>
      </c>
      <c r="E1778" s="705">
        <f t="shared" si="56"/>
        <v>3.4999999999999982</v>
      </c>
    </row>
    <row r="1779" spans="2:5">
      <c r="B1779" s="943">
        <v>45000</v>
      </c>
      <c r="C1779" s="195">
        <f t="shared" si="55"/>
        <v>3</v>
      </c>
      <c r="D1779" s="195">
        <v>38.299999999999997</v>
      </c>
      <c r="E1779" s="705">
        <f t="shared" si="56"/>
        <v>3.4999999999999982</v>
      </c>
    </row>
    <row r="1780" spans="2:5">
      <c r="B1780" s="943">
        <v>45000</v>
      </c>
      <c r="C1780" s="195">
        <f t="shared" si="55"/>
        <v>3</v>
      </c>
      <c r="D1780" s="195">
        <v>38.299999999999997</v>
      </c>
      <c r="E1780" s="705">
        <f t="shared" si="56"/>
        <v>3.4999999999999982</v>
      </c>
    </row>
    <row r="1781" spans="2:5">
      <c r="B1781" s="943">
        <v>45000</v>
      </c>
      <c r="C1781" s="195">
        <f t="shared" si="55"/>
        <v>3</v>
      </c>
      <c r="D1781" s="195">
        <v>38.299999999999997</v>
      </c>
      <c r="E1781" s="705">
        <f t="shared" si="56"/>
        <v>3.4999999999999982</v>
      </c>
    </row>
    <row r="1782" spans="2:5">
      <c r="B1782" s="943">
        <v>45000</v>
      </c>
      <c r="C1782" s="195">
        <f t="shared" si="55"/>
        <v>3</v>
      </c>
      <c r="D1782" s="195">
        <v>38.5</v>
      </c>
      <c r="E1782" s="705">
        <f t="shared" si="56"/>
        <v>3.6111111111111112</v>
      </c>
    </row>
    <row r="1783" spans="2:5">
      <c r="B1783" s="943">
        <v>45000</v>
      </c>
      <c r="C1783" s="195">
        <f t="shared" si="55"/>
        <v>3</v>
      </c>
      <c r="D1783" s="195">
        <v>38.700000000000003</v>
      </c>
      <c r="E1783" s="705">
        <f t="shared" si="56"/>
        <v>3.7222222222222237</v>
      </c>
    </row>
    <row r="1784" spans="2:5">
      <c r="B1784" s="943">
        <v>45000</v>
      </c>
      <c r="C1784" s="195">
        <f t="shared" si="55"/>
        <v>3</v>
      </c>
      <c r="D1784" s="195">
        <v>38.799999999999997</v>
      </c>
      <c r="E1784" s="705">
        <f t="shared" si="56"/>
        <v>3.7777777777777759</v>
      </c>
    </row>
    <row r="1785" spans="2:5">
      <c r="B1785" s="943">
        <v>45001</v>
      </c>
      <c r="C1785" s="195">
        <f t="shared" si="55"/>
        <v>3</v>
      </c>
      <c r="D1785" s="195">
        <v>38.799999999999997</v>
      </c>
      <c r="E1785" s="705">
        <f t="shared" si="56"/>
        <v>3.7777777777777759</v>
      </c>
    </row>
    <row r="1786" spans="2:5">
      <c r="B1786" s="943">
        <v>45001</v>
      </c>
      <c r="C1786" s="195">
        <f t="shared" si="55"/>
        <v>3</v>
      </c>
      <c r="D1786" s="195">
        <v>38.799999999999997</v>
      </c>
      <c r="E1786" s="705">
        <f t="shared" si="56"/>
        <v>3.7777777777777759</v>
      </c>
    </row>
    <row r="1787" spans="2:5">
      <c r="B1787" s="943">
        <v>45001</v>
      </c>
      <c r="C1787" s="195">
        <f t="shared" si="55"/>
        <v>3</v>
      </c>
      <c r="D1787" s="195">
        <v>38.700000000000003</v>
      </c>
      <c r="E1787" s="705">
        <f t="shared" si="56"/>
        <v>3.7222222222222237</v>
      </c>
    </row>
    <row r="1788" spans="2:5">
      <c r="B1788" s="943">
        <v>45001</v>
      </c>
      <c r="C1788" s="195">
        <f t="shared" si="55"/>
        <v>3</v>
      </c>
      <c r="D1788" s="195">
        <v>38.5</v>
      </c>
      <c r="E1788" s="705">
        <f t="shared" si="56"/>
        <v>3.6111111111111112</v>
      </c>
    </row>
    <row r="1789" spans="2:5">
      <c r="B1789" s="943">
        <v>45001</v>
      </c>
      <c r="C1789" s="195">
        <f t="shared" si="55"/>
        <v>3</v>
      </c>
      <c r="D1789" s="195">
        <v>38.299999999999997</v>
      </c>
      <c r="E1789" s="705">
        <f t="shared" si="56"/>
        <v>3.4999999999999982</v>
      </c>
    </row>
    <row r="1790" spans="2:5">
      <c r="B1790" s="943">
        <v>45001</v>
      </c>
      <c r="C1790" s="195">
        <f t="shared" si="55"/>
        <v>3</v>
      </c>
      <c r="D1790" s="195">
        <v>38.1</v>
      </c>
      <c r="E1790" s="705">
        <f t="shared" si="56"/>
        <v>3.3888888888888897</v>
      </c>
    </row>
    <row r="1791" spans="2:5">
      <c r="B1791" s="943">
        <v>45001</v>
      </c>
      <c r="C1791" s="195">
        <f t="shared" si="55"/>
        <v>3</v>
      </c>
      <c r="D1791" s="195">
        <v>38.1</v>
      </c>
      <c r="E1791" s="705">
        <f t="shared" si="56"/>
        <v>3.3888888888888897</v>
      </c>
    </row>
    <row r="1792" spans="2:5">
      <c r="B1792" s="943">
        <v>45001</v>
      </c>
      <c r="C1792" s="195">
        <f t="shared" si="55"/>
        <v>3</v>
      </c>
      <c r="D1792" s="195">
        <v>38.1</v>
      </c>
      <c r="E1792" s="705">
        <f t="shared" si="56"/>
        <v>3.3888888888888897</v>
      </c>
    </row>
    <row r="1793" spans="2:5">
      <c r="B1793" s="943">
        <v>45001</v>
      </c>
      <c r="C1793" s="195">
        <f t="shared" si="55"/>
        <v>3</v>
      </c>
      <c r="D1793" s="195">
        <v>38.5</v>
      </c>
      <c r="E1793" s="705">
        <f t="shared" si="56"/>
        <v>3.6111111111111112</v>
      </c>
    </row>
    <row r="1794" spans="2:5">
      <c r="B1794" s="943">
        <v>45001</v>
      </c>
      <c r="C1794" s="195">
        <f t="shared" si="55"/>
        <v>3</v>
      </c>
      <c r="D1794" s="195">
        <v>38.700000000000003</v>
      </c>
      <c r="E1794" s="705">
        <f t="shared" si="56"/>
        <v>3.7222222222222237</v>
      </c>
    </row>
    <row r="1795" spans="2:5">
      <c r="B1795" s="943">
        <v>45001</v>
      </c>
      <c r="C1795" s="195">
        <f t="shared" si="55"/>
        <v>3</v>
      </c>
      <c r="D1795" s="195">
        <v>38.700000000000003</v>
      </c>
      <c r="E1795" s="705">
        <f t="shared" si="56"/>
        <v>3.7222222222222237</v>
      </c>
    </row>
    <row r="1796" spans="2:5">
      <c r="B1796" s="943">
        <v>45001</v>
      </c>
      <c r="C1796" s="195">
        <f t="shared" si="55"/>
        <v>3</v>
      </c>
      <c r="D1796" s="195">
        <v>38.799999999999997</v>
      </c>
      <c r="E1796" s="705">
        <f t="shared" si="56"/>
        <v>3.7777777777777759</v>
      </c>
    </row>
    <row r="1797" spans="2:5">
      <c r="B1797" s="943">
        <v>45001</v>
      </c>
      <c r="C1797" s="195">
        <f t="shared" si="55"/>
        <v>3</v>
      </c>
      <c r="D1797" s="195">
        <v>38.799999999999997</v>
      </c>
      <c r="E1797" s="705">
        <f t="shared" si="56"/>
        <v>3.7777777777777759</v>
      </c>
    </row>
    <row r="1798" spans="2:5">
      <c r="B1798" s="943">
        <v>45001</v>
      </c>
      <c r="C1798" s="195">
        <f t="shared" si="55"/>
        <v>3</v>
      </c>
      <c r="D1798" s="195">
        <v>38.700000000000003</v>
      </c>
      <c r="E1798" s="705">
        <f t="shared" si="56"/>
        <v>3.7222222222222237</v>
      </c>
    </row>
    <row r="1799" spans="2:5">
      <c r="B1799" s="943">
        <v>45001</v>
      </c>
      <c r="C1799" s="195">
        <f t="shared" si="55"/>
        <v>3</v>
      </c>
      <c r="D1799" s="195">
        <v>38.700000000000003</v>
      </c>
      <c r="E1799" s="705">
        <f t="shared" si="56"/>
        <v>3.7222222222222237</v>
      </c>
    </row>
    <row r="1800" spans="2:5">
      <c r="B1800" s="943">
        <v>45001</v>
      </c>
      <c r="C1800" s="195">
        <f t="shared" si="55"/>
        <v>3</v>
      </c>
      <c r="D1800" s="195">
        <v>38.700000000000003</v>
      </c>
      <c r="E1800" s="705">
        <f t="shared" si="56"/>
        <v>3.7222222222222237</v>
      </c>
    </row>
    <row r="1801" spans="2:5">
      <c r="B1801" s="943">
        <v>45001</v>
      </c>
      <c r="C1801" s="195">
        <f t="shared" si="55"/>
        <v>3</v>
      </c>
      <c r="D1801" s="195">
        <v>38.5</v>
      </c>
      <c r="E1801" s="705">
        <f t="shared" si="56"/>
        <v>3.6111111111111112</v>
      </c>
    </row>
    <row r="1802" spans="2:5">
      <c r="B1802" s="943">
        <v>45001</v>
      </c>
      <c r="C1802" s="195">
        <f t="shared" ref="C1802:C1865" si="57">MONTH(B1802)</f>
        <v>3</v>
      </c>
      <c r="D1802" s="195">
        <v>38.299999999999997</v>
      </c>
      <c r="E1802" s="705">
        <f t="shared" ref="E1802:E1865" si="58">CONVERT(D1802,"F","C")</f>
        <v>3.4999999999999982</v>
      </c>
    </row>
    <row r="1803" spans="2:5">
      <c r="B1803" s="943">
        <v>45001</v>
      </c>
      <c r="C1803" s="195">
        <f t="shared" si="57"/>
        <v>3</v>
      </c>
      <c r="D1803" s="195">
        <v>38.299999999999997</v>
      </c>
      <c r="E1803" s="705">
        <f t="shared" si="58"/>
        <v>3.4999999999999982</v>
      </c>
    </row>
    <row r="1804" spans="2:5">
      <c r="B1804" s="943">
        <v>45001</v>
      </c>
      <c r="C1804" s="195">
        <f t="shared" si="57"/>
        <v>3</v>
      </c>
      <c r="D1804" s="195">
        <v>38.299999999999997</v>
      </c>
      <c r="E1804" s="705">
        <f t="shared" si="58"/>
        <v>3.4999999999999982</v>
      </c>
    </row>
    <row r="1805" spans="2:5">
      <c r="B1805" s="943">
        <v>45001</v>
      </c>
      <c r="C1805" s="195">
        <f t="shared" si="57"/>
        <v>3</v>
      </c>
      <c r="D1805" s="195">
        <v>38.299999999999997</v>
      </c>
      <c r="E1805" s="705">
        <f t="shared" si="58"/>
        <v>3.4999999999999982</v>
      </c>
    </row>
    <row r="1806" spans="2:5">
      <c r="B1806" s="943">
        <v>45001</v>
      </c>
      <c r="C1806" s="195">
        <f t="shared" si="57"/>
        <v>3</v>
      </c>
      <c r="D1806" s="195">
        <v>38.5</v>
      </c>
      <c r="E1806" s="705">
        <f t="shared" si="58"/>
        <v>3.6111111111111112</v>
      </c>
    </row>
    <row r="1807" spans="2:5">
      <c r="B1807" s="943">
        <v>45001</v>
      </c>
      <c r="C1807" s="195">
        <f t="shared" si="57"/>
        <v>3</v>
      </c>
      <c r="D1807" s="195">
        <v>38.799999999999997</v>
      </c>
      <c r="E1807" s="705">
        <f t="shared" si="58"/>
        <v>3.7777777777777759</v>
      </c>
    </row>
    <row r="1808" spans="2:5">
      <c r="B1808" s="943">
        <v>45001</v>
      </c>
      <c r="C1808" s="195">
        <f t="shared" si="57"/>
        <v>3</v>
      </c>
      <c r="D1808" s="195">
        <v>38.799999999999997</v>
      </c>
      <c r="E1808" s="705">
        <f t="shared" si="58"/>
        <v>3.7777777777777759</v>
      </c>
    </row>
    <row r="1809" spans="2:5">
      <c r="B1809" s="943">
        <v>45002</v>
      </c>
      <c r="C1809" s="195">
        <f t="shared" si="57"/>
        <v>3</v>
      </c>
      <c r="D1809" s="195" t="s">
        <v>1431</v>
      </c>
      <c r="E1809" s="705">
        <f t="shared" si="58"/>
        <v>3.8888888888888888</v>
      </c>
    </row>
    <row r="1810" spans="2:5">
      <c r="B1810" s="943">
        <v>45002</v>
      </c>
      <c r="C1810" s="195">
        <f t="shared" si="57"/>
        <v>3</v>
      </c>
      <c r="D1810" s="195" t="s">
        <v>1431</v>
      </c>
      <c r="E1810" s="705">
        <f t="shared" si="58"/>
        <v>3.8888888888888888</v>
      </c>
    </row>
    <row r="1811" spans="2:5">
      <c r="B1811" s="943">
        <v>45002</v>
      </c>
      <c r="C1811" s="195">
        <f t="shared" si="57"/>
        <v>3</v>
      </c>
      <c r="D1811" s="195">
        <v>38.799999999999997</v>
      </c>
      <c r="E1811" s="705">
        <f t="shared" si="58"/>
        <v>3.7777777777777759</v>
      </c>
    </row>
    <row r="1812" spans="2:5">
      <c r="B1812" s="943">
        <v>45002</v>
      </c>
      <c r="C1812" s="195">
        <f t="shared" si="57"/>
        <v>3</v>
      </c>
      <c r="D1812" s="195">
        <v>38.799999999999997</v>
      </c>
      <c r="E1812" s="705">
        <f t="shared" si="58"/>
        <v>3.7777777777777759</v>
      </c>
    </row>
    <row r="1813" spans="2:5">
      <c r="B1813" s="943">
        <v>45002</v>
      </c>
      <c r="C1813" s="195">
        <f t="shared" si="57"/>
        <v>3</v>
      </c>
      <c r="D1813" s="195">
        <v>38.700000000000003</v>
      </c>
      <c r="E1813" s="705">
        <f t="shared" si="58"/>
        <v>3.7222222222222237</v>
      </c>
    </row>
    <row r="1814" spans="2:5">
      <c r="B1814" s="943">
        <v>45002</v>
      </c>
      <c r="C1814" s="195">
        <f t="shared" si="57"/>
        <v>3</v>
      </c>
      <c r="D1814" s="195">
        <v>38.5</v>
      </c>
      <c r="E1814" s="705">
        <f t="shared" si="58"/>
        <v>3.6111111111111112</v>
      </c>
    </row>
    <row r="1815" spans="2:5">
      <c r="B1815" s="943">
        <v>45002</v>
      </c>
      <c r="C1815" s="195">
        <f t="shared" si="57"/>
        <v>3</v>
      </c>
      <c r="D1815" s="195">
        <v>38.299999999999997</v>
      </c>
      <c r="E1815" s="705">
        <f t="shared" si="58"/>
        <v>3.4999999999999982</v>
      </c>
    </row>
    <row r="1816" spans="2:5">
      <c r="B1816" s="943">
        <v>45002</v>
      </c>
      <c r="C1816" s="195">
        <f t="shared" si="57"/>
        <v>3</v>
      </c>
      <c r="D1816" s="195">
        <v>38.1</v>
      </c>
      <c r="E1816" s="705">
        <f t="shared" si="58"/>
        <v>3.3888888888888897</v>
      </c>
    </row>
    <row r="1817" spans="2:5">
      <c r="B1817" s="943">
        <v>45002</v>
      </c>
      <c r="C1817" s="195">
        <f t="shared" si="57"/>
        <v>3</v>
      </c>
      <c r="D1817" s="195">
        <v>38.299999999999997</v>
      </c>
      <c r="E1817" s="705">
        <f t="shared" si="58"/>
        <v>3.4999999999999982</v>
      </c>
    </row>
    <row r="1818" spans="2:5">
      <c r="B1818" s="943">
        <v>45002</v>
      </c>
      <c r="C1818" s="195">
        <f t="shared" si="57"/>
        <v>3</v>
      </c>
      <c r="D1818" s="195">
        <v>38.700000000000003</v>
      </c>
      <c r="E1818" s="705">
        <f t="shared" si="58"/>
        <v>3.7222222222222237</v>
      </c>
    </row>
    <row r="1819" spans="2:5">
      <c r="B1819" s="943">
        <v>45002</v>
      </c>
      <c r="C1819" s="195">
        <f t="shared" si="57"/>
        <v>3</v>
      </c>
      <c r="D1819" s="195">
        <v>38.700000000000003</v>
      </c>
      <c r="E1819" s="705">
        <f t="shared" si="58"/>
        <v>3.7222222222222237</v>
      </c>
    </row>
    <row r="1820" spans="2:5">
      <c r="B1820" s="943">
        <v>45002</v>
      </c>
      <c r="C1820" s="195">
        <f t="shared" si="57"/>
        <v>3</v>
      </c>
      <c r="D1820" s="195">
        <v>38.799999999999997</v>
      </c>
      <c r="E1820" s="705">
        <f t="shared" si="58"/>
        <v>3.7777777777777759</v>
      </c>
    </row>
    <row r="1821" spans="2:5">
      <c r="B1821" s="943">
        <v>45002</v>
      </c>
      <c r="C1821" s="195">
        <f t="shared" si="57"/>
        <v>3</v>
      </c>
      <c r="D1821" s="195" t="s">
        <v>1431</v>
      </c>
      <c r="E1821" s="705">
        <f t="shared" si="58"/>
        <v>3.8888888888888888</v>
      </c>
    </row>
    <row r="1822" spans="2:5">
      <c r="B1822" s="943">
        <v>45002</v>
      </c>
      <c r="C1822" s="195">
        <f t="shared" si="57"/>
        <v>3</v>
      </c>
      <c r="D1822" s="195" t="s">
        <v>1431</v>
      </c>
      <c r="E1822" s="705">
        <f t="shared" si="58"/>
        <v>3.8888888888888888</v>
      </c>
    </row>
    <row r="1823" spans="2:5">
      <c r="B1823" s="943">
        <v>45002</v>
      </c>
      <c r="C1823" s="195">
        <f t="shared" si="57"/>
        <v>3</v>
      </c>
      <c r="D1823" s="195" t="s">
        <v>1431</v>
      </c>
      <c r="E1823" s="705">
        <f t="shared" si="58"/>
        <v>3.8888888888888888</v>
      </c>
    </row>
    <row r="1824" spans="2:5">
      <c r="B1824" s="943">
        <v>45002</v>
      </c>
      <c r="C1824" s="195">
        <f t="shared" si="57"/>
        <v>3</v>
      </c>
      <c r="D1824" s="195" t="s">
        <v>1431</v>
      </c>
      <c r="E1824" s="705">
        <f t="shared" si="58"/>
        <v>3.8888888888888888</v>
      </c>
    </row>
    <row r="1825" spans="2:5">
      <c r="B1825" s="943">
        <v>45002</v>
      </c>
      <c r="C1825" s="195">
        <f t="shared" si="57"/>
        <v>3</v>
      </c>
      <c r="D1825" s="195" t="s">
        <v>1431</v>
      </c>
      <c r="E1825" s="705">
        <f t="shared" si="58"/>
        <v>3.8888888888888888</v>
      </c>
    </row>
    <row r="1826" spans="2:5">
      <c r="B1826" s="943">
        <v>45002</v>
      </c>
      <c r="C1826" s="195">
        <f t="shared" si="57"/>
        <v>3</v>
      </c>
      <c r="D1826" s="195">
        <v>38.799999999999997</v>
      </c>
      <c r="E1826" s="705">
        <f t="shared" si="58"/>
        <v>3.7777777777777759</v>
      </c>
    </row>
    <row r="1827" spans="2:5">
      <c r="B1827" s="943">
        <v>45002</v>
      </c>
      <c r="C1827" s="195">
        <f t="shared" si="57"/>
        <v>3</v>
      </c>
      <c r="D1827" s="195">
        <v>38.700000000000003</v>
      </c>
      <c r="E1827" s="705">
        <f t="shared" si="58"/>
        <v>3.7222222222222237</v>
      </c>
    </row>
    <row r="1828" spans="2:5">
      <c r="B1828" s="943">
        <v>45002</v>
      </c>
      <c r="C1828" s="195">
        <f t="shared" si="57"/>
        <v>3</v>
      </c>
      <c r="D1828" s="195">
        <v>38.5</v>
      </c>
      <c r="E1828" s="705">
        <f t="shared" si="58"/>
        <v>3.6111111111111112</v>
      </c>
    </row>
    <row r="1829" spans="2:5">
      <c r="B1829" s="943">
        <v>45002</v>
      </c>
      <c r="C1829" s="195">
        <f t="shared" si="57"/>
        <v>3</v>
      </c>
      <c r="D1829" s="195">
        <v>38.5</v>
      </c>
      <c r="E1829" s="705">
        <f t="shared" si="58"/>
        <v>3.6111111111111112</v>
      </c>
    </row>
    <row r="1830" spans="2:5">
      <c r="B1830" s="943">
        <v>45002</v>
      </c>
      <c r="C1830" s="195">
        <f t="shared" si="57"/>
        <v>3</v>
      </c>
      <c r="D1830" s="195">
        <v>38.5</v>
      </c>
      <c r="E1830" s="705">
        <f t="shared" si="58"/>
        <v>3.6111111111111112</v>
      </c>
    </row>
    <row r="1831" spans="2:5">
      <c r="B1831" s="943">
        <v>45002</v>
      </c>
      <c r="C1831" s="195">
        <f t="shared" si="57"/>
        <v>3</v>
      </c>
      <c r="D1831" s="195">
        <v>38.799999999999997</v>
      </c>
      <c r="E1831" s="705">
        <f t="shared" si="58"/>
        <v>3.7777777777777759</v>
      </c>
    </row>
    <row r="1832" spans="2:5">
      <c r="B1832" s="943">
        <v>45002</v>
      </c>
      <c r="C1832" s="195">
        <f t="shared" si="57"/>
        <v>3</v>
      </c>
      <c r="D1832" s="195" t="s">
        <v>1431</v>
      </c>
      <c r="E1832" s="705">
        <f t="shared" si="58"/>
        <v>3.8888888888888888</v>
      </c>
    </row>
    <row r="1833" spans="2:5">
      <c r="B1833" s="943">
        <v>45003</v>
      </c>
      <c r="C1833" s="195">
        <f t="shared" si="57"/>
        <v>3</v>
      </c>
      <c r="D1833" s="195" t="s">
        <v>1431</v>
      </c>
      <c r="E1833" s="705">
        <f t="shared" si="58"/>
        <v>3.8888888888888888</v>
      </c>
    </row>
    <row r="1834" spans="2:5">
      <c r="B1834" s="943">
        <v>45003</v>
      </c>
      <c r="C1834" s="195">
        <f t="shared" si="57"/>
        <v>3</v>
      </c>
      <c r="D1834" s="195">
        <v>39.200000000000003</v>
      </c>
      <c r="E1834" s="705">
        <f t="shared" si="58"/>
        <v>4.0000000000000018</v>
      </c>
    </row>
    <row r="1835" spans="2:5">
      <c r="B1835" s="943">
        <v>45003</v>
      </c>
      <c r="C1835" s="195">
        <f t="shared" si="57"/>
        <v>3</v>
      </c>
      <c r="D1835" s="195">
        <v>39.200000000000003</v>
      </c>
      <c r="E1835" s="705">
        <f t="shared" si="58"/>
        <v>4.0000000000000018</v>
      </c>
    </row>
    <row r="1836" spans="2:5">
      <c r="B1836" s="943">
        <v>45003</v>
      </c>
      <c r="C1836" s="195">
        <f t="shared" si="57"/>
        <v>3</v>
      </c>
      <c r="D1836" s="195">
        <v>39.200000000000003</v>
      </c>
      <c r="E1836" s="705">
        <f t="shared" si="58"/>
        <v>4.0000000000000018</v>
      </c>
    </row>
    <row r="1837" spans="2:5">
      <c r="B1837" s="943">
        <v>45003</v>
      </c>
      <c r="C1837" s="195">
        <f t="shared" si="57"/>
        <v>3</v>
      </c>
      <c r="D1837" s="195">
        <v>39.200000000000003</v>
      </c>
      <c r="E1837" s="705">
        <f t="shared" si="58"/>
        <v>4.0000000000000018</v>
      </c>
    </row>
    <row r="1838" spans="2:5">
      <c r="B1838" s="943">
        <v>45003</v>
      </c>
      <c r="C1838" s="195">
        <f t="shared" si="57"/>
        <v>3</v>
      </c>
      <c r="D1838" s="195" t="s">
        <v>1431</v>
      </c>
      <c r="E1838" s="705">
        <f t="shared" si="58"/>
        <v>3.8888888888888888</v>
      </c>
    </row>
    <row r="1839" spans="2:5">
      <c r="B1839" s="943">
        <v>45003</v>
      </c>
      <c r="C1839" s="195">
        <f t="shared" si="57"/>
        <v>3</v>
      </c>
      <c r="D1839" s="195">
        <v>38.799999999999997</v>
      </c>
      <c r="E1839" s="705">
        <f t="shared" si="58"/>
        <v>3.7777777777777759</v>
      </c>
    </row>
    <row r="1840" spans="2:5">
      <c r="B1840" s="943">
        <v>45003</v>
      </c>
      <c r="C1840" s="195">
        <f t="shared" si="57"/>
        <v>3</v>
      </c>
      <c r="D1840" s="195">
        <v>38.700000000000003</v>
      </c>
      <c r="E1840" s="705">
        <f t="shared" si="58"/>
        <v>3.7222222222222237</v>
      </c>
    </row>
    <row r="1841" spans="2:5">
      <c r="B1841" s="943">
        <v>45003</v>
      </c>
      <c r="C1841" s="195">
        <f t="shared" si="57"/>
        <v>3</v>
      </c>
      <c r="D1841" s="195">
        <v>38.700000000000003</v>
      </c>
      <c r="E1841" s="705">
        <f t="shared" si="58"/>
        <v>3.7222222222222237</v>
      </c>
    </row>
    <row r="1842" spans="2:5">
      <c r="B1842" s="943">
        <v>45003</v>
      </c>
      <c r="C1842" s="195">
        <f t="shared" si="57"/>
        <v>3</v>
      </c>
      <c r="D1842" s="195">
        <v>38.700000000000003</v>
      </c>
      <c r="E1842" s="705">
        <f t="shared" si="58"/>
        <v>3.7222222222222237</v>
      </c>
    </row>
    <row r="1843" spans="2:5">
      <c r="B1843" s="943">
        <v>45003</v>
      </c>
      <c r="C1843" s="195">
        <f t="shared" si="57"/>
        <v>3</v>
      </c>
      <c r="D1843" s="195">
        <v>38.799999999999997</v>
      </c>
      <c r="E1843" s="705">
        <f t="shared" si="58"/>
        <v>3.7777777777777759</v>
      </c>
    </row>
    <row r="1844" spans="2:5">
      <c r="B1844" s="943">
        <v>45003</v>
      </c>
      <c r="C1844" s="195">
        <f t="shared" si="57"/>
        <v>3</v>
      </c>
      <c r="D1844" s="195" t="s">
        <v>1431</v>
      </c>
      <c r="E1844" s="705">
        <f t="shared" si="58"/>
        <v>3.8888888888888888</v>
      </c>
    </row>
    <row r="1845" spans="2:5">
      <c r="B1845" s="943">
        <v>45003</v>
      </c>
      <c r="C1845" s="195">
        <f t="shared" si="57"/>
        <v>3</v>
      </c>
      <c r="D1845" s="195">
        <v>39.200000000000003</v>
      </c>
      <c r="E1845" s="705">
        <f t="shared" si="58"/>
        <v>4.0000000000000018</v>
      </c>
    </row>
    <row r="1846" spans="2:5">
      <c r="B1846" s="943">
        <v>45003</v>
      </c>
      <c r="C1846" s="195">
        <f t="shared" si="57"/>
        <v>3</v>
      </c>
      <c r="D1846" s="195">
        <v>39.200000000000003</v>
      </c>
      <c r="E1846" s="705">
        <f t="shared" si="58"/>
        <v>4.0000000000000018</v>
      </c>
    </row>
    <row r="1847" spans="2:5">
      <c r="B1847" s="943">
        <v>45003</v>
      </c>
      <c r="C1847" s="195">
        <f t="shared" si="57"/>
        <v>3</v>
      </c>
      <c r="D1847" s="195">
        <v>39.200000000000003</v>
      </c>
      <c r="E1847" s="705">
        <f t="shared" si="58"/>
        <v>4.0000000000000018</v>
      </c>
    </row>
    <row r="1848" spans="2:5">
      <c r="B1848" s="943">
        <v>45003</v>
      </c>
      <c r="C1848" s="195">
        <f t="shared" si="57"/>
        <v>3</v>
      </c>
      <c r="D1848" s="195">
        <v>39.200000000000003</v>
      </c>
      <c r="E1848" s="705">
        <f t="shared" si="58"/>
        <v>4.0000000000000018</v>
      </c>
    </row>
    <row r="1849" spans="2:5">
      <c r="B1849" s="943">
        <v>45003</v>
      </c>
      <c r="C1849" s="195">
        <f t="shared" si="57"/>
        <v>3</v>
      </c>
      <c r="D1849" s="195">
        <v>39.4</v>
      </c>
      <c r="E1849" s="705">
        <f t="shared" si="58"/>
        <v>4.1111111111111098</v>
      </c>
    </row>
    <row r="1850" spans="2:5">
      <c r="B1850" s="943">
        <v>45003</v>
      </c>
      <c r="C1850" s="195">
        <f t="shared" si="57"/>
        <v>3</v>
      </c>
      <c r="D1850" s="195">
        <v>39.4</v>
      </c>
      <c r="E1850" s="705">
        <f t="shared" si="58"/>
        <v>4.1111111111111098</v>
      </c>
    </row>
    <row r="1851" spans="2:5">
      <c r="B1851" s="943">
        <v>45003</v>
      </c>
      <c r="C1851" s="195">
        <f t="shared" si="57"/>
        <v>3</v>
      </c>
      <c r="D1851" s="195">
        <v>39.4</v>
      </c>
      <c r="E1851" s="705">
        <f t="shared" si="58"/>
        <v>4.1111111111111098</v>
      </c>
    </row>
    <row r="1852" spans="2:5">
      <c r="B1852" s="943">
        <v>45003</v>
      </c>
      <c r="C1852" s="195">
        <f t="shared" si="57"/>
        <v>3</v>
      </c>
      <c r="D1852" s="195">
        <v>39.4</v>
      </c>
      <c r="E1852" s="705">
        <f t="shared" si="58"/>
        <v>4.1111111111111098</v>
      </c>
    </row>
    <row r="1853" spans="2:5">
      <c r="B1853" s="943">
        <v>45003</v>
      </c>
      <c r="C1853" s="195">
        <f t="shared" si="57"/>
        <v>3</v>
      </c>
      <c r="D1853" s="195">
        <v>39.4</v>
      </c>
      <c r="E1853" s="705">
        <f t="shared" si="58"/>
        <v>4.1111111111111098</v>
      </c>
    </row>
    <row r="1854" spans="2:5">
      <c r="B1854" s="943">
        <v>45003</v>
      </c>
      <c r="C1854" s="195">
        <f t="shared" si="57"/>
        <v>3</v>
      </c>
      <c r="D1854" s="195">
        <v>39.6</v>
      </c>
      <c r="E1854" s="705">
        <f t="shared" si="58"/>
        <v>4.2222222222222232</v>
      </c>
    </row>
    <row r="1855" spans="2:5">
      <c r="B1855" s="943">
        <v>45003</v>
      </c>
      <c r="C1855" s="195">
        <f t="shared" si="57"/>
        <v>3</v>
      </c>
      <c r="D1855" s="195">
        <v>39.6</v>
      </c>
      <c r="E1855" s="705">
        <f t="shared" si="58"/>
        <v>4.2222222222222232</v>
      </c>
    </row>
    <row r="1856" spans="2:5">
      <c r="B1856" s="943">
        <v>45003</v>
      </c>
      <c r="C1856" s="195">
        <f t="shared" si="57"/>
        <v>3</v>
      </c>
      <c r="D1856" s="195">
        <v>39.6</v>
      </c>
      <c r="E1856" s="705">
        <f t="shared" si="58"/>
        <v>4.2222222222222232</v>
      </c>
    </row>
    <row r="1857" spans="2:5">
      <c r="B1857" s="943">
        <v>45004</v>
      </c>
      <c r="C1857" s="195">
        <f t="shared" si="57"/>
        <v>3</v>
      </c>
      <c r="D1857" s="195">
        <v>39.6</v>
      </c>
      <c r="E1857" s="705">
        <f t="shared" si="58"/>
        <v>4.2222222222222232</v>
      </c>
    </row>
    <row r="1858" spans="2:5">
      <c r="B1858" s="943">
        <v>45004</v>
      </c>
      <c r="C1858" s="195">
        <f t="shared" si="57"/>
        <v>3</v>
      </c>
      <c r="D1858" s="195">
        <v>39.6</v>
      </c>
      <c r="E1858" s="705">
        <f t="shared" si="58"/>
        <v>4.2222222222222232</v>
      </c>
    </row>
    <row r="1859" spans="2:5">
      <c r="B1859" s="943">
        <v>45004</v>
      </c>
      <c r="C1859" s="195">
        <f t="shared" si="57"/>
        <v>3</v>
      </c>
      <c r="D1859" s="195">
        <v>39.4</v>
      </c>
      <c r="E1859" s="705">
        <f t="shared" si="58"/>
        <v>4.1111111111111098</v>
      </c>
    </row>
    <row r="1860" spans="2:5">
      <c r="B1860" s="943">
        <v>45004</v>
      </c>
      <c r="C1860" s="195">
        <f t="shared" si="57"/>
        <v>3</v>
      </c>
      <c r="D1860" s="195">
        <v>39.4</v>
      </c>
      <c r="E1860" s="705">
        <f t="shared" si="58"/>
        <v>4.1111111111111098</v>
      </c>
    </row>
    <row r="1861" spans="2:5">
      <c r="B1861" s="943">
        <v>45004</v>
      </c>
      <c r="C1861" s="195">
        <f t="shared" si="57"/>
        <v>3</v>
      </c>
      <c r="D1861" s="195">
        <v>39.4</v>
      </c>
      <c r="E1861" s="705">
        <f t="shared" si="58"/>
        <v>4.1111111111111098</v>
      </c>
    </row>
    <row r="1862" spans="2:5">
      <c r="B1862" s="943">
        <v>45004</v>
      </c>
      <c r="C1862" s="195">
        <f t="shared" si="57"/>
        <v>3</v>
      </c>
      <c r="D1862" s="195">
        <v>39.4</v>
      </c>
      <c r="E1862" s="705">
        <f t="shared" si="58"/>
        <v>4.1111111111111098</v>
      </c>
    </row>
    <row r="1863" spans="2:5">
      <c r="B1863" s="943">
        <v>45004</v>
      </c>
      <c r="C1863" s="195">
        <f t="shared" si="57"/>
        <v>3</v>
      </c>
      <c r="D1863" s="195">
        <v>39.4</v>
      </c>
      <c r="E1863" s="705">
        <f t="shared" si="58"/>
        <v>4.1111111111111098</v>
      </c>
    </row>
    <row r="1864" spans="2:5">
      <c r="B1864" s="943">
        <v>45004</v>
      </c>
      <c r="C1864" s="195">
        <f t="shared" si="57"/>
        <v>3</v>
      </c>
      <c r="D1864" s="195">
        <v>39.4</v>
      </c>
      <c r="E1864" s="705">
        <f t="shared" si="58"/>
        <v>4.1111111111111098</v>
      </c>
    </row>
    <row r="1865" spans="2:5">
      <c r="B1865" s="943">
        <v>45004</v>
      </c>
      <c r="C1865" s="195">
        <f t="shared" si="57"/>
        <v>3</v>
      </c>
      <c r="D1865" s="195">
        <v>39.4</v>
      </c>
      <c r="E1865" s="705">
        <f t="shared" si="58"/>
        <v>4.1111111111111098</v>
      </c>
    </row>
    <row r="1866" spans="2:5">
      <c r="B1866" s="943">
        <v>45004</v>
      </c>
      <c r="C1866" s="195">
        <f t="shared" ref="C1866:C1929" si="59">MONTH(B1866)</f>
        <v>3</v>
      </c>
      <c r="D1866" s="195">
        <v>39.200000000000003</v>
      </c>
      <c r="E1866" s="705">
        <f t="shared" ref="E1866:E1929" si="60">CONVERT(D1866,"F","C")</f>
        <v>4.0000000000000018</v>
      </c>
    </row>
    <row r="1867" spans="2:5">
      <c r="B1867" s="943">
        <v>45004</v>
      </c>
      <c r="C1867" s="195">
        <f t="shared" si="59"/>
        <v>3</v>
      </c>
      <c r="D1867" s="195">
        <v>39.200000000000003</v>
      </c>
      <c r="E1867" s="705">
        <f t="shared" si="60"/>
        <v>4.0000000000000018</v>
      </c>
    </row>
    <row r="1868" spans="2:5">
      <c r="B1868" s="943">
        <v>45004</v>
      </c>
      <c r="C1868" s="195">
        <f t="shared" si="59"/>
        <v>3</v>
      </c>
      <c r="D1868" s="195">
        <v>39.200000000000003</v>
      </c>
      <c r="E1868" s="705">
        <f t="shared" si="60"/>
        <v>4.0000000000000018</v>
      </c>
    </row>
    <row r="1869" spans="2:5">
      <c r="B1869" s="943">
        <v>45004</v>
      </c>
      <c r="C1869" s="195">
        <f t="shared" si="59"/>
        <v>3</v>
      </c>
      <c r="D1869" s="195">
        <v>39.4</v>
      </c>
      <c r="E1869" s="705">
        <f t="shared" si="60"/>
        <v>4.1111111111111098</v>
      </c>
    </row>
    <row r="1870" spans="2:5">
      <c r="B1870" s="943">
        <v>45004</v>
      </c>
      <c r="C1870" s="195">
        <f t="shared" si="59"/>
        <v>3</v>
      </c>
      <c r="D1870" s="195">
        <v>39.200000000000003</v>
      </c>
      <c r="E1870" s="705">
        <f t="shared" si="60"/>
        <v>4.0000000000000018</v>
      </c>
    </row>
    <row r="1871" spans="2:5">
      <c r="B1871" s="943">
        <v>45004</v>
      </c>
      <c r="C1871" s="195">
        <f t="shared" si="59"/>
        <v>3</v>
      </c>
      <c r="D1871" s="195">
        <v>39.200000000000003</v>
      </c>
      <c r="E1871" s="705">
        <f t="shared" si="60"/>
        <v>4.0000000000000018</v>
      </c>
    </row>
    <row r="1872" spans="2:5">
      <c r="B1872" s="943">
        <v>45004</v>
      </c>
      <c r="C1872" s="195">
        <f t="shared" si="59"/>
        <v>3</v>
      </c>
      <c r="D1872" s="195">
        <v>39.200000000000003</v>
      </c>
      <c r="E1872" s="705">
        <f t="shared" si="60"/>
        <v>4.0000000000000018</v>
      </c>
    </row>
    <row r="1873" spans="2:5">
      <c r="B1873" s="943">
        <v>45004</v>
      </c>
      <c r="C1873" s="195">
        <f t="shared" si="59"/>
        <v>3</v>
      </c>
      <c r="D1873" s="195">
        <v>39.4</v>
      </c>
      <c r="E1873" s="705">
        <f t="shared" si="60"/>
        <v>4.1111111111111098</v>
      </c>
    </row>
    <row r="1874" spans="2:5">
      <c r="B1874" s="943">
        <v>45004</v>
      </c>
      <c r="C1874" s="195">
        <f t="shared" si="59"/>
        <v>3</v>
      </c>
      <c r="D1874" s="195">
        <v>39.4</v>
      </c>
      <c r="E1874" s="705">
        <f t="shared" si="60"/>
        <v>4.1111111111111098</v>
      </c>
    </row>
    <row r="1875" spans="2:5">
      <c r="B1875" s="943">
        <v>45004</v>
      </c>
      <c r="C1875" s="195">
        <f t="shared" si="59"/>
        <v>3</v>
      </c>
      <c r="D1875" s="195">
        <v>39.6</v>
      </c>
      <c r="E1875" s="705">
        <f t="shared" si="60"/>
        <v>4.2222222222222232</v>
      </c>
    </row>
    <row r="1876" spans="2:5">
      <c r="B1876" s="943">
        <v>45004</v>
      </c>
      <c r="C1876" s="195">
        <f t="shared" si="59"/>
        <v>3</v>
      </c>
      <c r="D1876" s="195">
        <v>39.6</v>
      </c>
      <c r="E1876" s="705">
        <f t="shared" si="60"/>
        <v>4.2222222222222232</v>
      </c>
    </row>
    <row r="1877" spans="2:5">
      <c r="B1877" s="943">
        <v>45004</v>
      </c>
      <c r="C1877" s="195">
        <f t="shared" si="59"/>
        <v>3</v>
      </c>
      <c r="D1877" s="195">
        <v>39.6</v>
      </c>
      <c r="E1877" s="705">
        <f t="shared" si="60"/>
        <v>4.2222222222222232</v>
      </c>
    </row>
    <row r="1878" spans="2:5">
      <c r="B1878" s="943">
        <v>45004</v>
      </c>
      <c r="C1878" s="195">
        <f t="shared" si="59"/>
        <v>3</v>
      </c>
      <c r="D1878" s="195">
        <v>39.6</v>
      </c>
      <c r="E1878" s="705">
        <f t="shared" si="60"/>
        <v>4.2222222222222232</v>
      </c>
    </row>
    <row r="1879" spans="2:5">
      <c r="B1879" s="943">
        <v>45004</v>
      </c>
      <c r="C1879" s="195">
        <f t="shared" si="59"/>
        <v>3</v>
      </c>
      <c r="D1879" s="195">
        <v>39.6</v>
      </c>
      <c r="E1879" s="705">
        <f t="shared" si="60"/>
        <v>4.2222222222222232</v>
      </c>
    </row>
    <row r="1880" spans="2:5">
      <c r="B1880" s="943">
        <v>45004</v>
      </c>
      <c r="C1880" s="195">
        <f t="shared" si="59"/>
        <v>3</v>
      </c>
      <c r="D1880" s="195">
        <v>39.4</v>
      </c>
      <c r="E1880" s="705">
        <f t="shared" si="60"/>
        <v>4.1111111111111098</v>
      </c>
    </row>
    <row r="1881" spans="2:5">
      <c r="B1881" s="943">
        <v>45005</v>
      </c>
      <c r="C1881" s="195">
        <f t="shared" si="59"/>
        <v>3</v>
      </c>
      <c r="D1881" s="195">
        <v>39.6</v>
      </c>
      <c r="E1881" s="705">
        <f t="shared" si="60"/>
        <v>4.2222222222222232</v>
      </c>
    </row>
    <row r="1882" spans="2:5">
      <c r="B1882" s="943">
        <v>45005</v>
      </c>
      <c r="C1882" s="195">
        <f t="shared" si="59"/>
        <v>3</v>
      </c>
      <c r="D1882" s="195">
        <v>39.6</v>
      </c>
      <c r="E1882" s="705">
        <f t="shared" si="60"/>
        <v>4.2222222222222232</v>
      </c>
    </row>
    <row r="1883" spans="2:5">
      <c r="B1883" s="943">
        <v>45005</v>
      </c>
      <c r="C1883" s="195">
        <f t="shared" si="59"/>
        <v>3</v>
      </c>
      <c r="D1883" s="195">
        <v>39.4</v>
      </c>
      <c r="E1883" s="705">
        <f t="shared" si="60"/>
        <v>4.1111111111111098</v>
      </c>
    </row>
    <row r="1884" spans="2:5">
      <c r="B1884" s="943">
        <v>45005</v>
      </c>
      <c r="C1884" s="195">
        <f t="shared" si="59"/>
        <v>3</v>
      </c>
      <c r="D1884" s="195">
        <v>39.4</v>
      </c>
      <c r="E1884" s="705">
        <f t="shared" si="60"/>
        <v>4.1111111111111098</v>
      </c>
    </row>
    <row r="1885" spans="2:5">
      <c r="B1885" s="943">
        <v>45005</v>
      </c>
      <c r="C1885" s="195">
        <f t="shared" si="59"/>
        <v>3</v>
      </c>
      <c r="D1885" s="195">
        <v>39.200000000000003</v>
      </c>
      <c r="E1885" s="705">
        <f t="shared" si="60"/>
        <v>4.0000000000000018</v>
      </c>
    </row>
    <row r="1886" spans="2:5">
      <c r="B1886" s="943">
        <v>45005</v>
      </c>
      <c r="C1886" s="195">
        <f t="shared" si="59"/>
        <v>3</v>
      </c>
      <c r="D1886" s="195">
        <v>39.200000000000003</v>
      </c>
      <c r="E1886" s="705">
        <f t="shared" si="60"/>
        <v>4.0000000000000018</v>
      </c>
    </row>
    <row r="1887" spans="2:5">
      <c r="B1887" s="943">
        <v>45005</v>
      </c>
      <c r="C1887" s="195">
        <f t="shared" si="59"/>
        <v>3</v>
      </c>
      <c r="D1887" s="195">
        <v>39.200000000000003</v>
      </c>
      <c r="E1887" s="705">
        <f t="shared" si="60"/>
        <v>4.0000000000000018</v>
      </c>
    </row>
    <row r="1888" spans="2:5">
      <c r="B1888" s="943">
        <v>45005</v>
      </c>
      <c r="C1888" s="195">
        <f t="shared" si="59"/>
        <v>3</v>
      </c>
      <c r="D1888" s="195" t="s">
        <v>1431</v>
      </c>
      <c r="E1888" s="705">
        <f t="shared" si="60"/>
        <v>3.8888888888888888</v>
      </c>
    </row>
    <row r="1889" spans="2:5">
      <c r="B1889" s="943">
        <v>45005</v>
      </c>
      <c r="C1889" s="195">
        <f t="shared" si="59"/>
        <v>3</v>
      </c>
      <c r="D1889" s="195" t="s">
        <v>1431</v>
      </c>
      <c r="E1889" s="705">
        <f t="shared" si="60"/>
        <v>3.8888888888888888</v>
      </c>
    </row>
    <row r="1890" spans="2:5">
      <c r="B1890" s="943">
        <v>45005</v>
      </c>
      <c r="C1890" s="195">
        <f t="shared" si="59"/>
        <v>3</v>
      </c>
      <c r="D1890" s="195">
        <v>38.799999999999997</v>
      </c>
      <c r="E1890" s="705">
        <f t="shared" si="60"/>
        <v>3.7777777777777759</v>
      </c>
    </row>
    <row r="1891" spans="2:5">
      <c r="B1891" s="943">
        <v>45005</v>
      </c>
      <c r="C1891" s="195">
        <f t="shared" si="59"/>
        <v>3</v>
      </c>
      <c r="D1891" s="195">
        <v>38.799999999999997</v>
      </c>
      <c r="E1891" s="705">
        <f t="shared" si="60"/>
        <v>3.7777777777777759</v>
      </c>
    </row>
    <row r="1892" spans="2:5">
      <c r="B1892" s="943">
        <v>45005</v>
      </c>
      <c r="C1892" s="195">
        <f t="shared" si="59"/>
        <v>3</v>
      </c>
      <c r="D1892" s="195">
        <v>38.700000000000003</v>
      </c>
      <c r="E1892" s="705">
        <f t="shared" si="60"/>
        <v>3.7222222222222237</v>
      </c>
    </row>
    <row r="1893" spans="2:5">
      <c r="B1893" s="943">
        <v>45005</v>
      </c>
      <c r="C1893" s="195">
        <f t="shared" si="59"/>
        <v>3</v>
      </c>
      <c r="D1893" s="195">
        <v>38.799999999999997</v>
      </c>
      <c r="E1893" s="705">
        <f t="shared" si="60"/>
        <v>3.7777777777777759</v>
      </c>
    </row>
    <row r="1894" spans="2:5">
      <c r="B1894" s="943">
        <v>45005</v>
      </c>
      <c r="C1894" s="195">
        <f t="shared" si="59"/>
        <v>3</v>
      </c>
      <c r="D1894" s="195">
        <v>38.799999999999997</v>
      </c>
      <c r="E1894" s="705">
        <f t="shared" si="60"/>
        <v>3.7777777777777759</v>
      </c>
    </row>
    <row r="1895" spans="2:5">
      <c r="B1895" s="943">
        <v>45005</v>
      </c>
      <c r="C1895" s="195">
        <f t="shared" si="59"/>
        <v>3</v>
      </c>
      <c r="D1895" s="195">
        <v>39.200000000000003</v>
      </c>
      <c r="E1895" s="705">
        <f t="shared" si="60"/>
        <v>4.0000000000000018</v>
      </c>
    </row>
    <row r="1896" spans="2:5">
      <c r="B1896" s="943">
        <v>45005</v>
      </c>
      <c r="C1896" s="195">
        <f t="shared" si="59"/>
        <v>3</v>
      </c>
      <c r="D1896" s="195">
        <v>39.200000000000003</v>
      </c>
      <c r="E1896" s="705">
        <f t="shared" si="60"/>
        <v>4.0000000000000018</v>
      </c>
    </row>
    <row r="1897" spans="2:5">
      <c r="B1897" s="943">
        <v>45005</v>
      </c>
      <c r="C1897" s="195">
        <f t="shared" si="59"/>
        <v>3</v>
      </c>
      <c r="D1897" s="195">
        <v>39.4</v>
      </c>
      <c r="E1897" s="705">
        <f t="shared" si="60"/>
        <v>4.1111111111111098</v>
      </c>
    </row>
    <row r="1898" spans="2:5">
      <c r="B1898" s="943">
        <v>45005</v>
      </c>
      <c r="C1898" s="195">
        <f t="shared" si="59"/>
        <v>3</v>
      </c>
      <c r="D1898" s="195">
        <v>39.6</v>
      </c>
      <c r="E1898" s="705">
        <f t="shared" si="60"/>
        <v>4.2222222222222232</v>
      </c>
    </row>
    <row r="1899" spans="2:5">
      <c r="B1899" s="943">
        <v>45005</v>
      </c>
      <c r="C1899" s="195">
        <f t="shared" si="59"/>
        <v>3</v>
      </c>
      <c r="D1899" s="195">
        <v>39.6</v>
      </c>
      <c r="E1899" s="705">
        <f t="shared" si="60"/>
        <v>4.2222222222222232</v>
      </c>
    </row>
    <row r="1900" spans="2:5">
      <c r="B1900" s="943">
        <v>45005</v>
      </c>
      <c r="C1900" s="195">
        <f t="shared" si="59"/>
        <v>3</v>
      </c>
      <c r="D1900" s="195">
        <v>39.6</v>
      </c>
      <c r="E1900" s="705">
        <f t="shared" si="60"/>
        <v>4.2222222222222232</v>
      </c>
    </row>
    <row r="1901" spans="2:5">
      <c r="B1901" s="943">
        <v>45005</v>
      </c>
      <c r="C1901" s="195">
        <f t="shared" si="59"/>
        <v>3</v>
      </c>
      <c r="D1901" s="195">
        <v>39.700000000000003</v>
      </c>
      <c r="E1901" s="705">
        <f t="shared" si="60"/>
        <v>4.2777777777777795</v>
      </c>
    </row>
    <row r="1902" spans="2:5">
      <c r="B1902" s="943">
        <v>45005</v>
      </c>
      <c r="C1902" s="195">
        <f t="shared" si="59"/>
        <v>3</v>
      </c>
      <c r="D1902" s="195">
        <v>39.700000000000003</v>
      </c>
      <c r="E1902" s="705">
        <f t="shared" si="60"/>
        <v>4.2777777777777795</v>
      </c>
    </row>
    <row r="1903" spans="2:5">
      <c r="B1903" s="943">
        <v>45005</v>
      </c>
      <c r="C1903" s="195">
        <f t="shared" si="59"/>
        <v>3</v>
      </c>
      <c r="D1903" s="195">
        <v>39.700000000000003</v>
      </c>
      <c r="E1903" s="705">
        <f t="shared" si="60"/>
        <v>4.2777777777777795</v>
      </c>
    </row>
    <row r="1904" spans="2:5">
      <c r="B1904" s="943">
        <v>45005</v>
      </c>
      <c r="C1904" s="195">
        <f t="shared" si="59"/>
        <v>3</v>
      </c>
      <c r="D1904" s="195">
        <v>39.6</v>
      </c>
      <c r="E1904" s="705">
        <f t="shared" si="60"/>
        <v>4.2222222222222232</v>
      </c>
    </row>
    <row r="1905" spans="2:5">
      <c r="B1905" s="943">
        <v>45006</v>
      </c>
      <c r="C1905" s="195">
        <f t="shared" si="59"/>
        <v>3</v>
      </c>
      <c r="D1905" s="195">
        <v>39.6</v>
      </c>
      <c r="E1905" s="705">
        <f t="shared" si="60"/>
        <v>4.2222222222222232</v>
      </c>
    </row>
    <row r="1906" spans="2:5">
      <c r="B1906" s="943">
        <v>45006</v>
      </c>
      <c r="C1906" s="195">
        <f t="shared" si="59"/>
        <v>3</v>
      </c>
      <c r="D1906" s="195">
        <v>39.700000000000003</v>
      </c>
      <c r="E1906" s="705">
        <f t="shared" si="60"/>
        <v>4.2777777777777795</v>
      </c>
    </row>
    <row r="1907" spans="2:5">
      <c r="B1907" s="943">
        <v>45006</v>
      </c>
      <c r="C1907" s="195">
        <f t="shared" si="59"/>
        <v>3</v>
      </c>
      <c r="D1907" s="195">
        <v>39.700000000000003</v>
      </c>
      <c r="E1907" s="705">
        <f t="shared" si="60"/>
        <v>4.2777777777777795</v>
      </c>
    </row>
    <row r="1908" spans="2:5">
      <c r="B1908" s="943">
        <v>45006</v>
      </c>
      <c r="C1908" s="195">
        <f t="shared" si="59"/>
        <v>3</v>
      </c>
      <c r="D1908" s="195">
        <v>39.700000000000003</v>
      </c>
      <c r="E1908" s="705">
        <f t="shared" si="60"/>
        <v>4.2777777777777795</v>
      </c>
    </row>
    <row r="1909" spans="2:5">
      <c r="B1909" s="943">
        <v>45006</v>
      </c>
      <c r="C1909" s="195">
        <f t="shared" si="59"/>
        <v>3</v>
      </c>
      <c r="D1909" s="195">
        <v>39.700000000000003</v>
      </c>
      <c r="E1909" s="705">
        <f t="shared" si="60"/>
        <v>4.2777777777777795</v>
      </c>
    </row>
    <row r="1910" spans="2:5">
      <c r="B1910" s="943">
        <v>45006</v>
      </c>
      <c r="C1910" s="195">
        <f t="shared" si="59"/>
        <v>3</v>
      </c>
      <c r="D1910" s="195">
        <v>39.700000000000003</v>
      </c>
      <c r="E1910" s="705">
        <f t="shared" si="60"/>
        <v>4.2777777777777795</v>
      </c>
    </row>
    <row r="1911" spans="2:5">
      <c r="B1911" s="943">
        <v>45006</v>
      </c>
      <c r="C1911" s="195">
        <f t="shared" si="59"/>
        <v>3</v>
      </c>
      <c r="D1911" s="195">
        <v>39.6</v>
      </c>
      <c r="E1911" s="705">
        <f t="shared" si="60"/>
        <v>4.2222222222222232</v>
      </c>
    </row>
    <row r="1912" spans="2:5">
      <c r="B1912" s="943">
        <v>45006</v>
      </c>
      <c r="C1912" s="195">
        <f t="shared" si="59"/>
        <v>3</v>
      </c>
      <c r="D1912" s="195">
        <v>39.6</v>
      </c>
      <c r="E1912" s="705">
        <f t="shared" si="60"/>
        <v>4.2222222222222232</v>
      </c>
    </row>
    <row r="1913" spans="2:5">
      <c r="B1913" s="943">
        <v>45006</v>
      </c>
      <c r="C1913" s="195">
        <f t="shared" si="59"/>
        <v>3</v>
      </c>
      <c r="D1913" s="195">
        <v>39.6</v>
      </c>
      <c r="E1913" s="705">
        <f t="shared" si="60"/>
        <v>4.2222222222222232</v>
      </c>
    </row>
    <row r="1914" spans="2:5">
      <c r="B1914" s="943">
        <v>45006</v>
      </c>
      <c r="C1914" s="195">
        <f t="shared" si="59"/>
        <v>3</v>
      </c>
      <c r="D1914" s="195">
        <v>39.4</v>
      </c>
      <c r="E1914" s="705">
        <f t="shared" si="60"/>
        <v>4.1111111111111098</v>
      </c>
    </row>
    <row r="1915" spans="2:5">
      <c r="B1915" s="943">
        <v>45006</v>
      </c>
      <c r="C1915" s="195">
        <f t="shared" si="59"/>
        <v>3</v>
      </c>
      <c r="D1915" s="195">
        <v>39.4</v>
      </c>
      <c r="E1915" s="705">
        <f t="shared" si="60"/>
        <v>4.1111111111111098</v>
      </c>
    </row>
    <row r="1916" spans="2:5">
      <c r="B1916" s="943">
        <v>45006</v>
      </c>
      <c r="C1916" s="195">
        <f t="shared" si="59"/>
        <v>3</v>
      </c>
      <c r="D1916" s="195">
        <v>39.200000000000003</v>
      </c>
      <c r="E1916" s="705">
        <f t="shared" si="60"/>
        <v>4.0000000000000018</v>
      </c>
    </row>
    <row r="1917" spans="2:5">
      <c r="B1917" s="943">
        <v>45006</v>
      </c>
      <c r="C1917" s="195">
        <f t="shared" si="59"/>
        <v>3</v>
      </c>
      <c r="D1917" s="195">
        <v>39.200000000000003</v>
      </c>
      <c r="E1917" s="705">
        <f t="shared" si="60"/>
        <v>4.0000000000000018</v>
      </c>
    </row>
    <row r="1918" spans="2:5">
      <c r="B1918" s="943">
        <v>45006</v>
      </c>
      <c r="C1918" s="195">
        <f t="shared" si="59"/>
        <v>3</v>
      </c>
      <c r="D1918" s="195">
        <v>39.4</v>
      </c>
      <c r="E1918" s="705">
        <f t="shared" si="60"/>
        <v>4.1111111111111098</v>
      </c>
    </row>
    <row r="1919" spans="2:5">
      <c r="B1919" s="943">
        <v>45006</v>
      </c>
      <c r="C1919" s="195">
        <f t="shared" si="59"/>
        <v>3</v>
      </c>
      <c r="D1919" s="195">
        <v>39.6</v>
      </c>
      <c r="E1919" s="705">
        <f t="shared" si="60"/>
        <v>4.2222222222222232</v>
      </c>
    </row>
    <row r="1920" spans="2:5">
      <c r="B1920" s="943">
        <v>45006</v>
      </c>
      <c r="C1920" s="195">
        <f t="shared" si="59"/>
        <v>3</v>
      </c>
      <c r="D1920" s="195">
        <v>39.6</v>
      </c>
      <c r="E1920" s="705">
        <f t="shared" si="60"/>
        <v>4.2222222222222232</v>
      </c>
    </row>
    <row r="1921" spans="2:5">
      <c r="B1921" s="943">
        <v>45006</v>
      </c>
      <c r="C1921" s="195">
        <f t="shared" si="59"/>
        <v>3</v>
      </c>
      <c r="D1921" s="195">
        <v>39.700000000000003</v>
      </c>
      <c r="E1921" s="705">
        <f t="shared" si="60"/>
        <v>4.2777777777777795</v>
      </c>
    </row>
    <row r="1922" spans="2:5">
      <c r="B1922" s="943">
        <v>45006</v>
      </c>
      <c r="C1922" s="195">
        <f t="shared" si="59"/>
        <v>3</v>
      </c>
      <c r="D1922" s="195">
        <v>39.700000000000003</v>
      </c>
      <c r="E1922" s="705">
        <f t="shared" si="60"/>
        <v>4.2777777777777795</v>
      </c>
    </row>
    <row r="1923" spans="2:5">
      <c r="B1923" s="943">
        <v>45006</v>
      </c>
      <c r="C1923" s="195">
        <f t="shared" si="59"/>
        <v>3</v>
      </c>
      <c r="D1923" s="195">
        <v>40.1</v>
      </c>
      <c r="E1923" s="705">
        <f t="shared" si="60"/>
        <v>4.5000000000000009</v>
      </c>
    </row>
    <row r="1924" spans="2:5">
      <c r="B1924" s="943">
        <v>45006</v>
      </c>
      <c r="C1924" s="195">
        <f t="shared" si="59"/>
        <v>3</v>
      </c>
      <c r="D1924" s="195">
        <v>40.1</v>
      </c>
      <c r="E1924" s="705">
        <f t="shared" si="60"/>
        <v>4.5000000000000009</v>
      </c>
    </row>
    <row r="1925" spans="2:5">
      <c r="B1925" s="943">
        <v>45006</v>
      </c>
      <c r="C1925" s="195">
        <f t="shared" si="59"/>
        <v>3</v>
      </c>
      <c r="D1925" s="195">
        <v>40.1</v>
      </c>
      <c r="E1925" s="705">
        <f t="shared" si="60"/>
        <v>4.5000000000000009</v>
      </c>
    </row>
    <row r="1926" spans="2:5">
      <c r="B1926" s="943">
        <v>45006</v>
      </c>
      <c r="C1926" s="195">
        <f t="shared" si="59"/>
        <v>3</v>
      </c>
      <c r="D1926" s="195">
        <v>40.299999999999997</v>
      </c>
      <c r="E1926" s="705">
        <f t="shared" si="60"/>
        <v>4.6111111111111098</v>
      </c>
    </row>
    <row r="1927" spans="2:5">
      <c r="B1927" s="943">
        <v>45006</v>
      </c>
      <c r="C1927" s="195">
        <f t="shared" si="59"/>
        <v>3</v>
      </c>
      <c r="D1927" s="195">
        <v>40.299999999999997</v>
      </c>
      <c r="E1927" s="705">
        <f t="shared" si="60"/>
        <v>4.6111111111111098</v>
      </c>
    </row>
    <row r="1928" spans="2:5">
      <c r="B1928" s="943">
        <v>45006</v>
      </c>
      <c r="C1928" s="195">
        <f t="shared" si="59"/>
        <v>3</v>
      </c>
      <c r="D1928" s="195">
        <v>40.299999999999997</v>
      </c>
      <c r="E1928" s="705">
        <f t="shared" si="60"/>
        <v>4.6111111111111098</v>
      </c>
    </row>
    <row r="1929" spans="2:5">
      <c r="B1929" s="943">
        <v>45007</v>
      </c>
      <c r="C1929" s="195">
        <f t="shared" si="59"/>
        <v>3</v>
      </c>
      <c r="D1929" s="195">
        <v>40.299999999999997</v>
      </c>
      <c r="E1929" s="705">
        <f t="shared" si="60"/>
        <v>4.6111111111111098</v>
      </c>
    </row>
    <row r="1930" spans="2:5">
      <c r="B1930" s="943">
        <v>45007</v>
      </c>
      <c r="C1930" s="195">
        <f t="shared" ref="C1930:C1993" si="61">MONTH(B1930)</f>
        <v>3</v>
      </c>
      <c r="D1930" s="195">
        <v>40.299999999999997</v>
      </c>
      <c r="E1930" s="705">
        <f t="shared" ref="E1930:E1993" si="62">CONVERT(D1930,"F","C")</f>
        <v>4.6111111111111098</v>
      </c>
    </row>
    <row r="1931" spans="2:5">
      <c r="B1931" s="943">
        <v>45007</v>
      </c>
      <c r="C1931" s="195">
        <f t="shared" si="61"/>
        <v>3</v>
      </c>
      <c r="D1931" s="195">
        <v>40.299999999999997</v>
      </c>
      <c r="E1931" s="705">
        <f t="shared" si="62"/>
        <v>4.6111111111111098</v>
      </c>
    </row>
    <row r="1932" spans="2:5">
      <c r="B1932" s="943">
        <v>45007</v>
      </c>
      <c r="C1932" s="195">
        <f t="shared" si="61"/>
        <v>3</v>
      </c>
      <c r="D1932" s="195">
        <v>40.299999999999997</v>
      </c>
      <c r="E1932" s="705">
        <f t="shared" si="62"/>
        <v>4.6111111111111098</v>
      </c>
    </row>
    <row r="1933" spans="2:5">
      <c r="B1933" s="943">
        <v>45007</v>
      </c>
      <c r="C1933" s="195">
        <f t="shared" si="61"/>
        <v>3</v>
      </c>
      <c r="D1933" s="195">
        <v>40.1</v>
      </c>
      <c r="E1933" s="705">
        <f t="shared" si="62"/>
        <v>4.5000000000000009</v>
      </c>
    </row>
    <row r="1934" spans="2:5">
      <c r="B1934" s="943">
        <v>45007</v>
      </c>
      <c r="C1934" s="195">
        <f t="shared" si="61"/>
        <v>3</v>
      </c>
      <c r="D1934" s="195">
        <v>40.1</v>
      </c>
      <c r="E1934" s="705">
        <f t="shared" si="62"/>
        <v>4.5000000000000009</v>
      </c>
    </row>
    <row r="1935" spans="2:5">
      <c r="B1935" s="943">
        <v>45007</v>
      </c>
      <c r="C1935" s="195">
        <f t="shared" si="61"/>
        <v>3</v>
      </c>
      <c r="D1935" s="195">
        <v>39.9</v>
      </c>
      <c r="E1935" s="705">
        <f t="shared" si="62"/>
        <v>4.3888888888888884</v>
      </c>
    </row>
    <row r="1936" spans="2:5">
      <c r="B1936" s="943">
        <v>45007</v>
      </c>
      <c r="C1936" s="195">
        <f t="shared" si="61"/>
        <v>3</v>
      </c>
      <c r="D1936" s="195">
        <v>39.9</v>
      </c>
      <c r="E1936" s="705">
        <f t="shared" si="62"/>
        <v>4.3888888888888884</v>
      </c>
    </row>
    <row r="1937" spans="2:5">
      <c r="B1937" s="943">
        <v>45007</v>
      </c>
      <c r="C1937" s="195">
        <f t="shared" si="61"/>
        <v>3</v>
      </c>
      <c r="D1937" s="195">
        <v>40.1</v>
      </c>
      <c r="E1937" s="705">
        <f t="shared" si="62"/>
        <v>4.5000000000000009</v>
      </c>
    </row>
    <row r="1938" spans="2:5">
      <c r="B1938" s="943">
        <v>45007</v>
      </c>
      <c r="C1938" s="195">
        <f t="shared" si="61"/>
        <v>3</v>
      </c>
      <c r="D1938" s="195">
        <v>40.1</v>
      </c>
      <c r="E1938" s="705">
        <f t="shared" si="62"/>
        <v>4.5000000000000009</v>
      </c>
    </row>
    <row r="1939" spans="2:5">
      <c r="B1939" s="943">
        <v>45007</v>
      </c>
      <c r="C1939" s="195">
        <f t="shared" si="61"/>
        <v>3</v>
      </c>
      <c r="D1939" s="195">
        <v>40.1</v>
      </c>
      <c r="E1939" s="705">
        <f t="shared" si="62"/>
        <v>4.5000000000000009</v>
      </c>
    </row>
    <row r="1940" spans="2:5">
      <c r="B1940" s="943">
        <v>45007</v>
      </c>
      <c r="C1940" s="195">
        <f t="shared" si="61"/>
        <v>3</v>
      </c>
      <c r="D1940" s="195">
        <v>40.1</v>
      </c>
      <c r="E1940" s="705">
        <f t="shared" si="62"/>
        <v>4.5000000000000009</v>
      </c>
    </row>
    <row r="1941" spans="2:5">
      <c r="B1941" s="943">
        <v>45007</v>
      </c>
      <c r="C1941" s="195">
        <f t="shared" si="61"/>
        <v>3</v>
      </c>
      <c r="D1941" s="195">
        <v>40.1</v>
      </c>
      <c r="E1941" s="705">
        <f t="shared" si="62"/>
        <v>4.5000000000000009</v>
      </c>
    </row>
    <row r="1942" spans="2:5">
      <c r="B1942" s="943">
        <v>45007</v>
      </c>
      <c r="C1942" s="195">
        <f t="shared" si="61"/>
        <v>3</v>
      </c>
      <c r="D1942" s="195">
        <v>40.1</v>
      </c>
      <c r="E1942" s="705">
        <f t="shared" si="62"/>
        <v>4.5000000000000009</v>
      </c>
    </row>
    <row r="1943" spans="2:5">
      <c r="B1943" s="943">
        <v>45007</v>
      </c>
      <c r="C1943" s="195">
        <f t="shared" si="61"/>
        <v>3</v>
      </c>
      <c r="D1943" s="195">
        <v>40.1</v>
      </c>
      <c r="E1943" s="705">
        <f t="shared" si="62"/>
        <v>4.5000000000000009</v>
      </c>
    </row>
    <row r="1944" spans="2:5">
      <c r="B1944" s="943">
        <v>45007</v>
      </c>
      <c r="C1944" s="195">
        <f t="shared" si="61"/>
        <v>3</v>
      </c>
      <c r="D1944" s="195">
        <v>40.1</v>
      </c>
      <c r="E1944" s="705">
        <f t="shared" si="62"/>
        <v>4.5000000000000009</v>
      </c>
    </row>
    <row r="1945" spans="2:5">
      <c r="B1945" s="943">
        <v>45007</v>
      </c>
      <c r="C1945" s="195">
        <f t="shared" si="61"/>
        <v>3</v>
      </c>
      <c r="D1945" s="195">
        <v>39.9</v>
      </c>
      <c r="E1945" s="705">
        <f t="shared" si="62"/>
        <v>4.3888888888888884</v>
      </c>
    </row>
    <row r="1946" spans="2:5">
      <c r="B1946" s="943">
        <v>45007</v>
      </c>
      <c r="C1946" s="195">
        <f t="shared" si="61"/>
        <v>3</v>
      </c>
      <c r="D1946" s="195">
        <v>39.9</v>
      </c>
      <c r="E1946" s="705">
        <f t="shared" si="62"/>
        <v>4.3888888888888884</v>
      </c>
    </row>
    <row r="1947" spans="2:5">
      <c r="B1947" s="943">
        <v>45007</v>
      </c>
      <c r="C1947" s="195">
        <f t="shared" si="61"/>
        <v>3</v>
      </c>
      <c r="D1947" s="195">
        <v>40.299999999999997</v>
      </c>
      <c r="E1947" s="705">
        <f t="shared" si="62"/>
        <v>4.6111111111111098</v>
      </c>
    </row>
    <row r="1948" spans="2:5">
      <c r="B1948" s="943">
        <v>45007</v>
      </c>
      <c r="C1948" s="195">
        <f t="shared" si="61"/>
        <v>3</v>
      </c>
      <c r="D1948" s="195">
        <v>40.6</v>
      </c>
      <c r="E1948" s="705">
        <f t="shared" si="62"/>
        <v>4.7777777777777786</v>
      </c>
    </row>
    <row r="1949" spans="2:5">
      <c r="B1949" s="943">
        <v>45007</v>
      </c>
      <c r="C1949" s="195">
        <f t="shared" si="61"/>
        <v>3</v>
      </c>
      <c r="D1949" s="195">
        <v>40.5</v>
      </c>
      <c r="E1949" s="705">
        <f t="shared" si="62"/>
        <v>4.7222222222222223</v>
      </c>
    </row>
    <row r="1950" spans="2:5">
      <c r="B1950" s="943">
        <v>45007</v>
      </c>
      <c r="C1950" s="195">
        <f t="shared" si="61"/>
        <v>3</v>
      </c>
      <c r="D1950" s="195">
        <v>40.6</v>
      </c>
      <c r="E1950" s="705">
        <f t="shared" si="62"/>
        <v>4.7777777777777786</v>
      </c>
    </row>
    <row r="1951" spans="2:5">
      <c r="B1951" s="943">
        <v>45007</v>
      </c>
      <c r="C1951" s="195">
        <f t="shared" si="61"/>
        <v>3</v>
      </c>
      <c r="D1951" s="195">
        <v>40.799999999999997</v>
      </c>
      <c r="E1951" s="705">
        <f t="shared" si="62"/>
        <v>4.8888888888888875</v>
      </c>
    </row>
    <row r="1952" spans="2:5">
      <c r="B1952" s="943">
        <v>45007</v>
      </c>
      <c r="C1952" s="195">
        <f t="shared" si="61"/>
        <v>3</v>
      </c>
      <c r="D1952" s="195" t="s">
        <v>1429</v>
      </c>
      <c r="E1952" s="705">
        <f t="shared" si="62"/>
        <v>5</v>
      </c>
    </row>
    <row r="1953" spans="2:5">
      <c r="B1953" s="943">
        <v>45008</v>
      </c>
      <c r="C1953" s="195">
        <f t="shared" si="61"/>
        <v>3</v>
      </c>
      <c r="D1953" s="195">
        <v>41.2</v>
      </c>
      <c r="E1953" s="705">
        <f t="shared" si="62"/>
        <v>5.1111111111111125</v>
      </c>
    </row>
    <row r="1954" spans="2:5">
      <c r="B1954" s="943">
        <v>45008</v>
      </c>
      <c r="C1954" s="195">
        <f t="shared" si="61"/>
        <v>3</v>
      </c>
      <c r="D1954" s="195">
        <v>41.2</v>
      </c>
      <c r="E1954" s="705">
        <f t="shared" si="62"/>
        <v>5.1111111111111125</v>
      </c>
    </row>
    <row r="1955" spans="2:5">
      <c r="B1955" s="943">
        <v>45008</v>
      </c>
      <c r="C1955" s="195">
        <f t="shared" si="61"/>
        <v>3</v>
      </c>
      <c r="D1955" s="195" t="s">
        <v>1429</v>
      </c>
      <c r="E1955" s="705">
        <f t="shared" si="62"/>
        <v>5</v>
      </c>
    </row>
    <row r="1956" spans="2:5">
      <c r="B1956" s="943">
        <v>45008</v>
      </c>
      <c r="C1956" s="195">
        <f t="shared" si="61"/>
        <v>3</v>
      </c>
      <c r="D1956" s="195">
        <v>40.799999999999997</v>
      </c>
      <c r="E1956" s="705">
        <f t="shared" si="62"/>
        <v>4.8888888888888875</v>
      </c>
    </row>
    <row r="1957" spans="2:5">
      <c r="B1957" s="943">
        <v>45008</v>
      </c>
      <c r="C1957" s="195">
        <f t="shared" si="61"/>
        <v>3</v>
      </c>
      <c r="D1957" s="195">
        <v>40.6</v>
      </c>
      <c r="E1957" s="705">
        <f t="shared" si="62"/>
        <v>4.7777777777777786</v>
      </c>
    </row>
    <row r="1958" spans="2:5">
      <c r="B1958" s="943">
        <v>45008</v>
      </c>
      <c r="C1958" s="195">
        <f t="shared" si="61"/>
        <v>3</v>
      </c>
      <c r="D1958" s="195">
        <v>40.5</v>
      </c>
      <c r="E1958" s="705">
        <f t="shared" si="62"/>
        <v>4.7222222222222223</v>
      </c>
    </row>
    <row r="1959" spans="2:5">
      <c r="B1959" s="943">
        <v>45008</v>
      </c>
      <c r="C1959" s="195">
        <f t="shared" si="61"/>
        <v>3</v>
      </c>
      <c r="D1959" s="195">
        <v>40.5</v>
      </c>
      <c r="E1959" s="705">
        <f t="shared" si="62"/>
        <v>4.7222222222222223</v>
      </c>
    </row>
    <row r="1960" spans="2:5">
      <c r="B1960" s="943">
        <v>45008</v>
      </c>
      <c r="C1960" s="195">
        <f t="shared" si="61"/>
        <v>3</v>
      </c>
      <c r="D1960" s="195">
        <v>40.299999999999997</v>
      </c>
      <c r="E1960" s="705">
        <f t="shared" si="62"/>
        <v>4.6111111111111098</v>
      </c>
    </row>
    <row r="1961" spans="2:5">
      <c r="B1961" s="943">
        <v>45008</v>
      </c>
      <c r="C1961" s="195">
        <f t="shared" si="61"/>
        <v>3</v>
      </c>
      <c r="D1961" s="195">
        <v>40.5</v>
      </c>
      <c r="E1961" s="705">
        <f t="shared" si="62"/>
        <v>4.7222222222222223</v>
      </c>
    </row>
    <row r="1962" spans="2:5">
      <c r="B1962" s="943">
        <v>45008</v>
      </c>
      <c r="C1962" s="195">
        <f t="shared" si="61"/>
        <v>3</v>
      </c>
      <c r="D1962" s="195">
        <v>40.5</v>
      </c>
      <c r="E1962" s="705">
        <f t="shared" si="62"/>
        <v>4.7222222222222223</v>
      </c>
    </row>
    <row r="1963" spans="2:5">
      <c r="B1963" s="943">
        <v>45008</v>
      </c>
      <c r="C1963" s="195">
        <f t="shared" si="61"/>
        <v>3</v>
      </c>
      <c r="D1963" s="195">
        <v>40.799999999999997</v>
      </c>
      <c r="E1963" s="705">
        <f t="shared" si="62"/>
        <v>4.8888888888888875</v>
      </c>
    </row>
    <row r="1964" spans="2:5">
      <c r="B1964" s="943">
        <v>45008</v>
      </c>
      <c r="C1964" s="195">
        <f t="shared" si="61"/>
        <v>3</v>
      </c>
      <c r="D1964" s="195">
        <v>40.799999999999997</v>
      </c>
      <c r="E1964" s="705">
        <f t="shared" si="62"/>
        <v>4.8888888888888875</v>
      </c>
    </row>
    <row r="1965" spans="2:5">
      <c r="B1965" s="943">
        <v>45008</v>
      </c>
      <c r="C1965" s="195">
        <f t="shared" si="61"/>
        <v>3</v>
      </c>
      <c r="D1965" s="195" t="s">
        <v>1429</v>
      </c>
      <c r="E1965" s="705">
        <f t="shared" si="62"/>
        <v>5</v>
      </c>
    </row>
    <row r="1966" spans="2:5">
      <c r="B1966" s="943">
        <v>45008</v>
      </c>
      <c r="C1966" s="195">
        <f t="shared" si="61"/>
        <v>3</v>
      </c>
      <c r="D1966" s="195">
        <v>41.2</v>
      </c>
      <c r="E1966" s="705">
        <f t="shared" si="62"/>
        <v>5.1111111111111125</v>
      </c>
    </row>
    <row r="1967" spans="2:5">
      <c r="B1967" s="943">
        <v>45008</v>
      </c>
      <c r="C1967" s="195">
        <f t="shared" si="61"/>
        <v>3</v>
      </c>
      <c r="D1967" s="195" t="s">
        <v>1429</v>
      </c>
      <c r="E1967" s="705">
        <f t="shared" si="62"/>
        <v>5</v>
      </c>
    </row>
    <row r="1968" spans="2:5">
      <c r="B1968" s="943">
        <v>45008</v>
      </c>
      <c r="C1968" s="195">
        <f t="shared" si="61"/>
        <v>3</v>
      </c>
      <c r="D1968" s="195" t="s">
        <v>1429</v>
      </c>
      <c r="E1968" s="705">
        <f t="shared" si="62"/>
        <v>5</v>
      </c>
    </row>
    <row r="1969" spans="2:5">
      <c r="B1969" s="943">
        <v>45008</v>
      </c>
      <c r="C1969" s="195">
        <f t="shared" si="61"/>
        <v>3</v>
      </c>
      <c r="D1969" s="195">
        <v>40.6</v>
      </c>
      <c r="E1969" s="705">
        <f t="shared" si="62"/>
        <v>4.7777777777777786</v>
      </c>
    </row>
    <row r="1970" spans="2:5">
      <c r="B1970" s="943">
        <v>45008</v>
      </c>
      <c r="C1970" s="195">
        <f t="shared" si="61"/>
        <v>3</v>
      </c>
      <c r="D1970" s="195">
        <v>40.5</v>
      </c>
      <c r="E1970" s="705">
        <f t="shared" si="62"/>
        <v>4.7222222222222223</v>
      </c>
    </row>
    <row r="1971" spans="2:5">
      <c r="B1971" s="943">
        <v>45008</v>
      </c>
      <c r="C1971" s="195">
        <f t="shared" si="61"/>
        <v>3</v>
      </c>
      <c r="D1971" s="195">
        <v>40.5</v>
      </c>
      <c r="E1971" s="705">
        <f t="shared" si="62"/>
        <v>4.7222222222222223</v>
      </c>
    </row>
    <row r="1972" spans="2:5">
      <c r="B1972" s="943">
        <v>45008</v>
      </c>
      <c r="C1972" s="195">
        <f t="shared" si="61"/>
        <v>3</v>
      </c>
      <c r="D1972" s="195">
        <v>40.5</v>
      </c>
      <c r="E1972" s="705">
        <f t="shared" si="62"/>
        <v>4.7222222222222223</v>
      </c>
    </row>
    <row r="1973" spans="2:5">
      <c r="B1973" s="943">
        <v>45008</v>
      </c>
      <c r="C1973" s="195">
        <f t="shared" si="61"/>
        <v>3</v>
      </c>
      <c r="D1973" s="195">
        <v>40.5</v>
      </c>
      <c r="E1973" s="705">
        <f t="shared" si="62"/>
        <v>4.7222222222222223</v>
      </c>
    </row>
    <row r="1974" spans="2:5">
      <c r="B1974" s="943">
        <v>45008</v>
      </c>
      <c r="C1974" s="195">
        <f t="shared" si="61"/>
        <v>3</v>
      </c>
      <c r="D1974" s="195">
        <v>40.6</v>
      </c>
      <c r="E1974" s="705">
        <f t="shared" si="62"/>
        <v>4.7777777777777786</v>
      </c>
    </row>
    <row r="1975" spans="2:5">
      <c r="B1975" s="943">
        <v>45008</v>
      </c>
      <c r="C1975" s="195">
        <f t="shared" si="61"/>
        <v>3</v>
      </c>
      <c r="D1975" s="195">
        <v>40.799999999999997</v>
      </c>
      <c r="E1975" s="705">
        <f t="shared" si="62"/>
        <v>4.8888888888888875</v>
      </c>
    </row>
    <row r="1976" spans="2:5">
      <c r="B1976" s="943">
        <v>45008</v>
      </c>
      <c r="C1976" s="195">
        <f t="shared" si="61"/>
        <v>3</v>
      </c>
      <c r="D1976" s="195" t="s">
        <v>1429</v>
      </c>
      <c r="E1976" s="705">
        <f t="shared" si="62"/>
        <v>5</v>
      </c>
    </row>
    <row r="1977" spans="2:5">
      <c r="B1977" s="943">
        <v>45009</v>
      </c>
      <c r="C1977" s="195">
        <f t="shared" si="61"/>
        <v>3</v>
      </c>
      <c r="D1977" s="195">
        <v>41.2</v>
      </c>
      <c r="E1977" s="705">
        <f t="shared" si="62"/>
        <v>5.1111111111111125</v>
      </c>
    </row>
    <row r="1978" spans="2:5">
      <c r="B1978" s="943">
        <v>45009</v>
      </c>
      <c r="C1978" s="195">
        <f t="shared" si="61"/>
        <v>3</v>
      </c>
      <c r="D1978" s="195">
        <v>41.4</v>
      </c>
      <c r="E1978" s="705">
        <f t="shared" si="62"/>
        <v>5.2222222222222214</v>
      </c>
    </row>
    <row r="1979" spans="2:5">
      <c r="B1979" s="943">
        <v>45009</v>
      </c>
      <c r="C1979" s="195">
        <f t="shared" si="61"/>
        <v>3</v>
      </c>
      <c r="D1979" s="195">
        <v>41.4</v>
      </c>
      <c r="E1979" s="705">
        <f t="shared" si="62"/>
        <v>5.2222222222222214</v>
      </c>
    </row>
    <row r="1980" spans="2:5">
      <c r="B1980" s="943">
        <v>45009</v>
      </c>
      <c r="C1980" s="195">
        <f t="shared" si="61"/>
        <v>3</v>
      </c>
      <c r="D1980" s="195">
        <v>41.2</v>
      </c>
      <c r="E1980" s="705">
        <f t="shared" si="62"/>
        <v>5.1111111111111125</v>
      </c>
    </row>
    <row r="1981" spans="2:5">
      <c r="B1981" s="943">
        <v>45009</v>
      </c>
      <c r="C1981" s="195">
        <f t="shared" si="61"/>
        <v>3</v>
      </c>
      <c r="D1981" s="195" t="s">
        <v>1429</v>
      </c>
      <c r="E1981" s="705">
        <f t="shared" si="62"/>
        <v>5</v>
      </c>
    </row>
    <row r="1982" spans="2:5">
      <c r="B1982" s="943">
        <v>45009</v>
      </c>
      <c r="C1982" s="195">
        <f t="shared" si="61"/>
        <v>3</v>
      </c>
      <c r="D1982" s="195">
        <v>40.6</v>
      </c>
      <c r="E1982" s="705">
        <f t="shared" si="62"/>
        <v>4.7777777777777786</v>
      </c>
    </row>
    <row r="1983" spans="2:5">
      <c r="B1983" s="943">
        <v>45009</v>
      </c>
      <c r="C1983" s="195">
        <f t="shared" si="61"/>
        <v>3</v>
      </c>
      <c r="D1983" s="195">
        <v>40.5</v>
      </c>
      <c r="E1983" s="705">
        <f t="shared" si="62"/>
        <v>4.7222222222222223</v>
      </c>
    </row>
    <row r="1984" spans="2:5">
      <c r="B1984" s="943">
        <v>45009</v>
      </c>
      <c r="C1984" s="195">
        <f t="shared" si="61"/>
        <v>3</v>
      </c>
      <c r="D1984" s="195">
        <v>40.5</v>
      </c>
      <c r="E1984" s="705">
        <f t="shared" si="62"/>
        <v>4.7222222222222223</v>
      </c>
    </row>
    <row r="1985" spans="2:5">
      <c r="B1985" s="943">
        <v>45009</v>
      </c>
      <c r="C1985" s="195">
        <f t="shared" si="61"/>
        <v>3</v>
      </c>
      <c r="D1985" s="195">
        <v>40.5</v>
      </c>
      <c r="E1985" s="705">
        <f t="shared" si="62"/>
        <v>4.7222222222222223</v>
      </c>
    </row>
    <row r="1986" spans="2:5">
      <c r="B1986" s="943">
        <v>45009</v>
      </c>
      <c r="C1986" s="195">
        <f t="shared" si="61"/>
        <v>3</v>
      </c>
      <c r="D1986" s="195">
        <v>40.5</v>
      </c>
      <c r="E1986" s="705">
        <f t="shared" si="62"/>
        <v>4.7222222222222223</v>
      </c>
    </row>
    <row r="1987" spans="2:5">
      <c r="B1987" s="943">
        <v>45009</v>
      </c>
      <c r="C1987" s="195">
        <f t="shared" si="61"/>
        <v>3</v>
      </c>
      <c r="D1987" s="195">
        <v>40.6</v>
      </c>
      <c r="E1987" s="705">
        <f t="shared" si="62"/>
        <v>4.7777777777777786</v>
      </c>
    </row>
    <row r="1988" spans="2:5">
      <c r="B1988" s="943">
        <v>45009</v>
      </c>
      <c r="C1988" s="195">
        <f t="shared" si="61"/>
        <v>3</v>
      </c>
      <c r="D1988" s="195">
        <v>40.799999999999997</v>
      </c>
      <c r="E1988" s="705">
        <f t="shared" si="62"/>
        <v>4.8888888888888875</v>
      </c>
    </row>
    <row r="1989" spans="2:5">
      <c r="B1989" s="943">
        <v>45009</v>
      </c>
      <c r="C1989" s="195">
        <f t="shared" si="61"/>
        <v>3</v>
      </c>
      <c r="D1989" s="195" t="s">
        <v>1429</v>
      </c>
      <c r="E1989" s="705">
        <f t="shared" si="62"/>
        <v>5</v>
      </c>
    </row>
    <row r="1990" spans="2:5">
      <c r="B1990" s="943">
        <v>45009</v>
      </c>
      <c r="C1990" s="195">
        <f t="shared" si="61"/>
        <v>3</v>
      </c>
      <c r="D1990" s="195">
        <v>41.2</v>
      </c>
      <c r="E1990" s="705">
        <f t="shared" si="62"/>
        <v>5.1111111111111125</v>
      </c>
    </row>
    <row r="1991" spans="2:5">
      <c r="B1991" s="943">
        <v>45009</v>
      </c>
      <c r="C1991" s="195">
        <f t="shared" si="61"/>
        <v>3</v>
      </c>
      <c r="D1991" s="195">
        <v>41.4</v>
      </c>
      <c r="E1991" s="705">
        <f t="shared" si="62"/>
        <v>5.2222222222222214</v>
      </c>
    </row>
    <row r="1992" spans="2:5">
      <c r="B1992" s="943">
        <v>45009</v>
      </c>
      <c r="C1992" s="195">
        <f t="shared" si="61"/>
        <v>3</v>
      </c>
      <c r="D1992" s="195">
        <v>41.2</v>
      </c>
      <c r="E1992" s="705">
        <f t="shared" si="62"/>
        <v>5.1111111111111125</v>
      </c>
    </row>
    <row r="1993" spans="2:5">
      <c r="B1993" s="943">
        <v>45009</v>
      </c>
      <c r="C1993" s="195">
        <f t="shared" si="61"/>
        <v>3</v>
      </c>
      <c r="D1993" s="195" t="s">
        <v>1429</v>
      </c>
      <c r="E1993" s="705">
        <f t="shared" si="62"/>
        <v>5</v>
      </c>
    </row>
    <row r="1994" spans="2:5">
      <c r="B1994" s="943">
        <v>45009</v>
      </c>
      <c r="C1994" s="195">
        <f t="shared" ref="C1994:C2057" si="63">MONTH(B1994)</f>
        <v>3</v>
      </c>
      <c r="D1994" s="195">
        <v>40.6</v>
      </c>
      <c r="E1994" s="705">
        <f t="shared" ref="E1994:E2057" si="64">CONVERT(D1994,"F","C")</f>
        <v>4.7777777777777786</v>
      </c>
    </row>
    <row r="1995" spans="2:5">
      <c r="B1995" s="943">
        <v>45009</v>
      </c>
      <c r="C1995" s="195">
        <f t="shared" si="63"/>
        <v>3</v>
      </c>
      <c r="D1995" s="195">
        <v>40.6</v>
      </c>
      <c r="E1995" s="705">
        <f t="shared" si="64"/>
        <v>4.7777777777777786</v>
      </c>
    </row>
    <row r="1996" spans="2:5">
      <c r="B1996" s="943">
        <v>45009</v>
      </c>
      <c r="C1996" s="195">
        <f t="shared" si="63"/>
        <v>3</v>
      </c>
      <c r="D1996" s="195">
        <v>40.5</v>
      </c>
      <c r="E1996" s="705">
        <f t="shared" si="64"/>
        <v>4.7222222222222223</v>
      </c>
    </row>
    <row r="1997" spans="2:5">
      <c r="B1997" s="943">
        <v>45009</v>
      </c>
      <c r="C1997" s="195">
        <f t="shared" si="63"/>
        <v>3</v>
      </c>
      <c r="D1997" s="195">
        <v>40.5</v>
      </c>
      <c r="E1997" s="705">
        <f t="shared" si="64"/>
        <v>4.7222222222222223</v>
      </c>
    </row>
    <row r="1998" spans="2:5">
      <c r="B1998" s="943">
        <v>45009</v>
      </c>
      <c r="C1998" s="195">
        <f t="shared" si="63"/>
        <v>3</v>
      </c>
      <c r="D1998" s="195">
        <v>40.6</v>
      </c>
      <c r="E1998" s="705">
        <f t="shared" si="64"/>
        <v>4.7777777777777786</v>
      </c>
    </row>
    <row r="1999" spans="2:5">
      <c r="B1999" s="943">
        <v>45009</v>
      </c>
      <c r="C1999" s="195">
        <f t="shared" si="63"/>
        <v>3</v>
      </c>
      <c r="D1999" s="195">
        <v>40.799999999999997</v>
      </c>
      <c r="E1999" s="705">
        <f t="shared" si="64"/>
        <v>4.8888888888888875</v>
      </c>
    </row>
    <row r="2000" spans="2:5">
      <c r="B2000" s="943">
        <v>45009</v>
      </c>
      <c r="C2000" s="195">
        <f t="shared" si="63"/>
        <v>3</v>
      </c>
      <c r="D2000" s="195">
        <v>41.2</v>
      </c>
      <c r="E2000" s="705">
        <f t="shared" si="64"/>
        <v>5.1111111111111125</v>
      </c>
    </row>
    <row r="2001" spans="2:5">
      <c r="B2001" s="943">
        <v>45010</v>
      </c>
      <c r="C2001" s="195">
        <f t="shared" si="63"/>
        <v>3</v>
      </c>
      <c r="D2001" s="195">
        <v>41.5</v>
      </c>
      <c r="E2001" s="705">
        <f t="shared" si="64"/>
        <v>5.2777777777777777</v>
      </c>
    </row>
    <row r="2002" spans="2:5">
      <c r="B2002" s="943">
        <v>45010</v>
      </c>
      <c r="C2002" s="195">
        <f t="shared" si="63"/>
        <v>3</v>
      </c>
      <c r="D2002" s="195">
        <v>41.7</v>
      </c>
      <c r="E2002" s="705">
        <f t="shared" si="64"/>
        <v>5.3888888888888902</v>
      </c>
    </row>
    <row r="2003" spans="2:5">
      <c r="B2003" s="943">
        <v>45010</v>
      </c>
      <c r="C2003" s="195">
        <f t="shared" si="63"/>
        <v>3</v>
      </c>
      <c r="D2003" s="195">
        <v>41.7</v>
      </c>
      <c r="E2003" s="705">
        <f t="shared" si="64"/>
        <v>5.3888888888888902</v>
      </c>
    </row>
    <row r="2004" spans="2:5">
      <c r="B2004" s="943">
        <v>45010</v>
      </c>
      <c r="C2004" s="195">
        <f t="shared" si="63"/>
        <v>3</v>
      </c>
      <c r="D2004" s="195">
        <v>41.7</v>
      </c>
      <c r="E2004" s="705">
        <f t="shared" si="64"/>
        <v>5.3888888888888902</v>
      </c>
    </row>
    <row r="2005" spans="2:5">
      <c r="B2005" s="943">
        <v>45010</v>
      </c>
      <c r="C2005" s="195">
        <f t="shared" si="63"/>
        <v>3</v>
      </c>
      <c r="D2005" s="195">
        <v>41.4</v>
      </c>
      <c r="E2005" s="705">
        <f t="shared" si="64"/>
        <v>5.2222222222222214</v>
      </c>
    </row>
    <row r="2006" spans="2:5">
      <c r="B2006" s="943">
        <v>45010</v>
      </c>
      <c r="C2006" s="195">
        <f t="shared" si="63"/>
        <v>3</v>
      </c>
      <c r="D2006" s="195" t="s">
        <v>1429</v>
      </c>
      <c r="E2006" s="705">
        <f t="shared" si="64"/>
        <v>5</v>
      </c>
    </row>
    <row r="2007" spans="2:5">
      <c r="B2007" s="943">
        <v>45010</v>
      </c>
      <c r="C2007" s="195">
        <f t="shared" si="63"/>
        <v>3</v>
      </c>
      <c r="D2007" s="195">
        <v>40.6</v>
      </c>
      <c r="E2007" s="705">
        <f t="shared" si="64"/>
        <v>4.7777777777777786</v>
      </c>
    </row>
    <row r="2008" spans="2:5">
      <c r="B2008" s="943">
        <v>45010</v>
      </c>
      <c r="C2008" s="195">
        <f t="shared" si="63"/>
        <v>3</v>
      </c>
      <c r="D2008" s="195">
        <v>40.5</v>
      </c>
      <c r="E2008" s="705">
        <f t="shared" si="64"/>
        <v>4.7222222222222223</v>
      </c>
    </row>
    <row r="2009" spans="2:5">
      <c r="B2009" s="943">
        <v>45010</v>
      </c>
      <c r="C2009" s="195">
        <f t="shared" si="63"/>
        <v>3</v>
      </c>
      <c r="D2009" s="195">
        <v>40.5</v>
      </c>
      <c r="E2009" s="705">
        <f t="shared" si="64"/>
        <v>4.7222222222222223</v>
      </c>
    </row>
    <row r="2010" spans="2:5">
      <c r="B2010" s="943">
        <v>45010</v>
      </c>
      <c r="C2010" s="195">
        <f t="shared" si="63"/>
        <v>3</v>
      </c>
      <c r="D2010" s="195">
        <v>40.5</v>
      </c>
      <c r="E2010" s="705">
        <f t="shared" si="64"/>
        <v>4.7222222222222223</v>
      </c>
    </row>
    <row r="2011" spans="2:5">
      <c r="B2011" s="943">
        <v>45010</v>
      </c>
      <c r="C2011" s="195">
        <f t="shared" si="63"/>
        <v>3</v>
      </c>
      <c r="D2011" s="195">
        <v>40.5</v>
      </c>
      <c r="E2011" s="705">
        <f t="shared" si="64"/>
        <v>4.7222222222222223</v>
      </c>
    </row>
    <row r="2012" spans="2:5">
      <c r="B2012" s="943">
        <v>45010</v>
      </c>
      <c r="C2012" s="195">
        <f t="shared" si="63"/>
        <v>3</v>
      </c>
      <c r="D2012" s="195">
        <v>40.6</v>
      </c>
      <c r="E2012" s="705">
        <f t="shared" si="64"/>
        <v>4.7777777777777786</v>
      </c>
    </row>
    <row r="2013" spans="2:5">
      <c r="B2013" s="943">
        <v>45010</v>
      </c>
      <c r="C2013" s="195">
        <f t="shared" si="63"/>
        <v>3</v>
      </c>
      <c r="D2013" s="195" t="s">
        <v>1429</v>
      </c>
      <c r="E2013" s="705">
        <f t="shared" si="64"/>
        <v>5</v>
      </c>
    </row>
    <row r="2014" spans="2:5">
      <c r="B2014" s="943">
        <v>45010</v>
      </c>
      <c r="C2014" s="195">
        <f t="shared" si="63"/>
        <v>3</v>
      </c>
      <c r="D2014" s="195">
        <v>41.2</v>
      </c>
      <c r="E2014" s="705">
        <f t="shared" si="64"/>
        <v>5.1111111111111125</v>
      </c>
    </row>
    <row r="2015" spans="2:5">
      <c r="B2015" s="943">
        <v>45010</v>
      </c>
      <c r="C2015" s="195">
        <f t="shared" si="63"/>
        <v>3</v>
      </c>
      <c r="D2015" s="195">
        <v>41.2</v>
      </c>
      <c r="E2015" s="705">
        <f t="shared" si="64"/>
        <v>5.1111111111111125</v>
      </c>
    </row>
    <row r="2016" spans="2:5">
      <c r="B2016" s="943">
        <v>45010</v>
      </c>
      <c r="C2016" s="195">
        <f t="shared" si="63"/>
        <v>3</v>
      </c>
      <c r="D2016" s="195">
        <v>41.4</v>
      </c>
      <c r="E2016" s="705">
        <f t="shared" si="64"/>
        <v>5.2222222222222214</v>
      </c>
    </row>
    <row r="2017" spans="2:5">
      <c r="B2017" s="943">
        <v>45010</v>
      </c>
      <c r="C2017" s="195">
        <f t="shared" si="63"/>
        <v>3</v>
      </c>
      <c r="D2017" s="195">
        <v>41.2</v>
      </c>
      <c r="E2017" s="705">
        <f t="shared" si="64"/>
        <v>5.1111111111111125</v>
      </c>
    </row>
    <row r="2018" spans="2:5">
      <c r="B2018" s="943">
        <v>45010</v>
      </c>
      <c r="C2018" s="195">
        <f t="shared" si="63"/>
        <v>3</v>
      </c>
      <c r="D2018" s="195" t="s">
        <v>1429</v>
      </c>
      <c r="E2018" s="705">
        <f t="shared" si="64"/>
        <v>5</v>
      </c>
    </row>
    <row r="2019" spans="2:5">
      <c r="B2019" s="943">
        <v>45010</v>
      </c>
      <c r="C2019" s="195">
        <f t="shared" si="63"/>
        <v>3</v>
      </c>
      <c r="D2019" s="195">
        <v>40.6</v>
      </c>
      <c r="E2019" s="705">
        <f t="shared" si="64"/>
        <v>4.7777777777777786</v>
      </c>
    </row>
    <row r="2020" spans="2:5">
      <c r="B2020" s="943">
        <v>45010</v>
      </c>
      <c r="C2020" s="195">
        <f t="shared" si="63"/>
        <v>3</v>
      </c>
      <c r="D2020" s="195">
        <v>40.5</v>
      </c>
      <c r="E2020" s="705">
        <f t="shared" si="64"/>
        <v>4.7222222222222223</v>
      </c>
    </row>
    <row r="2021" spans="2:5">
      <c r="B2021" s="943">
        <v>45010</v>
      </c>
      <c r="C2021" s="195">
        <f t="shared" si="63"/>
        <v>3</v>
      </c>
      <c r="D2021" s="195">
        <v>40.5</v>
      </c>
      <c r="E2021" s="705">
        <f t="shared" si="64"/>
        <v>4.7222222222222223</v>
      </c>
    </row>
    <row r="2022" spans="2:5">
      <c r="B2022" s="943">
        <v>45010</v>
      </c>
      <c r="C2022" s="195">
        <f t="shared" si="63"/>
        <v>3</v>
      </c>
      <c r="D2022" s="195">
        <v>40.5</v>
      </c>
      <c r="E2022" s="705">
        <f t="shared" si="64"/>
        <v>4.7222222222222223</v>
      </c>
    </row>
    <row r="2023" spans="2:5">
      <c r="B2023" s="943">
        <v>45010</v>
      </c>
      <c r="C2023" s="195">
        <f t="shared" si="63"/>
        <v>3</v>
      </c>
      <c r="D2023" s="195">
        <v>40.5</v>
      </c>
      <c r="E2023" s="705">
        <f t="shared" si="64"/>
        <v>4.7222222222222223</v>
      </c>
    </row>
    <row r="2024" spans="2:5">
      <c r="B2024" s="943">
        <v>45010</v>
      </c>
      <c r="C2024" s="195">
        <f t="shared" si="63"/>
        <v>3</v>
      </c>
      <c r="D2024" s="195">
        <v>40.5</v>
      </c>
      <c r="E2024" s="705">
        <f t="shared" si="64"/>
        <v>4.7222222222222223</v>
      </c>
    </row>
    <row r="2025" spans="2:5">
      <c r="B2025" s="943">
        <v>45011</v>
      </c>
      <c r="C2025" s="195">
        <f t="shared" si="63"/>
        <v>3</v>
      </c>
      <c r="D2025" s="195">
        <v>40.6</v>
      </c>
      <c r="E2025" s="705">
        <f t="shared" si="64"/>
        <v>4.7777777777777786</v>
      </c>
    </row>
    <row r="2026" spans="2:5">
      <c r="B2026" s="943">
        <v>45011</v>
      </c>
      <c r="C2026" s="195">
        <f t="shared" si="63"/>
        <v>3</v>
      </c>
      <c r="D2026" s="195">
        <v>40.799999999999997</v>
      </c>
      <c r="E2026" s="705">
        <f t="shared" si="64"/>
        <v>4.8888888888888875</v>
      </c>
    </row>
    <row r="2027" spans="2:5">
      <c r="B2027" s="943">
        <v>45011</v>
      </c>
      <c r="C2027" s="195">
        <f t="shared" si="63"/>
        <v>3</v>
      </c>
      <c r="D2027" s="195" t="s">
        <v>1429</v>
      </c>
      <c r="E2027" s="705">
        <f t="shared" si="64"/>
        <v>5</v>
      </c>
    </row>
    <row r="2028" spans="2:5">
      <c r="B2028" s="943">
        <v>45011</v>
      </c>
      <c r="C2028" s="195">
        <f t="shared" si="63"/>
        <v>3</v>
      </c>
      <c r="D2028" s="195" t="s">
        <v>1429</v>
      </c>
      <c r="E2028" s="705">
        <f t="shared" si="64"/>
        <v>5</v>
      </c>
    </row>
    <row r="2029" spans="2:5">
      <c r="B2029" s="943">
        <v>45011</v>
      </c>
      <c r="C2029" s="195">
        <f t="shared" si="63"/>
        <v>3</v>
      </c>
      <c r="D2029" s="195" t="s">
        <v>1429</v>
      </c>
      <c r="E2029" s="705">
        <f t="shared" si="64"/>
        <v>5</v>
      </c>
    </row>
    <row r="2030" spans="2:5">
      <c r="B2030" s="943">
        <v>45011</v>
      </c>
      <c r="C2030" s="195">
        <f t="shared" si="63"/>
        <v>3</v>
      </c>
      <c r="D2030" s="195">
        <v>40.6</v>
      </c>
      <c r="E2030" s="705">
        <f t="shared" si="64"/>
        <v>4.7777777777777786</v>
      </c>
    </row>
    <row r="2031" spans="2:5">
      <c r="B2031" s="943">
        <v>45011</v>
      </c>
      <c r="C2031" s="195">
        <f t="shared" si="63"/>
        <v>3</v>
      </c>
      <c r="D2031" s="195">
        <v>40.5</v>
      </c>
      <c r="E2031" s="705">
        <f t="shared" si="64"/>
        <v>4.7222222222222223</v>
      </c>
    </row>
    <row r="2032" spans="2:5">
      <c r="B2032" s="943">
        <v>45011</v>
      </c>
      <c r="C2032" s="195">
        <f t="shared" si="63"/>
        <v>3</v>
      </c>
      <c r="D2032" s="195">
        <v>40.299999999999997</v>
      </c>
      <c r="E2032" s="705">
        <f t="shared" si="64"/>
        <v>4.6111111111111098</v>
      </c>
    </row>
    <row r="2033" spans="2:5">
      <c r="B2033" s="943">
        <v>45011</v>
      </c>
      <c r="C2033" s="195">
        <f t="shared" si="63"/>
        <v>3</v>
      </c>
      <c r="D2033" s="195">
        <v>40.299999999999997</v>
      </c>
      <c r="E2033" s="705">
        <f t="shared" si="64"/>
        <v>4.6111111111111098</v>
      </c>
    </row>
    <row r="2034" spans="2:5">
      <c r="B2034" s="943">
        <v>45011</v>
      </c>
      <c r="C2034" s="195">
        <f t="shared" si="63"/>
        <v>3</v>
      </c>
      <c r="D2034" s="195">
        <v>40.299999999999997</v>
      </c>
      <c r="E2034" s="705">
        <f t="shared" si="64"/>
        <v>4.6111111111111098</v>
      </c>
    </row>
    <row r="2035" spans="2:5">
      <c r="B2035" s="943">
        <v>45011</v>
      </c>
      <c r="C2035" s="195">
        <f t="shared" si="63"/>
        <v>3</v>
      </c>
      <c r="D2035" s="195">
        <v>40.299999999999997</v>
      </c>
      <c r="E2035" s="705">
        <f t="shared" si="64"/>
        <v>4.6111111111111098</v>
      </c>
    </row>
    <row r="2036" spans="2:5">
      <c r="B2036" s="943">
        <v>45011</v>
      </c>
      <c r="C2036" s="195">
        <f t="shared" si="63"/>
        <v>3</v>
      </c>
      <c r="D2036" s="195">
        <v>40.5</v>
      </c>
      <c r="E2036" s="705">
        <f t="shared" si="64"/>
        <v>4.7222222222222223</v>
      </c>
    </row>
    <row r="2037" spans="2:5">
      <c r="B2037" s="943">
        <v>45011</v>
      </c>
      <c r="C2037" s="195">
        <f t="shared" si="63"/>
        <v>3</v>
      </c>
      <c r="D2037" s="195">
        <v>40.5</v>
      </c>
      <c r="E2037" s="705">
        <f t="shared" si="64"/>
        <v>4.7222222222222223</v>
      </c>
    </row>
    <row r="2038" spans="2:5">
      <c r="B2038" s="943">
        <v>45011</v>
      </c>
      <c r="C2038" s="195">
        <f t="shared" si="63"/>
        <v>3</v>
      </c>
      <c r="D2038" s="195">
        <v>40.799999999999997</v>
      </c>
      <c r="E2038" s="705">
        <f t="shared" si="64"/>
        <v>4.8888888888888875</v>
      </c>
    </row>
    <row r="2039" spans="2:5">
      <c r="B2039" s="943">
        <v>45011</v>
      </c>
      <c r="C2039" s="195">
        <f t="shared" si="63"/>
        <v>3</v>
      </c>
      <c r="D2039" s="195" t="s">
        <v>1429</v>
      </c>
      <c r="E2039" s="705">
        <f t="shared" si="64"/>
        <v>5</v>
      </c>
    </row>
    <row r="2040" spans="2:5">
      <c r="B2040" s="943">
        <v>45011</v>
      </c>
      <c r="C2040" s="195">
        <f t="shared" si="63"/>
        <v>3</v>
      </c>
      <c r="D2040" s="195" t="s">
        <v>1429</v>
      </c>
      <c r="E2040" s="705">
        <f t="shared" si="64"/>
        <v>5</v>
      </c>
    </row>
    <row r="2041" spans="2:5">
      <c r="B2041" s="943">
        <v>45011</v>
      </c>
      <c r="C2041" s="195">
        <f t="shared" si="63"/>
        <v>3</v>
      </c>
      <c r="D2041" s="195">
        <v>41.2</v>
      </c>
      <c r="E2041" s="705">
        <f t="shared" si="64"/>
        <v>5.1111111111111125</v>
      </c>
    </row>
    <row r="2042" spans="2:5">
      <c r="B2042" s="943">
        <v>45011</v>
      </c>
      <c r="C2042" s="195">
        <f t="shared" si="63"/>
        <v>3</v>
      </c>
      <c r="D2042" s="195" t="s">
        <v>1429</v>
      </c>
      <c r="E2042" s="705">
        <f t="shared" si="64"/>
        <v>5</v>
      </c>
    </row>
    <row r="2043" spans="2:5">
      <c r="B2043" s="943">
        <v>45011</v>
      </c>
      <c r="C2043" s="195">
        <f t="shared" si="63"/>
        <v>3</v>
      </c>
      <c r="D2043" s="195">
        <v>40.799999999999997</v>
      </c>
      <c r="E2043" s="705">
        <f t="shared" si="64"/>
        <v>4.8888888888888875</v>
      </c>
    </row>
    <row r="2044" spans="2:5">
      <c r="B2044" s="943">
        <v>45011</v>
      </c>
      <c r="C2044" s="195">
        <f t="shared" si="63"/>
        <v>3</v>
      </c>
      <c r="D2044" s="195">
        <v>40.6</v>
      </c>
      <c r="E2044" s="705">
        <f t="shared" si="64"/>
        <v>4.7777777777777786</v>
      </c>
    </row>
    <row r="2045" spans="2:5">
      <c r="B2045" s="943">
        <v>45011</v>
      </c>
      <c r="C2045" s="195">
        <f t="shared" si="63"/>
        <v>3</v>
      </c>
      <c r="D2045" s="195">
        <v>40.6</v>
      </c>
      <c r="E2045" s="705">
        <f t="shared" si="64"/>
        <v>4.7777777777777786</v>
      </c>
    </row>
    <row r="2046" spans="2:5">
      <c r="B2046" s="943">
        <v>45011</v>
      </c>
      <c r="C2046" s="195">
        <f t="shared" si="63"/>
        <v>3</v>
      </c>
      <c r="D2046" s="195">
        <v>40.6</v>
      </c>
      <c r="E2046" s="705">
        <f t="shared" si="64"/>
        <v>4.7777777777777786</v>
      </c>
    </row>
    <row r="2047" spans="2:5">
      <c r="B2047" s="943">
        <v>45011</v>
      </c>
      <c r="C2047" s="195">
        <f t="shared" si="63"/>
        <v>3</v>
      </c>
      <c r="D2047" s="195">
        <v>40.6</v>
      </c>
      <c r="E2047" s="705">
        <f t="shared" si="64"/>
        <v>4.7777777777777786</v>
      </c>
    </row>
    <row r="2048" spans="2:5">
      <c r="B2048" s="943">
        <v>45011</v>
      </c>
      <c r="C2048" s="195">
        <f t="shared" si="63"/>
        <v>3</v>
      </c>
      <c r="D2048" s="195">
        <v>40.6</v>
      </c>
      <c r="E2048" s="705">
        <f t="shared" si="64"/>
        <v>4.7777777777777786</v>
      </c>
    </row>
    <row r="2049" spans="2:5">
      <c r="B2049" s="943">
        <v>45012</v>
      </c>
      <c r="C2049" s="195">
        <f t="shared" si="63"/>
        <v>3</v>
      </c>
      <c r="D2049" s="195">
        <v>40.799999999999997</v>
      </c>
      <c r="E2049" s="705">
        <f t="shared" si="64"/>
        <v>4.8888888888888875</v>
      </c>
    </row>
    <row r="2050" spans="2:5">
      <c r="B2050" s="943">
        <v>45012</v>
      </c>
      <c r="C2050" s="195">
        <f t="shared" si="63"/>
        <v>3</v>
      </c>
      <c r="D2050" s="195" t="s">
        <v>1429</v>
      </c>
      <c r="E2050" s="705">
        <f t="shared" si="64"/>
        <v>5</v>
      </c>
    </row>
    <row r="2051" spans="2:5">
      <c r="B2051" s="943">
        <v>45012</v>
      </c>
      <c r="C2051" s="195">
        <f t="shared" si="63"/>
        <v>3</v>
      </c>
      <c r="D2051" s="195">
        <v>41.2</v>
      </c>
      <c r="E2051" s="705">
        <f t="shared" si="64"/>
        <v>5.1111111111111125</v>
      </c>
    </row>
    <row r="2052" spans="2:5">
      <c r="B2052" s="943">
        <v>45012</v>
      </c>
      <c r="C2052" s="195">
        <f t="shared" si="63"/>
        <v>3</v>
      </c>
      <c r="D2052" s="195">
        <v>41.4</v>
      </c>
      <c r="E2052" s="705">
        <f t="shared" si="64"/>
        <v>5.2222222222222214</v>
      </c>
    </row>
    <row r="2053" spans="2:5">
      <c r="B2053" s="943">
        <v>45012</v>
      </c>
      <c r="C2053" s="195">
        <f t="shared" si="63"/>
        <v>3</v>
      </c>
      <c r="D2053" s="195">
        <v>41.4</v>
      </c>
      <c r="E2053" s="705">
        <f t="shared" si="64"/>
        <v>5.2222222222222214</v>
      </c>
    </row>
    <row r="2054" spans="2:5">
      <c r="B2054" s="943">
        <v>45012</v>
      </c>
      <c r="C2054" s="195">
        <f t="shared" si="63"/>
        <v>3</v>
      </c>
      <c r="D2054" s="195">
        <v>41.4</v>
      </c>
      <c r="E2054" s="705">
        <f t="shared" si="64"/>
        <v>5.2222222222222214</v>
      </c>
    </row>
    <row r="2055" spans="2:5">
      <c r="B2055" s="943">
        <v>45012</v>
      </c>
      <c r="C2055" s="195">
        <f t="shared" si="63"/>
        <v>3</v>
      </c>
      <c r="D2055" s="195" t="s">
        <v>1429</v>
      </c>
      <c r="E2055" s="705">
        <f t="shared" si="64"/>
        <v>5</v>
      </c>
    </row>
    <row r="2056" spans="2:5">
      <c r="B2056" s="943">
        <v>45012</v>
      </c>
      <c r="C2056" s="195">
        <f t="shared" si="63"/>
        <v>3</v>
      </c>
      <c r="D2056" s="195">
        <v>40.799999999999997</v>
      </c>
      <c r="E2056" s="705">
        <f t="shared" si="64"/>
        <v>4.8888888888888875</v>
      </c>
    </row>
    <row r="2057" spans="2:5">
      <c r="B2057" s="943">
        <v>45012</v>
      </c>
      <c r="C2057" s="195">
        <f t="shared" si="63"/>
        <v>3</v>
      </c>
      <c r="D2057" s="195">
        <v>40.6</v>
      </c>
      <c r="E2057" s="705">
        <f t="shared" si="64"/>
        <v>4.7777777777777786</v>
      </c>
    </row>
    <row r="2058" spans="2:5">
      <c r="B2058" s="943">
        <v>45012</v>
      </c>
      <c r="C2058" s="195">
        <f t="shared" ref="C2058:C2121" si="65">MONTH(B2058)</f>
        <v>3</v>
      </c>
      <c r="D2058" s="195">
        <v>40.5</v>
      </c>
      <c r="E2058" s="705">
        <f t="shared" ref="E2058:E2121" si="66">CONVERT(D2058,"F","C")</f>
        <v>4.7222222222222223</v>
      </c>
    </row>
    <row r="2059" spans="2:5">
      <c r="B2059" s="943">
        <v>45012</v>
      </c>
      <c r="C2059" s="195">
        <f t="shared" si="65"/>
        <v>3</v>
      </c>
      <c r="D2059" s="195">
        <v>40.5</v>
      </c>
      <c r="E2059" s="705">
        <f t="shared" si="66"/>
        <v>4.7222222222222223</v>
      </c>
    </row>
    <row r="2060" spans="2:5">
      <c r="B2060" s="943">
        <v>45012</v>
      </c>
      <c r="C2060" s="195">
        <f t="shared" si="65"/>
        <v>3</v>
      </c>
      <c r="D2060" s="195">
        <v>40.5</v>
      </c>
      <c r="E2060" s="705">
        <f t="shared" si="66"/>
        <v>4.7222222222222223</v>
      </c>
    </row>
    <row r="2061" spans="2:5">
      <c r="B2061" s="943">
        <v>45012</v>
      </c>
      <c r="C2061" s="195">
        <f t="shared" si="65"/>
        <v>3</v>
      </c>
      <c r="D2061" s="195">
        <v>40.6</v>
      </c>
      <c r="E2061" s="705">
        <f t="shared" si="66"/>
        <v>4.7777777777777786</v>
      </c>
    </row>
    <row r="2062" spans="2:5">
      <c r="B2062" s="943">
        <v>45012</v>
      </c>
      <c r="C2062" s="195">
        <f t="shared" si="65"/>
        <v>3</v>
      </c>
      <c r="D2062" s="195">
        <v>40.799999999999997</v>
      </c>
      <c r="E2062" s="705">
        <f t="shared" si="66"/>
        <v>4.8888888888888875</v>
      </c>
    </row>
    <row r="2063" spans="2:5">
      <c r="B2063" s="943">
        <v>45012</v>
      </c>
      <c r="C2063" s="195">
        <f t="shared" si="65"/>
        <v>3</v>
      </c>
      <c r="D2063" s="195" t="s">
        <v>1429</v>
      </c>
      <c r="E2063" s="705">
        <f t="shared" si="66"/>
        <v>5</v>
      </c>
    </row>
    <row r="2064" spans="2:5">
      <c r="B2064" s="943">
        <v>45012</v>
      </c>
      <c r="C2064" s="195">
        <f t="shared" si="65"/>
        <v>3</v>
      </c>
      <c r="D2064" s="195">
        <v>41.4</v>
      </c>
      <c r="E2064" s="705">
        <f t="shared" si="66"/>
        <v>5.2222222222222214</v>
      </c>
    </row>
    <row r="2065" spans="2:5">
      <c r="B2065" s="943">
        <v>45012</v>
      </c>
      <c r="C2065" s="195">
        <f t="shared" si="65"/>
        <v>3</v>
      </c>
      <c r="D2065" s="195">
        <v>41.4</v>
      </c>
      <c r="E2065" s="705">
        <f t="shared" si="66"/>
        <v>5.2222222222222214</v>
      </c>
    </row>
    <row r="2066" spans="2:5">
      <c r="B2066" s="943">
        <v>45012</v>
      </c>
      <c r="C2066" s="195">
        <f t="shared" si="65"/>
        <v>3</v>
      </c>
      <c r="D2066" s="195">
        <v>41.7</v>
      </c>
      <c r="E2066" s="705">
        <f t="shared" si="66"/>
        <v>5.3888888888888902</v>
      </c>
    </row>
    <row r="2067" spans="2:5">
      <c r="B2067" s="943">
        <v>45012</v>
      </c>
      <c r="C2067" s="195">
        <f t="shared" si="65"/>
        <v>3</v>
      </c>
      <c r="D2067" s="195">
        <v>41.4</v>
      </c>
      <c r="E2067" s="705">
        <f t="shared" si="66"/>
        <v>5.2222222222222214</v>
      </c>
    </row>
    <row r="2068" spans="2:5">
      <c r="B2068" s="943">
        <v>45012</v>
      </c>
      <c r="C2068" s="195">
        <f t="shared" si="65"/>
        <v>3</v>
      </c>
      <c r="D2068" s="195">
        <v>40.799999999999997</v>
      </c>
      <c r="E2068" s="705">
        <f t="shared" si="66"/>
        <v>4.8888888888888875</v>
      </c>
    </row>
    <row r="2069" spans="2:5">
      <c r="B2069" s="943">
        <v>45012</v>
      </c>
      <c r="C2069" s="195">
        <f t="shared" si="65"/>
        <v>3</v>
      </c>
      <c r="D2069" s="195" t="s">
        <v>1429</v>
      </c>
      <c r="E2069" s="705">
        <f t="shared" si="66"/>
        <v>5</v>
      </c>
    </row>
    <row r="2070" spans="2:5">
      <c r="B2070" s="943">
        <v>45012</v>
      </c>
      <c r="C2070" s="195">
        <f t="shared" si="65"/>
        <v>3</v>
      </c>
      <c r="D2070" s="195" t="s">
        <v>1429</v>
      </c>
      <c r="E2070" s="705">
        <f t="shared" si="66"/>
        <v>5</v>
      </c>
    </row>
    <row r="2071" spans="2:5">
      <c r="B2071" s="943">
        <v>45012</v>
      </c>
      <c r="C2071" s="195">
        <f t="shared" si="65"/>
        <v>3</v>
      </c>
      <c r="D2071" s="195">
        <v>40.799999999999997</v>
      </c>
      <c r="E2071" s="705">
        <f t="shared" si="66"/>
        <v>4.8888888888888875</v>
      </c>
    </row>
    <row r="2072" spans="2:5">
      <c r="B2072" s="943">
        <v>45012</v>
      </c>
      <c r="C2072" s="195">
        <f t="shared" si="65"/>
        <v>3</v>
      </c>
      <c r="D2072" s="195">
        <v>41.2</v>
      </c>
      <c r="E2072" s="705">
        <f t="shared" si="66"/>
        <v>5.1111111111111125</v>
      </c>
    </row>
    <row r="2073" spans="2:5">
      <c r="B2073" s="943">
        <v>45013</v>
      </c>
      <c r="C2073" s="195">
        <f t="shared" si="65"/>
        <v>3</v>
      </c>
      <c r="D2073" s="195">
        <v>41.2</v>
      </c>
      <c r="E2073" s="705">
        <f t="shared" si="66"/>
        <v>5.1111111111111125</v>
      </c>
    </row>
    <row r="2074" spans="2:5">
      <c r="B2074" s="943">
        <v>45013</v>
      </c>
      <c r="C2074" s="195">
        <f t="shared" si="65"/>
        <v>3</v>
      </c>
      <c r="D2074" s="195">
        <v>41.2</v>
      </c>
      <c r="E2074" s="705">
        <f t="shared" si="66"/>
        <v>5.1111111111111125</v>
      </c>
    </row>
    <row r="2075" spans="2:5">
      <c r="B2075" s="943">
        <v>45013</v>
      </c>
      <c r="C2075" s="195">
        <f t="shared" si="65"/>
        <v>3</v>
      </c>
      <c r="D2075" s="195">
        <v>41.4</v>
      </c>
      <c r="E2075" s="705">
        <f t="shared" si="66"/>
        <v>5.2222222222222214</v>
      </c>
    </row>
    <row r="2076" spans="2:5">
      <c r="B2076" s="943">
        <v>45013</v>
      </c>
      <c r="C2076" s="195">
        <f t="shared" si="65"/>
        <v>3</v>
      </c>
      <c r="D2076" s="195">
        <v>41.7</v>
      </c>
      <c r="E2076" s="705">
        <f t="shared" si="66"/>
        <v>5.3888888888888902</v>
      </c>
    </row>
    <row r="2077" spans="2:5">
      <c r="B2077" s="943">
        <v>45013</v>
      </c>
      <c r="C2077" s="195">
        <f t="shared" si="65"/>
        <v>3</v>
      </c>
      <c r="D2077" s="195">
        <v>41.7</v>
      </c>
      <c r="E2077" s="705">
        <f t="shared" si="66"/>
        <v>5.3888888888888902</v>
      </c>
    </row>
    <row r="2078" spans="2:5">
      <c r="B2078" s="943">
        <v>45013</v>
      </c>
      <c r="C2078" s="195">
        <f t="shared" si="65"/>
        <v>3</v>
      </c>
      <c r="D2078" s="195">
        <v>41.7</v>
      </c>
      <c r="E2078" s="705">
        <f t="shared" si="66"/>
        <v>5.3888888888888902</v>
      </c>
    </row>
    <row r="2079" spans="2:5">
      <c r="B2079" s="943">
        <v>45013</v>
      </c>
      <c r="C2079" s="195">
        <f t="shared" si="65"/>
        <v>3</v>
      </c>
      <c r="D2079" s="195">
        <v>41.5</v>
      </c>
      <c r="E2079" s="705">
        <f t="shared" si="66"/>
        <v>5.2777777777777777</v>
      </c>
    </row>
    <row r="2080" spans="2:5">
      <c r="B2080" s="943">
        <v>45013</v>
      </c>
      <c r="C2080" s="195">
        <f t="shared" si="65"/>
        <v>3</v>
      </c>
      <c r="D2080" s="195">
        <v>41.4</v>
      </c>
      <c r="E2080" s="705">
        <f t="shared" si="66"/>
        <v>5.2222222222222214</v>
      </c>
    </row>
    <row r="2081" spans="2:5">
      <c r="B2081" s="943">
        <v>45013</v>
      </c>
      <c r="C2081" s="195">
        <f t="shared" si="65"/>
        <v>3</v>
      </c>
      <c r="D2081" s="195">
        <v>41.2</v>
      </c>
      <c r="E2081" s="705">
        <f t="shared" si="66"/>
        <v>5.1111111111111125</v>
      </c>
    </row>
    <row r="2082" spans="2:5">
      <c r="B2082" s="943">
        <v>45013</v>
      </c>
      <c r="C2082" s="195">
        <f t="shared" si="65"/>
        <v>3</v>
      </c>
      <c r="D2082" s="195" t="s">
        <v>1429</v>
      </c>
      <c r="E2082" s="705">
        <f t="shared" si="66"/>
        <v>5</v>
      </c>
    </row>
    <row r="2083" spans="2:5">
      <c r="B2083" s="943">
        <v>45013</v>
      </c>
      <c r="C2083" s="195">
        <f t="shared" si="65"/>
        <v>3</v>
      </c>
      <c r="D2083" s="195" t="s">
        <v>1429</v>
      </c>
      <c r="E2083" s="705">
        <f t="shared" si="66"/>
        <v>5</v>
      </c>
    </row>
    <row r="2084" spans="2:5">
      <c r="B2084" s="943">
        <v>45013</v>
      </c>
      <c r="C2084" s="195">
        <f t="shared" si="65"/>
        <v>3</v>
      </c>
      <c r="D2084" s="195">
        <v>40.799999999999997</v>
      </c>
      <c r="E2084" s="705">
        <f t="shared" si="66"/>
        <v>4.8888888888888875</v>
      </c>
    </row>
    <row r="2085" spans="2:5">
      <c r="B2085" s="943">
        <v>45013</v>
      </c>
      <c r="C2085" s="195">
        <f t="shared" si="65"/>
        <v>3</v>
      </c>
      <c r="D2085" s="195" t="s">
        <v>1429</v>
      </c>
      <c r="E2085" s="705">
        <f t="shared" si="66"/>
        <v>5</v>
      </c>
    </row>
    <row r="2086" spans="2:5">
      <c r="B2086" s="943">
        <v>45013</v>
      </c>
      <c r="C2086" s="195">
        <f t="shared" si="65"/>
        <v>3</v>
      </c>
      <c r="D2086" s="195" t="s">
        <v>1429</v>
      </c>
      <c r="E2086" s="705">
        <f t="shared" si="66"/>
        <v>5</v>
      </c>
    </row>
    <row r="2087" spans="2:5">
      <c r="B2087" s="943">
        <v>45013</v>
      </c>
      <c r="C2087" s="195">
        <f t="shared" si="65"/>
        <v>3</v>
      </c>
      <c r="D2087" s="195">
        <v>41.4</v>
      </c>
      <c r="E2087" s="705">
        <f t="shared" si="66"/>
        <v>5.2222222222222214</v>
      </c>
    </row>
    <row r="2088" spans="2:5">
      <c r="B2088" s="943">
        <v>45013</v>
      </c>
      <c r="C2088" s="195">
        <f t="shared" si="65"/>
        <v>3</v>
      </c>
      <c r="D2088" s="195">
        <v>41.5</v>
      </c>
      <c r="E2088" s="705">
        <f t="shared" si="66"/>
        <v>5.2777777777777777</v>
      </c>
    </row>
    <row r="2089" spans="2:5">
      <c r="B2089" s="943">
        <v>45013</v>
      </c>
      <c r="C2089" s="195">
        <f t="shared" si="65"/>
        <v>3</v>
      </c>
      <c r="D2089" s="195">
        <v>41.7</v>
      </c>
      <c r="E2089" s="705">
        <f t="shared" si="66"/>
        <v>5.3888888888888902</v>
      </c>
    </row>
    <row r="2090" spans="2:5">
      <c r="B2090" s="943">
        <v>45013</v>
      </c>
      <c r="C2090" s="195">
        <f t="shared" si="65"/>
        <v>3</v>
      </c>
      <c r="D2090" s="195">
        <v>41.9</v>
      </c>
      <c r="E2090" s="705">
        <f t="shared" si="66"/>
        <v>5.4999999999999991</v>
      </c>
    </row>
    <row r="2091" spans="2:5">
      <c r="B2091" s="943">
        <v>45013</v>
      </c>
      <c r="C2091" s="195">
        <f t="shared" si="65"/>
        <v>3</v>
      </c>
      <c r="D2091" s="195">
        <v>42.1</v>
      </c>
      <c r="E2091" s="705">
        <f t="shared" si="66"/>
        <v>5.6111111111111116</v>
      </c>
    </row>
    <row r="2092" spans="2:5">
      <c r="B2092" s="943">
        <v>45013</v>
      </c>
      <c r="C2092" s="195">
        <f t="shared" si="65"/>
        <v>3</v>
      </c>
      <c r="D2092" s="195">
        <v>41.7</v>
      </c>
      <c r="E2092" s="705">
        <f t="shared" si="66"/>
        <v>5.3888888888888902</v>
      </c>
    </row>
    <row r="2093" spans="2:5">
      <c r="B2093" s="943">
        <v>45013</v>
      </c>
      <c r="C2093" s="195">
        <f t="shared" si="65"/>
        <v>3</v>
      </c>
      <c r="D2093" s="195">
        <v>41.2</v>
      </c>
      <c r="E2093" s="705">
        <f t="shared" si="66"/>
        <v>5.1111111111111125</v>
      </c>
    </row>
    <row r="2094" spans="2:5">
      <c r="B2094" s="943">
        <v>45013</v>
      </c>
      <c r="C2094" s="195">
        <f t="shared" si="65"/>
        <v>3</v>
      </c>
      <c r="D2094" s="195" t="s">
        <v>1429</v>
      </c>
      <c r="E2094" s="705">
        <f t="shared" si="66"/>
        <v>5</v>
      </c>
    </row>
    <row r="2095" spans="2:5">
      <c r="B2095" s="943">
        <v>45013</v>
      </c>
      <c r="C2095" s="195">
        <f t="shared" si="65"/>
        <v>3</v>
      </c>
      <c r="D2095" s="195" t="s">
        <v>1429</v>
      </c>
      <c r="E2095" s="705">
        <f t="shared" si="66"/>
        <v>5</v>
      </c>
    </row>
    <row r="2096" spans="2:5">
      <c r="B2096" s="943">
        <v>45013</v>
      </c>
      <c r="C2096" s="195">
        <f t="shared" si="65"/>
        <v>3</v>
      </c>
      <c r="D2096" s="195" t="s">
        <v>1429</v>
      </c>
      <c r="E2096" s="705">
        <f t="shared" si="66"/>
        <v>5</v>
      </c>
    </row>
    <row r="2097" spans="2:5">
      <c r="B2097" s="943">
        <v>45014</v>
      </c>
      <c r="C2097" s="195">
        <f t="shared" si="65"/>
        <v>3</v>
      </c>
      <c r="D2097" s="195">
        <v>41.2</v>
      </c>
      <c r="E2097" s="705">
        <f t="shared" si="66"/>
        <v>5.1111111111111125</v>
      </c>
    </row>
    <row r="2098" spans="2:5">
      <c r="B2098" s="943">
        <v>45014</v>
      </c>
      <c r="C2098" s="195">
        <f t="shared" si="65"/>
        <v>3</v>
      </c>
      <c r="D2098" s="195">
        <v>41.2</v>
      </c>
      <c r="E2098" s="705">
        <f t="shared" si="66"/>
        <v>5.1111111111111125</v>
      </c>
    </row>
    <row r="2099" spans="2:5">
      <c r="B2099" s="943">
        <v>45014</v>
      </c>
      <c r="C2099" s="195">
        <f t="shared" si="65"/>
        <v>3</v>
      </c>
      <c r="D2099" s="195">
        <v>41.4</v>
      </c>
      <c r="E2099" s="705">
        <f t="shared" si="66"/>
        <v>5.2222222222222214</v>
      </c>
    </row>
    <row r="2100" spans="2:5">
      <c r="B2100" s="943">
        <v>45014</v>
      </c>
      <c r="C2100" s="195">
        <f t="shared" si="65"/>
        <v>3</v>
      </c>
      <c r="D2100" s="195">
        <v>41.5</v>
      </c>
      <c r="E2100" s="705">
        <f t="shared" si="66"/>
        <v>5.2777777777777777</v>
      </c>
    </row>
    <row r="2101" spans="2:5">
      <c r="B2101" s="943">
        <v>45014</v>
      </c>
      <c r="C2101" s="195">
        <f t="shared" si="65"/>
        <v>3</v>
      </c>
      <c r="D2101" s="195">
        <v>41.7</v>
      </c>
      <c r="E2101" s="705">
        <f t="shared" si="66"/>
        <v>5.3888888888888902</v>
      </c>
    </row>
    <row r="2102" spans="2:5">
      <c r="B2102" s="943">
        <v>45014</v>
      </c>
      <c r="C2102" s="195">
        <f t="shared" si="65"/>
        <v>3</v>
      </c>
      <c r="D2102" s="195">
        <v>41.9</v>
      </c>
      <c r="E2102" s="705">
        <f t="shared" si="66"/>
        <v>5.4999999999999991</v>
      </c>
    </row>
    <row r="2103" spans="2:5">
      <c r="B2103" s="943">
        <v>45014</v>
      </c>
      <c r="C2103" s="195">
        <f t="shared" si="65"/>
        <v>3</v>
      </c>
      <c r="D2103" s="195">
        <v>41.7</v>
      </c>
      <c r="E2103" s="705">
        <f t="shared" si="66"/>
        <v>5.3888888888888902</v>
      </c>
    </row>
    <row r="2104" spans="2:5">
      <c r="B2104" s="943">
        <v>45014</v>
      </c>
      <c r="C2104" s="195">
        <f t="shared" si="65"/>
        <v>3</v>
      </c>
      <c r="D2104" s="195">
        <v>41.7</v>
      </c>
      <c r="E2104" s="705">
        <f t="shared" si="66"/>
        <v>5.3888888888888902</v>
      </c>
    </row>
    <row r="2105" spans="2:5">
      <c r="B2105" s="943">
        <v>45014</v>
      </c>
      <c r="C2105" s="195">
        <f t="shared" si="65"/>
        <v>3</v>
      </c>
      <c r="D2105" s="195">
        <v>41.4</v>
      </c>
      <c r="E2105" s="705">
        <f t="shared" si="66"/>
        <v>5.2222222222222214</v>
      </c>
    </row>
    <row r="2106" spans="2:5">
      <c r="B2106" s="943">
        <v>45014</v>
      </c>
      <c r="C2106" s="195">
        <f t="shared" si="65"/>
        <v>3</v>
      </c>
      <c r="D2106" s="195">
        <v>41.2</v>
      </c>
      <c r="E2106" s="705">
        <f t="shared" si="66"/>
        <v>5.1111111111111125</v>
      </c>
    </row>
    <row r="2107" spans="2:5">
      <c r="B2107" s="943">
        <v>45014</v>
      </c>
      <c r="C2107" s="195">
        <f t="shared" si="65"/>
        <v>3</v>
      </c>
      <c r="D2107" s="195">
        <v>41.2</v>
      </c>
      <c r="E2107" s="705">
        <f t="shared" si="66"/>
        <v>5.1111111111111125</v>
      </c>
    </row>
    <row r="2108" spans="2:5">
      <c r="B2108" s="943">
        <v>45014</v>
      </c>
      <c r="C2108" s="195">
        <f t="shared" si="65"/>
        <v>3</v>
      </c>
      <c r="D2108" s="195">
        <v>41.2</v>
      </c>
      <c r="E2108" s="705">
        <f t="shared" si="66"/>
        <v>5.1111111111111125</v>
      </c>
    </row>
    <row r="2109" spans="2:5">
      <c r="B2109" s="943">
        <v>45014</v>
      </c>
      <c r="C2109" s="195">
        <f t="shared" si="65"/>
        <v>3</v>
      </c>
      <c r="D2109" s="195">
        <v>41.2</v>
      </c>
      <c r="E2109" s="705">
        <f t="shared" si="66"/>
        <v>5.1111111111111125</v>
      </c>
    </row>
    <row r="2110" spans="2:5">
      <c r="B2110" s="943">
        <v>45014</v>
      </c>
      <c r="C2110" s="195">
        <f t="shared" si="65"/>
        <v>3</v>
      </c>
      <c r="D2110" s="195">
        <v>41.2</v>
      </c>
      <c r="E2110" s="705">
        <f t="shared" si="66"/>
        <v>5.1111111111111125</v>
      </c>
    </row>
    <row r="2111" spans="2:5">
      <c r="B2111" s="943">
        <v>45014</v>
      </c>
      <c r="C2111" s="195">
        <f t="shared" si="65"/>
        <v>3</v>
      </c>
      <c r="D2111" s="195">
        <v>41.2</v>
      </c>
      <c r="E2111" s="705">
        <f t="shared" si="66"/>
        <v>5.1111111111111125</v>
      </c>
    </row>
    <row r="2112" spans="2:5">
      <c r="B2112" s="943">
        <v>45014</v>
      </c>
      <c r="C2112" s="195">
        <f t="shared" si="65"/>
        <v>3</v>
      </c>
      <c r="D2112" s="195">
        <v>41.4</v>
      </c>
      <c r="E2112" s="705">
        <f t="shared" si="66"/>
        <v>5.2222222222222214</v>
      </c>
    </row>
    <row r="2113" spans="2:5">
      <c r="B2113" s="943">
        <v>45014</v>
      </c>
      <c r="C2113" s="195">
        <f t="shared" si="65"/>
        <v>3</v>
      </c>
      <c r="D2113" s="195">
        <v>41.7</v>
      </c>
      <c r="E2113" s="705">
        <f t="shared" si="66"/>
        <v>5.3888888888888902</v>
      </c>
    </row>
    <row r="2114" spans="2:5">
      <c r="B2114" s="943">
        <v>45014</v>
      </c>
      <c r="C2114" s="195">
        <f t="shared" si="65"/>
        <v>3</v>
      </c>
      <c r="D2114" s="195">
        <v>42.1</v>
      </c>
      <c r="E2114" s="705">
        <f t="shared" si="66"/>
        <v>5.6111111111111116</v>
      </c>
    </row>
    <row r="2115" spans="2:5">
      <c r="B2115" s="943">
        <v>45014</v>
      </c>
      <c r="C2115" s="195">
        <f t="shared" si="65"/>
        <v>3</v>
      </c>
      <c r="D2115" s="195">
        <v>42.3</v>
      </c>
      <c r="E2115" s="705">
        <f t="shared" si="66"/>
        <v>5.7222222222222205</v>
      </c>
    </row>
    <row r="2116" spans="2:5">
      <c r="B2116" s="943">
        <v>45014</v>
      </c>
      <c r="C2116" s="195">
        <f t="shared" si="65"/>
        <v>3</v>
      </c>
      <c r="D2116" s="195">
        <v>42.4</v>
      </c>
      <c r="E2116" s="705">
        <f t="shared" si="66"/>
        <v>5.7777777777777768</v>
      </c>
    </row>
    <row r="2117" spans="2:5">
      <c r="B2117" s="943">
        <v>45014</v>
      </c>
      <c r="C2117" s="195">
        <f t="shared" si="65"/>
        <v>3</v>
      </c>
      <c r="D2117" s="195">
        <v>42.1</v>
      </c>
      <c r="E2117" s="705">
        <f t="shared" si="66"/>
        <v>5.6111111111111116</v>
      </c>
    </row>
    <row r="2118" spans="2:5">
      <c r="B2118" s="943">
        <v>45014</v>
      </c>
      <c r="C2118" s="195">
        <f t="shared" si="65"/>
        <v>3</v>
      </c>
      <c r="D2118" s="195">
        <v>41.5</v>
      </c>
      <c r="E2118" s="705">
        <f t="shared" si="66"/>
        <v>5.2777777777777777</v>
      </c>
    </row>
    <row r="2119" spans="2:5">
      <c r="B2119" s="943">
        <v>45014</v>
      </c>
      <c r="C2119" s="195">
        <f t="shared" si="65"/>
        <v>3</v>
      </c>
      <c r="D2119" s="195">
        <v>41.5</v>
      </c>
      <c r="E2119" s="705">
        <f t="shared" si="66"/>
        <v>5.2777777777777777</v>
      </c>
    </row>
    <row r="2120" spans="2:5">
      <c r="B2120" s="943">
        <v>45014</v>
      </c>
      <c r="C2120" s="195">
        <f t="shared" si="65"/>
        <v>3</v>
      </c>
      <c r="D2120" s="195">
        <v>41.5</v>
      </c>
      <c r="E2120" s="705">
        <f t="shared" si="66"/>
        <v>5.2777777777777777</v>
      </c>
    </row>
    <row r="2121" spans="2:5">
      <c r="B2121" s="943">
        <v>45015</v>
      </c>
      <c r="C2121" s="195">
        <f t="shared" si="65"/>
        <v>3</v>
      </c>
      <c r="D2121" s="195">
        <v>41.5</v>
      </c>
      <c r="E2121" s="705">
        <f t="shared" si="66"/>
        <v>5.2777777777777777</v>
      </c>
    </row>
    <row r="2122" spans="2:5">
      <c r="B2122" s="943">
        <v>45015</v>
      </c>
      <c r="C2122" s="195">
        <f t="shared" ref="C2122:C2185" si="67">MONTH(B2122)</f>
        <v>3</v>
      </c>
      <c r="D2122" s="195">
        <v>41.5</v>
      </c>
      <c r="E2122" s="705">
        <f t="shared" ref="E2122:E2185" si="68">CONVERT(D2122,"F","C")</f>
        <v>5.2777777777777777</v>
      </c>
    </row>
    <row r="2123" spans="2:5">
      <c r="B2123" s="943">
        <v>45015</v>
      </c>
      <c r="C2123" s="195">
        <f t="shared" si="67"/>
        <v>3</v>
      </c>
      <c r="D2123" s="195">
        <v>41.7</v>
      </c>
      <c r="E2123" s="705">
        <f t="shared" si="68"/>
        <v>5.3888888888888902</v>
      </c>
    </row>
    <row r="2124" spans="2:5">
      <c r="B2124" s="943">
        <v>45015</v>
      </c>
      <c r="C2124" s="195">
        <f t="shared" si="67"/>
        <v>3</v>
      </c>
      <c r="D2124" s="195">
        <v>41.7</v>
      </c>
      <c r="E2124" s="705">
        <f t="shared" si="68"/>
        <v>5.3888888888888902</v>
      </c>
    </row>
    <row r="2125" spans="2:5">
      <c r="B2125" s="943">
        <v>45015</v>
      </c>
      <c r="C2125" s="195">
        <f t="shared" si="67"/>
        <v>3</v>
      </c>
      <c r="D2125" s="195">
        <v>41.9</v>
      </c>
      <c r="E2125" s="705">
        <f t="shared" si="68"/>
        <v>5.4999999999999991</v>
      </c>
    </row>
    <row r="2126" spans="2:5">
      <c r="B2126" s="943">
        <v>45015</v>
      </c>
      <c r="C2126" s="195">
        <f t="shared" si="67"/>
        <v>3</v>
      </c>
      <c r="D2126" s="195">
        <v>42.1</v>
      </c>
      <c r="E2126" s="705">
        <f t="shared" si="68"/>
        <v>5.6111111111111116</v>
      </c>
    </row>
    <row r="2127" spans="2:5">
      <c r="B2127" s="943">
        <v>45015</v>
      </c>
      <c r="C2127" s="195">
        <f t="shared" si="67"/>
        <v>3</v>
      </c>
      <c r="D2127" s="195">
        <v>42.3</v>
      </c>
      <c r="E2127" s="705">
        <f t="shared" si="68"/>
        <v>5.7222222222222205</v>
      </c>
    </row>
    <row r="2128" spans="2:5">
      <c r="B2128" s="943">
        <v>45015</v>
      </c>
      <c r="C2128" s="195">
        <f t="shared" si="67"/>
        <v>3</v>
      </c>
      <c r="D2128" s="195">
        <v>42.3</v>
      </c>
      <c r="E2128" s="705">
        <f t="shared" si="68"/>
        <v>5.7222222222222205</v>
      </c>
    </row>
    <row r="2129" spans="2:5">
      <c r="B2129" s="943">
        <v>45015</v>
      </c>
      <c r="C2129" s="195">
        <f t="shared" si="67"/>
        <v>3</v>
      </c>
      <c r="D2129" s="195">
        <v>42.1</v>
      </c>
      <c r="E2129" s="705">
        <f t="shared" si="68"/>
        <v>5.6111111111111116</v>
      </c>
    </row>
    <row r="2130" spans="2:5">
      <c r="B2130" s="943">
        <v>45015</v>
      </c>
      <c r="C2130" s="195">
        <f t="shared" si="67"/>
        <v>3</v>
      </c>
      <c r="D2130" s="195">
        <v>41.7</v>
      </c>
      <c r="E2130" s="705">
        <f t="shared" si="68"/>
        <v>5.3888888888888902</v>
      </c>
    </row>
    <row r="2131" spans="2:5">
      <c r="B2131" s="943">
        <v>45015</v>
      </c>
      <c r="C2131" s="195">
        <f t="shared" si="67"/>
        <v>3</v>
      </c>
      <c r="D2131" s="195">
        <v>41.7</v>
      </c>
      <c r="E2131" s="705">
        <f t="shared" si="68"/>
        <v>5.3888888888888902</v>
      </c>
    </row>
    <row r="2132" spans="2:5">
      <c r="B2132" s="943">
        <v>45015</v>
      </c>
      <c r="C2132" s="195">
        <f t="shared" si="67"/>
        <v>3</v>
      </c>
      <c r="D2132" s="195">
        <v>41.4</v>
      </c>
      <c r="E2132" s="705">
        <f t="shared" si="68"/>
        <v>5.2222222222222214</v>
      </c>
    </row>
    <row r="2133" spans="2:5">
      <c r="B2133" s="943">
        <v>45015</v>
      </c>
      <c r="C2133" s="195">
        <f t="shared" si="67"/>
        <v>3</v>
      </c>
      <c r="D2133" s="195">
        <v>41.2</v>
      </c>
      <c r="E2133" s="705">
        <f t="shared" si="68"/>
        <v>5.1111111111111125</v>
      </c>
    </row>
    <row r="2134" spans="2:5">
      <c r="B2134" s="943">
        <v>45015</v>
      </c>
      <c r="C2134" s="195">
        <f t="shared" si="67"/>
        <v>3</v>
      </c>
      <c r="D2134" s="195">
        <v>41.2</v>
      </c>
      <c r="E2134" s="705">
        <f t="shared" si="68"/>
        <v>5.1111111111111125</v>
      </c>
    </row>
    <row r="2135" spans="2:5">
      <c r="B2135" s="943">
        <v>45015</v>
      </c>
      <c r="C2135" s="195">
        <f t="shared" si="67"/>
        <v>3</v>
      </c>
      <c r="D2135" s="195">
        <v>41.2</v>
      </c>
      <c r="E2135" s="705">
        <f t="shared" si="68"/>
        <v>5.1111111111111125</v>
      </c>
    </row>
    <row r="2136" spans="2:5">
      <c r="B2136" s="943">
        <v>45015</v>
      </c>
      <c r="C2136" s="195">
        <f t="shared" si="67"/>
        <v>3</v>
      </c>
      <c r="D2136" s="195">
        <v>41.4</v>
      </c>
      <c r="E2136" s="705">
        <f t="shared" si="68"/>
        <v>5.2222222222222214</v>
      </c>
    </row>
    <row r="2137" spans="2:5">
      <c r="B2137" s="943">
        <v>45015</v>
      </c>
      <c r="C2137" s="195">
        <f t="shared" si="67"/>
        <v>3</v>
      </c>
      <c r="D2137" s="195">
        <v>41.7</v>
      </c>
      <c r="E2137" s="705">
        <f t="shared" si="68"/>
        <v>5.3888888888888902</v>
      </c>
    </row>
    <row r="2138" spans="2:5">
      <c r="B2138" s="943">
        <v>45015</v>
      </c>
      <c r="C2138" s="195">
        <f t="shared" si="67"/>
        <v>3</v>
      </c>
      <c r="D2138" s="195">
        <v>42.1</v>
      </c>
      <c r="E2138" s="705">
        <f t="shared" si="68"/>
        <v>5.6111111111111116</v>
      </c>
    </row>
    <row r="2139" spans="2:5">
      <c r="B2139" s="943">
        <v>45015</v>
      </c>
      <c r="C2139" s="195">
        <f t="shared" si="67"/>
        <v>3</v>
      </c>
      <c r="D2139" s="195">
        <v>42.4</v>
      </c>
      <c r="E2139" s="705">
        <f t="shared" si="68"/>
        <v>5.7777777777777768</v>
      </c>
    </row>
    <row r="2140" spans="2:5">
      <c r="B2140" s="943">
        <v>45015</v>
      </c>
      <c r="C2140" s="195">
        <f t="shared" si="67"/>
        <v>3</v>
      </c>
      <c r="D2140" s="195">
        <v>42.4</v>
      </c>
      <c r="E2140" s="705">
        <f t="shared" si="68"/>
        <v>5.7777777777777768</v>
      </c>
    </row>
    <row r="2141" spans="2:5">
      <c r="B2141" s="943">
        <v>45015</v>
      </c>
      <c r="C2141" s="195">
        <f t="shared" si="67"/>
        <v>3</v>
      </c>
      <c r="D2141" s="195">
        <v>42.6</v>
      </c>
      <c r="E2141" s="705">
        <f t="shared" si="68"/>
        <v>5.8888888888888893</v>
      </c>
    </row>
    <row r="2142" spans="2:5">
      <c r="B2142" s="943">
        <v>45015</v>
      </c>
      <c r="C2142" s="195">
        <f t="shared" si="67"/>
        <v>3</v>
      </c>
      <c r="D2142" s="195">
        <v>42.3</v>
      </c>
      <c r="E2142" s="705">
        <f t="shared" si="68"/>
        <v>5.7222222222222205</v>
      </c>
    </row>
    <row r="2143" spans="2:5">
      <c r="B2143" s="943">
        <v>45015</v>
      </c>
      <c r="C2143" s="195">
        <f t="shared" si="67"/>
        <v>3</v>
      </c>
      <c r="D2143" s="195">
        <v>41.4</v>
      </c>
      <c r="E2143" s="705">
        <f t="shared" si="68"/>
        <v>5.2222222222222214</v>
      </c>
    </row>
    <row r="2144" spans="2:5">
      <c r="B2144" s="943">
        <v>45015</v>
      </c>
      <c r="C2144" s="195">
        <f t="shared" si="67"/>
        <v>3</v>
      </c>
      <c r="D2144" s="195">
        <v>41.4</v>
      </c>
      <c r="E2144" s="705">
        <f t="shared" si="68"/>
        <v>5.2222222222222214</v>
      </c>
    </row>
    <row r="2145" spans="2:5">
      <c r="B2145" s="943">
        <v>45016</v>
      </c>
      <c r="C2145" s="195">
        <f t="shared" si="67"/>
        <v>3</v>
      </c>
      <c r="D2145" s="195" t="s">
        <v>1429</v>
      </c>
      <c r="E2145" s="705">
        <f t="shared" si="68"/>
        <v>5</v>
      </c>
    </row>
    <row r="2146" spans="2:5">
      <c r="B2146" s="943">
        <v>45016</v>
      </c>
      <c r="C2146" s="195">
        <f t="shared" si="67"/>
        <v>3</v>
      </c>
      <c r="D2146" s="195" t="s">
        <v>1429</v>
      </c>
      <c r="E2146" s="705">
        <f t="shared" si="68"/>
        <v>5</v>
      </c>
    </row>
    <row r="2147" spans="2:5">
      <c r="B2147" s="943">
        <v>45016</v>
      </c>
      <c r="C2147" s="195">
        <f t="shared" si="67"/>
        <v>3</v>
      </c>
      <c r="D2147" s="195" t="s">
        <v>1429</v>
      </c>
      <c r="E2147" s="705">
        <f t="shared" si="68"/>
        <v>5</v>
      </c>
    </row>
    <row r="2148" spans="2:5">
      <c r="B2148" s="943">
        <v>45016</v>
      </c>
      <c r="C2148" s="195">
        <f t="shared" si="67"/>
        <v>3</v>
      </c>
      <c r="D2148" s="195" t="s">
        <v>1429</v>
      </c>
      <c r="E2148" s="705">
        <f t="shared" si="68"/>
        <v>5</v>
      </c>
    </row>
    <row r="2149" spans="2:5">
      <c r="B2149" s="943">
        <v>45016</v>
      </c>
      <c r="C2149" s="195">
        <f t="shared" si="67"/>
        <v>3</v>
      </c>
      <c r="D2149" s="195">
        <v>41.4</v>
      </c>
      <c r="E2149" s="705">
        <f t="shared" si="68"/>
        <v>5.2222222222222214</v>
      </c>
    </row>
    <row r="2150" spans="2:5">
      <c r="B2150" s="943">
        <v>45016</v>
      </c>
      <c r="C2150" s="195">
        <f t="shared" si="67"/>
        <v>3</v>
      </c>
      <c r="D2150" s="195">
        <v>41.5</v>
      </c>
      <c r="E2150" s="705">
        <f t="shared" si="68"/>
        <v>5.2777777777777777</v>
      </c>
    </row>
    <row r="2151" spans="2:5">
      <c r="B2151" s="943">
        <v>45016</v>
      </c>
      <c r="C2151" s="195">
        <f t="shared" si="67"/>
        <v>3</v>
      </c>
      <c r="D2151" s="195">
        <v>41.9</v>
      </c>
      <c r="E2151" s="705">
        <f t="shared" si="68"/>
        <v>5.4999999999999991</v>
      </c>
    </row>
    <row r="2152" spans="2:5">
      <c r="B2152" s="943">
        <v>45016</v>
      </c>
      <c r="C2152" s="195">
        <f t="shared" si="67"/>
        <v>3</v>
      </c>
      <c r="D2152" s="195">
        <v>41.9</v>
      </c>
      <c r="E2152" s="705">
        <f t="shared" si="68"/>
        <v>5.4999999999999991</v>
      </c>
    </row>
    <row r="2153" spans="2:5">
      <c r="B2153" s="943">
        <v>45016</v>
      </c>
      <c r="C2153" s="195">
        <f t="shared" si="67"/>
        <v>3</v>
      </c>
      <c r="D2153" s="195">
        <v>41.9</v>
      </c>
      <c r="E2153" s="705">
        <f t="shared" si="68"/>
        <v>5.4999999999999991</v>
      </c>
    </row>
    <row r="2154" spans="2:5">
      <c r="B2154" s="943">
        <v>45016</v>
      </c>
      <c r="C2154" s="195">
        <f t="shared" si="67"/>
        <v>3</v>
      </c>
      <c r="D2154" s="195">
        <v>41.7</v>
      </c>
      <c r="E2154" s="705">
        <f t="shared" si="68"/>
        <v>5.3888888888888902</v>
      </c>
    </row>
    <row r="2155" spans="2:5">
      <c r="B2155" s="943">
        <v>45016</v>
      </c>
      <c r="C2155" s="195">
        <f t="shared" si="67"/>
        <v>3</v>
      </c>
      <c r="D2155" s="195">
        <v>41.2</v>
      </c>
      <c r="E2155" s="705">
        <f t="shared" si="68"/>
        <v>5.1111111111111125</v>
      </c>
    </row>
    <row r="2156" spans="2:5">
      <c r="B2156" s="943">
        <v>45016</v>
      </c>
      <c r="C2156" s="195">
        <f t="shared" si="67"/>
        <v>3</v>
      </c>
      <c r="D2156" s="195" t="s">
        <v>1429</v>
      </c>
      <c r="E2156" s="705">
        <f t="shared" si="68"/>
        <v>5</v>
      </c>
    </row>
    <row r="2157" spans="2:5">
      <c r="B2157" s="943">
        <v>45016</v>
      </c>
      <c r="C2157" s="195">
        <f t="shared" si="67"/>
        <v>3</v>
      </c>
      <c r="D2157" s="195" t="s">
        <v>1429</v>
      </c>
      <c r="E2157" s="705">
        <f t="shared" si="68"/>
        <v>5</v>
      </c>
    </row>
    <row r="2158" spans="2:5">
      <c r="B2158" s="943">
        <v>45016</v>
      </c>
      <c r="C2158" s="195">
        <f t="shared" si="67"/>
        <v>3</v>
      </c>
      <c r="D2158" s="195">
        <v>40.799999999999997</v>
      </c>
      <c r="E2158" s="705">
        <f t="shared" si="68"/>
        <v>4.8888888888888875</v>
      </c>
    </row>
    <row r="2159" spans="2:5">
      <c r="B2159" s="943">
        <v>45016</v>
      </c>
      <c r="C2159" s="195">
        <f t="shared" si="67"/>
        <v>3</v>
      </c>
      <c r="D2159" s="195" t="s">
        <v>1429</v>
      </c>
      <c r="E2159" s="705">
        <f t="shared" si="68"/>
        <v>5</v>
      </c>
    </row>
    <row r="2160" spans="2:5">
      <c r="B2160" s="943">
        <v>45016</v>
      </c>
      <c r="C2160" s="195">
        <f t="shared" si="67"/>
        <v>3</v>
      </c>
      <c r="D2160" s="195" t="s">
        <v>1429</v>
      </c>
      <c r="E2160" s="705">
        <f t="shared" si="68"/>
        <v>5</v>
      </c>
    </row>
    <row r="2161" spans="2:5">
      <c r="B2161" s="943">
        <v>45016</v>
      </c>
      <c r="C2161" s="195">
        <f t="shared" si="67"/>
        <v>3</v>
      </c>
      <c r="D2161" s="195">
        <v>41.2</v>
      </c>
      <c r="E2161" s="705">
        <f t="shared" si="68"/>
        <v>5.1111111111111125</v>
      </c>
    </row>
    <row r="2162" spans="2:5">
      <c r="B2162" s="943">
        <v>45016</v>
      </c>
      <c r="C2162" s="195">
        <f t="shared" si="67"/>
        <v>3</v>
      </c>
      <c r="D2162" s="195">
        <v>41.5</v>
      </c>
      <c r="E2162" s="705">
        <f t="shared" si="68"/>
        <v>5.2777777777777777</v>
      </c>
    </row>
    <row r="2163" spans="2:5">
      <c r="B2163" s="943">
        <v>45016</v>
      </c>
      <c r="C2163" s="195">
        <f t="shared" si="67"/>
        <v>3</v>
      </c>
      <c r="D2163" s="195">
        <v>42.1</v>
      </c>
      <c r="E2163" s="705">
        <f t="shared" si="68"/>
        <v>5.6111111111111116</v>
      </c>
    </row>
    <row r="2164" spans="2:5">
      <c r="B2164" s="943">
        <v>45016</v>
      </c>
      <c r="C2164" s="195">
        <f t="shared" si="67"/>
        <v>3</v>
      </c>
      <c r="D2164" s="195">
        <v>42.4</v>
      </c>
      <c r="E2164" s="705">
        <f t="shared" si="68"/>
        <v>5.7777777777777768</v>
      </c>
    </row>
    <row r="2165" spans="2:5">
      <c r="B2165" s="943">
        <v>45016</v>
      </c>
      <c r="C2165" s="195">
        <f t="shared" si="67"/>
        <v>3</v>
      </c>
      <c r="D2165" s="195">
        <v>42.4</v>
      </c>
      <c r="E2165" s="705">
        <f t="shared" si="68"/>
        <v>5.7777777777777768</v>
      </c>
    </row>
    <row r="2166" spans="2:5">
      <c r="B2166" s="943">
        <v>45016</v>
      </c>
      <c r="C2166" s="195">
        <f t="shared" si="67"/>
        <v>3</v>
      </c>
      <c r="D2166" s="195">
        <v>42.4</v>
      </c>
      <c r="E2166" s="705">
        <f t="shared" si="68"/>
        <v>5.7777777777777768</v>
      </c>
    </row>
    <row r="2167" spans="2:5">
      <c r="B2167" s="943">
        <v>45016</v>
      </c>
      <c r="C2167" s="195">
        <f t="shared" si="67"/>
        <v>3</v>
      </c>
      <c r="D2167" s="195">
        <v>42.3</v>
      </c>
      <c r="E2167" s="705">
        <f t="shared" si="68"/>
        <v>5.7222222222222205</v>
      </c>
    </row>
    <row r="2168" spans="2:5">
      <c r="B2168" s="943">
        <v>45016</v>
      </c>
      <c r="C2168" s="195">
        <f t="shared" si="67"/>
        <v>3</v>
      </c>
      <c r="D2168" s="195">
        <v>41.7</v>
      </c>
      <c r="E2168" s="705">
        <f t="shared" si="68"/>
        <v>5.3888888888888902</v>
      </c>
    </row>
    <row r="2169" spans="2:5">
      <c r="B2169" s="943">
        <v>45017</v>
      </c>
      <c r="C2169" s="195">
        <f t="shared" si="67"/>
        <v>4</v>
      </c>
      <c r="D2169" s="195">
        <v>41.5</v>
      </c>
      <c r="E2169" s="705">
        <f t="shared" si="68"/>
        <v>5.2777777777777777</v>
      </c>
    </row>
    <row r="2170" spans="2:5">
      <c r="B2170" s="943">
        <v>45017</v>
      </c>
      <c r="C2170" s="195">
        <f t="shared" si="67"/>
        <v>4</v>
      </c>
      <c r="D2170" s="195">
        <v>41.5</v>
      </c>
      <c r="E2170" s="705">
        <f t="shared" si="68"/>
        <v>5.2777777777777777</v>
      </c>
    </row>
    <row r="2171" spans="2:5">
      <c r="B2171" s="943">
        <v>45017</v>
      </c>
      <c r="C2171" s="195">
        <f t="shared" si="67"/>
        <v>4</v>
      </c>
      <c r="D2171" s="195">
        <v>41.5</v>
      </c>
      <c r="E2171" s="705">
        <f t="shared" si="68"/>
        <v>5.2777777777777777</v>
      </c>
    </row>
    <row r="2172" spans="2:5">
      <c r="B2172" s="943">
        <v>45017</v>
      </c>
      <c r="C2172" s="195">
        <f t="shared" si="67"/>
        <v>4</v>
      </c>
      <c r="D2172" s="195">
        <v>41.5</v>
      </c>
      <c r="E2172" s="705">
        <f t="shared" si="68"/>
        <v>5.2777777777777777</v>
      </c>
    </row>
    <row r="2173" spans="2:5">
      <c r="B2173" s="943">
        <v>45017</v>
      </c>
      <c r="C2173" s="195">
        <f t="shared" si="67"/>
        <v>4</v>
      </c>
      <c r="D2173" s="195">
        <v>41.5</v>
      </c>
      <c r="E2173" s="705">
        <f t="shared" si="68"/>
        <v>5.2777777777777777</v>
      </c>
    </row>
    <row r="2174" spans="2:5">
      <c r="B2174" s="943">
        <v>45017</v>
      </c>
      <c r="C2174" s="195">
        <f t="shared" si="67"/>
        <v>4</v>
      </c>
      <c r="D2174" s="195">
        <v>41.5</v>
      </c>
      <c r="E2174" s="705">
        <f t="shared" si="68"/>
        <v>5.2777777777777777</v>
      </c>
    </row>
    <row r="2175" spans="2:5">
      <c r="B2175" s="943">
        <v>45017</v>
      </c>
      <c r="C2175" s="195">
        <f t="shared" si="67"/>
        <v>4</v>
      </c>
      <c r="D2175" s="195">
        <v>41.7</v>
      </c>
      <c r="E2175" s="705">
        <f t="shared" si="68"/>
        <v>5.3888888888888902</v>
      </c>
    </row>
    <row r="2176" spans="2:5">
      <c r="B2176" s="943">
        <v>45017</v>
      </c>
      <c r="C2176" s="195">
        <f t="shared" si="67"/>
        <v>4</v>
      </c>
      <c r="D2176" s="195">
        <v>41.9</v>
      </c>
      <c r="E2176" s="705">
        <f t="shared" si="68"/>
        <v>5.4999999999999991</v>
      </c>
    </row>
    <row r="2177" spans="2:5">
      <c r="B2177" s="943">
        <v>45017</v>
      </c>
      <c r="C2177" s="195">
        <f t="shared" si="67"/>
        <v>4</v>
      </c>
      <c r="D2177" s="195">
        <v>42.1</v>
      </c>
      <c r="E2177" s="705">
        <f t="shared" si="68"/>
        <v>5.6111111111111116</v>
      </c>
    </row>
    <row r="2178" spans="2:5">
      <c r="B2178" s="943">
        <v>45017</v>
      </c>
      <c r="C2178" s="195">
        <f t="shared" si="67"/>
        <v>4</v>
      </c>
      <c r="D2178" s="195">
        <v>42.1</v>
      </c>
      <c r="E2178" s="705">
        <f t="shared" si="68"/>
        <v>5.6111111111111116</v>
      </c>
    </row>
    <row r="2179" spans="2:5">
      <c r="B2179" s="943">
        <v>45017</v>
      </c>
      <c r="C2179" s="195">
        <f t="shared" si="67"/>
        <v>4</v>
      </c>
      <c r="D2179" s="195">
        <v>41.9</v>
      </c>
      <c r="E2179" s="705">
        <f t="shared" si="68"/>
        <v>5.4999999999999991</v>
      </c>
    </row>
    <row r="2180" spans="2:5">
      <c r="B2180" s="943">
        <v>45017</v>
      </c>
      <c r="C2180" s="195">
        <f t="shared" si="67"/>
        <v>4</v>
      </c>
      <c r="D2180" s="195">
        <v>41.5</v>
      </c>
      <c r="E2180" s="705">
        <f t="shared" si="68"/>
        <v>5.2777777777777777</v>
      </c>
    </row>
    <row r="2181" spans="2:5">
      <c r="B2181" s="943">
        <v>45017</v>
      </c>
      <c r="C2181" s="195">
        <f t="shared" si="67"/>
        <v>4</v>
      </c>
      <c r="D2181" s="195">
        <v>41.4</v>
      </c>
      <c r="E2181" s="705">
        <f t="shared" si="68"/>
        <v>5.2222222222222214</v>
      </c>
    </row>
    <row r="2182" spans="2:5">
      <c r="B2182" s="943">
        <v>45017</v>
      </c>
      <c r="C2182" s="195">
        <f t="shared" si="67"/>
        <v>4</v>
      </c>
      <c r="D2182" s="195">
        <v>41.4</v>
      </c>
      <c r="E2182" s="705">
        <f t="shared" si="68"/>
        <v>5.2222222222222214</v>
      </c>
    </row>
    <row r="2183" spans="2:5">
      <c r="B2183" s="943">
        <v>45017</v>
      </c>
      <c r="C2183" s="195">
        <f t="shared" si="67"/>
        <v>4</v>
      </c>
      <c r="D2183" s="195">
        <v>41.2</v>
      </c>
      <c r="E2183" s="705">
        <f t="shared" si="68"/>
        <v>5.1111111111111125</v>
      </c>
    </row>
    <row r="2184" spans="2:5">
      <c r="B2184" s="943">
        <v>45017</v>
      </c>
      <c r="C2184" s="195">
        <f t="shared" si="67"/>
        <v>4</v>
      </c>
      <c r="D2184" s="195">
        <v>41.2</v>
      </c>
      <c r="E2184" s="705">
        <f t="shared" si="68"/>
        <v>5.1111111111111125</v>
      </c>
    </row>
    <row r="2185" spans="2:5">
      <c r="B2185" s="943">
        <v>45017</v>
      </c>
      <c r="C2185" s="195">
        <f t="shared" si="67"/>
        <v>4</v>
      </c>
      <c r="D2185" s="195">
        <v>41.4</v>
      </c>
      <c r="E2185" s="705">
        <f t="shared" si="68"/>
        <v>5.2222222222222214</v>
      </c>
    </row>
    <row r="2186" spans="2:5">
      <c r="B2186" s="943">
        <v>45017</v>
      </c>
      <c r="C2186" s="195">
        <f t="shared" ref="C2186:C2249" si="69">MONTH(B2186)</f>
        <v>4</v>
      </c>
      <c r="D2186" s="195">
        <v>41.4</v>
      </c>
      <c r="E2186" s="705">
        <f t="shared" ref="E2186:E2249" si="70">CONVERT(D2186,"F","C")</f>
        <v>5.2222222222222214</v>
      </c>
    </row>
    <row r="2187" spans="2:5">
      <c r="B2187" s="943">
        <v>45017</v>
      </c>
      <c r="C2187" s="195">
        <f t="shared" si="69"/>
        <v>4</v>
      </c>
      <c r="D2187" s="195">
        <v>41.7</v>
      </c>
      <c r="E2187" s="705">
        <f t="shared" si="70"/>
        <v>5.3888888888888902</v>
      </c>
    </row>
    <row r="2188" spans="2:5">
      <c r="B2188" s="943">
        <v>45017</v>
      </c>
      <c r="C2188" s="195">
        <f t="shared" si="69"/>
        <v>4</v>
      </c>
      <c r="D2188" s="195">
        <v>42.1</v>
      </c>
      <c r="E2188" s="705">
        <f t="shared" si="70"/>
        <v>5.6111111111111116</v>
      </c>
    </row>
    <row r="2189" spans="2:5">
      <c r="B2189" s="943">
        <v>45017</v>
      </c>
      <c r="C2189" s="195">
        <f t="shared" si="69"/>
        <v>4</v>
      </c>
      <c r="D2189" s="195">
        <v>42.3</v>
      </c>
      <c r="E2189" s="705">
        <f t="shared" si="70"/>
        <v>5.7222222222222205</v>
      </c>
    </row>
    <row r="2190" spans="2:5">
      <c r="B2190" s="943">
        <v>45017</v>
      </c>
      <c r="C2190" s="195">
        <f t="shared" si="69"/>
        <v>4</v>
      </c>
      <c r="D2190" s="195">
        <v>42.4</v>
      </c>
      <c r="E2190" s="705">
        <f t="shared" si="70"/>
        <v>5.7777777777777768</v>
      </c>
    </row>
    <row r="2191" spans="2:5">
      <c r="B2191" s="943">
        <v>45017</v>
      </c>
      <c r="C2191" s="195">
        <f t="shared" si="69"/>
        <v>4</v>
      </c>
      <c r="D2191" s="195">
        <v>42.4</v>
      </c>
      <c r="E2191" s="705">
        <f t="shared" si="70"/>
        <v>5.7777777777777768</v>
      </c>
    </row>
    <row r="2192" spans="2:5">
      <c r="B2192" s="943">
        <v>45017</v>
      </c>
      <c r="C2192" s="195">
        <f t="shared" si="69"/>
        <v>4</v>
      </c>
      <c r="D2192" s="195">
        <v>42.3</v>
      </c>
      <c r="E2192" s="705">
        <f t="shared" si="70"/>
        <v>5.7222222222222205</v>
      </c>
    </row>
    <row r="2193" spans="2:5">
      <c r="B2193" s="943">
        <v>45018</v>
      </c>
      <c r="C2193" s="195">
        <f t="shared" si="69"/>
        <v>4</v>
      </c>
      <c r="D2193" s="195">
        <v>41.7</v>
      </c>
      <c r="E2193" s="705">
        <f t="shared" si="70"/>
        <v>5.3888888888888902</v>
      </c>
    </row>
    <row r="2194" spans="2:5">
      <c r="B2194" s="943">
        <v>45018</v>
      </c>
      <c r="C2194" s="195">
        <f t="shared" si="69"/>
        <v>4</v>
      </c>
      <c r="D2194" s="195">
        <v>41.5</v>
      </c>
      <c r="E2194" s="705">
        <f t="shared" si="70"/>
        <v>5.2777777777777777</v>
      </c>
    </row>
    <row r="2195" spans="2:5">
      <c r="B2195" s="943">
        <v>45018</v>
      </c>
      <c r="C2195" s="195">
        <f t="shared" si="69"/>
        <v>4</v>
      </c>
      <c r="D2195" s="195">
        <v>41.4</v>
      </c>
      <c r="E2195" s="705">
        <f t="shared" si="70"/>
        <v>5.2222222222222214</v>
      </c>
    </row>
    <row r="2196" spans="2:5">
      <c r="B2196" s="943">
        <v>45018</v>
      </c>
      <c r="C2196" s="195">
        <f t="shared" si="69"/>
        <v>4</v>
      </c>
      <c r="D2196" s="195">
        <v>41.4</v>
      </c>
      <c r="E2196" s="705">
        <f t="shared" si="70"/>
        <v>5.2222222222222214</v>
      </c>
    </row>
    <row r="2197" spans="2:5">
      <c r="B2197" s="943">
        <v>45018</v>
      </c>
      <c r="C2197" s="195">
        <f t="shared" si="69"/>
        <v>4</v>
      </c>
      <c r="D2197" s="195">
        <v>41.5</v>
      </c>
      <c r="E2197" s="705">
        <f t="shared" si="70"/>
        <v>5.2777777777777777</v>
      </c>
    </row>
    <row r="2198" spans="2:5">
      <c r="B2198" s="943">
        <v>45018</v>
      </c>
      <c r="C2198" s="195">
        <f t="shared" si="69"/>
        <v>4</v>
      </c>
      <c r="D2198" s="195">
        <v>41.5</v>
      </c>
      <c r="E2198" s="705">
        <f t="shared" si="70"/>
        <v>5.2777777777777777</v>
      </c>
    </row>
    <row r="2199" spans="2:5">
      <c r="B2199" s="943">
        <v>45018</v>
      </c>
      <c r="C2199" s="195">
        <f t="shared" si="69"/>
        <v>4</v>
      </c>
      <c r="D2199" s="195">
        <v>41.7</v>
      </c>
      <c r="E2199" s="705">
        <f t="shared" si="70"/>
        <v>5.3888888888888902</v>
      </c>
    </row>
    <row r="2200" spans="2:5">
      <c r="B2200" s="943">
        <v>45018</v>
      </c>
      <c r="C2200" s="195">
        <f t="shared" si="69"/>
        <v>4</v>
      </c>
      <c r="D2200" s="195">
        <v>41.9</v>
      </c>
      <c r="E2200" s="705">
        <f t="shared" si="70"/>
        <v>5.4999999999999991</v>
      </c>
    </row>
    <row r="2201" spans="2:5">
      <c r="B2201" s="943">
        <v>45018</v>
      </c>
      <c r="C2201" s="195">
        <f t="shared" si="69"/>
        <v>4</v>
      </c>
      <c r="D2201" s="195">
        <v>42.3</v>
      </c>
      <c r="E2201" s="705">
        <f t="shared" si="70"/>
        <v>5.7222222222222205</v>
      </c>
    </row>
    <row r="2202" spans="2:5">
      <c r="B2202" s="943">
        <v>45018</v>
      </c>
      <c r="C2202" s="195">
        <f t="shared" si="69"/>
        <v>4</v>
      </c>
      <c r="D2202" s="195">
        <v>42.4</v>
      </c>
      <c r="E2202" s="705">
        <f t="shared" si="70"/>
        <v>5.7777777777777768</v>
      </c>
    </row>
    <row r="2203" spans="2:5">
      <c r="B2203" s="943">
        <v>45018</v>
      </c>
      <c r="C2203" s="195">
        <f t="shared" si="69"/>
        <v>4</v>
      </c>
      <c r="D2203" s="195">
        <v>42.3</v>
      </c>
      <c r="E2203" s="705">
        <f t="shared" si="70"/>
        <v>5.7222222222222205</v>
      </c>
    </row>
    <row r="2204" spans="2:5">
      <c r="B2204" s="943">
        <v>45018</v>
      </c>
      <c r="C2204" s="195">
        <f t="shared" si="69"/>
        <v>4</v>
      </c>
      <c r="D2204" s="195">
        <v>42.1</v>
      </c>
      <c r="E2204" s="705">
        <f t="shared" si="70"/>
        <v>5.6111111111111116</v>
      </c>
    </row>
    <row r="2205" spans="2:5">
      <c r="B2205" s="943">
        <v>45018</v>
      </c>
      <c r="C2205" s="195">
        <f t="shared" si="69"/>
        <v>4</v>
      </c>
      <c r="D2205" s="195">
        <v>41.5</v>
      </c>
      <c r="E2205" s="705">
        <f t="shared" si="70"/>
        <v>5.2777777777777777</v>
      </c>
    </row>
    <row r="2206" spans="2:5">
      <c r="B2206" s="943">
        <v>45018</v>
      </c>
      <c r="C2206" s="195">
        <f t="shared" si="69"/>
        <v>4</v>
      </c>
      <c r="D2206" s="195">
        <v>41.5</v>
      </c>
      <c r="E2206" s="705">
        <f t="shared" si="70"/>
        <v>5.2777777777777777</v>
      </c>
    </row>
    <row r="2207" spans="2:5">
      <c r="B2207" s="943">
        <v>45018</v>
      </c>
      <c r="C2207" s="195">
        <f t="shared" si="69"/>
        <v>4</v>
      </c>
      <c r="D2207" s="195">
        <v>41.5</v>
      </c>
      <c r="E2207" s="705">
        <f t="shared" si="70"/>
        <v>5.2777777777777777</v>
      </c>
    </row>
    <row r="2208" spans="2:5">
      <c r="B2208" s="943">
        <v>45018</v>
      </c>
      <c r="C2208" s="195">
        <f t="shared" si="69"/>
        <v>4</v>
      </c>
      <c r="D2208" s="195">
        <v>41.2</v>
      </c>
      <c r="E2208" s="705">
        <f t="shared" si="70"/>
        <v>5.1111111111111125</v>
      </c>
    </row>
    <row r="2209" spans="2:5">
      <c r="B2209" s="943">
        <v>45018</v>
      </c>
      <c r="C2209" s="195">
        <f t="shared" si="69"/>
        <v>4</v>
      </c>
      <c r="D2209" s="195">
        <v>41.5</v>
      </c>
      <c r="E2209" s="705">
        <f t="shared" si="70"/>
        <v>5.2777777777777777</v>
      </c>
    </row>
    <row r="2210" spans="2:5">
      <c r="B2210" s="943">
        <v>45018</v>
      </c>
      <c r="C2210" s="195">
        <f t="shared" si="69"/>
        <v>4</v>
      </c>
      <c r="D2210" s="195">
        <v>41.5</v>
      </c>
      <c r="E2210" s="705">
        <f t="shared" si="70"/>
        <v>5.2777777777777777</v>
      </c>
    </row>
    <row r="2211" spans="2:5">
      <c r="B2211" s="943">
        <v>45018</v>
      </c>
      <c r="C2211" s="195">
        <f t="shared" si="69"/>
        <v>4</v>
      </c>
      <c r="D2211" s="195">
        <v>42.1</v>
      </c>
      <c r="E2211" s="705">
        <f t="shared" si="70"/>
        <v>5.6111111111111116</v>
      </c>
    </row>
    <row r="2212" spans="2:5">
      <c r="B2212" s="943">
        <v>45018</v>
      </c>
      <c r="C2212" s="195">
        <f t="shared" si="69"/>
        <v>4</v>
      </c>
      <c r="D2212" s="195">
        <v>42.4</v>
      </c>
      <c r="E2212" s="705">
        <f t="shared" si="70"/>
        <v>5.7777777777777768</v>
      </c>
    </row>
    <row r="2213" spans="2:5">
      <c r="B2213" s="943">
        <v>45018</v>
      </c>
      <c r="C2213" s="195">
        <f t="shared" si="69"/>
        <v>4</v>
      </c>
      <c r="D2213" s="195">
        <v>42.8</v>
      </c>
      <c r="E2213" s="705">
        <f t="shared" si="70"/>
        <v>5.9999999999999982</v>
      </c>
    </row>
    <row r="2214" spans="2:5">
      <c r="B2214" s="943">
        <v>45018</v>
      </c>
      <c r="C2214" s="195">
        <f t="shared" si="69"/>
        <v>4</v>
      </c>
      <c r="D2214" s="195" t="s">
        <v>1430</v>
      </c>
      <c r="E2214" s="705">
        <f t="shared" si="70"/>
        <v>6.1111111111111107</v>
      </c>
    </row>
    <row r="2215" spans="2:5">
      <c r="B2215" s="943">
        <v>45018</v>
      </c>
      <c r="C2215" s="195">
        <f t="shared" si="69"/>
        <v>4</v>
      </c>
      <c r="D2215" s="195">
        <v>43.2</v>
      </c>
      <c r="E2215" s="705">
        <f t="shared" si="70"/>
        <v>6.2222222222222232</v>
      </c>
    </row>
    <row r="2216" spans="2:5">
      <c r="B2216" s="943">
        <v>45018</v>
      </c>
      <c r="C2216" s="195">
        <f t="shared" si="69"/>
        <v>4</v>
      </c>
      <c r="D2216" s="195" t="s">
        <v>1430</v>
      </c>
      <c r="E2216" s="705">
        <f t="shared" si="70"/>
        <v>6.1111111111111107</v>
      </c>
    </row>
    <row r="2217" spans="2:5">
      <c r="B2217" s="943">
        <v>45019</v>
      </c>
      <c r="C2217" s="195">
        <f t="shared" si="69"/>
        <v>4</v>
      </c>
      <c r="D2217" s="195">
        <v>42.3</v>
      </c>
      <c r="E2217" s="705">
        <f t="shared" si="70"/>
        <v>5.7222222222222205</v>
      </c>
    </row>
    <row r="2218" spans="2:5">
      <c r="B2218" s="943">
        <v>45019</v>
      </c>
      <c r="C2218" s="195">
        <f t="shared" si="69"/>
        <v>4</v>
      </c>
      <c r="D2218" s="195">
        <v>41.9</v>
      </c>
      <c r="E2218" s="705">
        <f t="shared" si="70"/>
        <v>5.4999999999999991</v>
      </c>
    </row>
    <row r="2219" spans="2:5">
      <c r="B2219" s="943">
        <v>45019</v>
      </c>
      <c r="C2219" s="195">
        <f t="shared" si="69"/>
        <v>4</v>
      </c>
      <c r="D2219" s="195">
        <v>41.5</v>
      </c>
      <c r="E2219" s="705">
        <f t="shared" si="70"/>
        <v>5.2777777777777777</v>
      </c>
    </row>
    <row r="2220" spans="2:5">
      <c r="B2220" s="943">
        <v>45019</v>
      </c>
      <c r="C2220" s="195">
        <f t="shared" si="69"/>
        <v>4</v>
      </c>
      <c r="D2220" s="195">
        <v>41.4</v>
      </c>
      <c r="E2220" s="705">
        <f t="shared" si="70"/>
        <v>5.2222222222222214</v>
      </c>
    </row>
    <row r="2221" spans="2:5">
      <c r="B2221" s="943">
        <v>45019</v>
      </c>
      <c r="C2221" s="195">
        <f t="shared" si="69"/>
        <v>4</v>
      </c>
      <c r="D2221" s="195">
        <v>41.4</v>
      </c>
      <c r="E2221" s="705">
        <f t="shared" si="70"/>
        <v>5.2222222222222214</v>
      </c>
    </row>
    <row r="2222" spans="2:5">
      <c r="B2222" s="943">
        <v>45019</v>
      </c>
      <c r="C2222" s="195">
        <f t="shared" si="69"/>
        <v>4</v>
      </c>
      <c r="D2222" s="195">
        <v>41.4</v>
      </c>
      <c r="E2222" s="705">
        <f t="shared" si="70"/>
        <v>5.2222222222222214</v>
      </c>
    </row>
    <row r="2223" spans="2:5">
      <c r="B2223" s="943">
        <v>45019</v>
      </c>
      <c r="C2223" s="195">
        <f t="shared" si="69"/>
        <v>4</v>
      </c>
      <c r="D2223" s="195">
        <v>41.4</v>
      </c>
      <c r="E2223" s="705">
        <f t="shared" si="70"/>
        <v>5.2222222222222214</v>
      </c>
    </row>
    <row r="2224" spans="2:5">
      <c r="B2224" s="943">
        <v>45019</v>
      </c>
      <c r="C2224" s="195">
        <f t="shared" si="69"/>
        <v>4</v>
      </c>
      <c r="D2224" s="195">
        <v>41.7</v>
      </c>
      <c r="E2224" s="705">
        <f t="shared" si="70"/>
        <v>5.3888888888888902</v>
      </c>
    </row>
    <row r="2225" spans="2:5">
      <c r="B2225" s="943">
        <v>45019</v>
      </c>
      <c r="C2225" s="195">
        <f t="shared" si="69"/>
        <v>4</v>
      </c>
      <c r="D2225" s="195">
        <v>42.1</v>
      </c>
      <c r="E2225" s="705">
        <f t="shared" si="70"/>
        <v>5.6111111111111116</v>
      </c>
    </row>
    <row r="2226" spans="2:5">
      <c r="B2226" s="943">
        <v>45019</v>
      </c>
      <c r="C2226" s="195">
        <f t="shared" si="69"/>
        <v>4</v>
      </c>
      <c r="D2226" s="195">
        <v>42.4</v>
      </c>
      <c r="E2226" s="705">
        <f t="shared" si="70"/>
        <v>5.7777777777777768</v>
      </c>
    </row>
    <row r="2227" spans="2:5">
      <c r="B2227" s="943">
        <v>45019</v>
      </c>
      <c r="C2227" s="195">
        <f t="shared" si="69"/>
        <v>4</v>
      </c>
      <c r="D2227" s="195">
        <v>42.4</v>
      </c>
      <c r="E2227" s="705">
        <f t="shared" si="70"/>
        <v>5.7777777777777768</v>
      </c>
    </row>
    <row r="2228" spans="2:5">
      <c r="B2228" s="943">
        <v>45019</v>
      </c>
      <c r="C2228" s="195">
        <f t="shared" si="69"/>
        <v>4</v>
      </c>
      <c r="D2228" s="195">
        <v>42.4</v>
      </c>
      <c r="E2228" s="705">
        <f t="shared" si="70"/>
        <v>5.7777777777777768</v>
      </c>
    </row>
    <row r="2229" spans="2:5">
      <c r="B2229" s="943">
        <v>45019</v>
      </c>
      <c r="C2229" s="195">
        <f t="shared" si="69"/>
        <v>4</v>
      </c>
      <c r="D2229" s="195">
        <v>42.1</v>
      </c>
      <c r="E2229" s="705">
        <f t="shared" si="70"/>
        <v>5.6111111111111116</v>
      </c>
    </row>
    <row r="2230" spans="2:5">
      <c r="B2230" s="943">
        <v>45019</v>
      </c>
      <c r="C2230" s="195">
        <f t="shared" si="69"/>
        <v>4</v>
      </c>
      <c r="D2230" s="195">
        <v>41.5</v>
      </c>
      <c r="E2230" s="705">
        <f t="shared" si="70"/>
        <v>5.2777777777777777</v>
      </c>
    </row>
    <row r="2231" spans="2:5">
      <c r="B2231" s="943">
        <v>45019</v>
      </c>
      <c r="C2231" s="195">
        <f t="shared" si="69"/>
        <v>4</v>
      </c>
      <c r="D2231" s="195">
        <v>41.5</v>
      </c>
      <c r="E2231" s="705">
        <f t="shared" si="70"/>
        <v>5.2777777777777777</v>
      </c>
    </row>
    <row r="2232" spans="2:5">
      <c r="B2232" s="943">
        <v>45019</v>
      </c>
      <c r="C2232" s="195">
        <f t="shared" si="69"/>
        <v>4</v>
      </c>
      <c r="D2232" s="195">
        <v>41.4</v>
      </c>
      <c r="E2232" s="705">
        <f t="shared" si="70"/>
        <v>5.2222222222222214</v>
      </c>
    </row>
    <row r="2233" spans="2:5">
      <c r="B2233" s="943">
        <v>45019</v>
      </c>
      <c r="C2233" s="195">
        <f t="shared" si="69"/>
        <v>4</v>
      </c>
      <c r="D2233" s="195">
        <v>41.2</v>
      </c>
      <c r="E2233" s="705">
        <f t="shared" si="70"/>
        <v>5.1111111111111125</v>
      </c>
    </row>
    <row r="2234" spans="2:5">
      <c r="B2234" s="943">
        <v>45019</v>
      </c>
      <c r="C2234" s="195">
        <f t="shared" si="69"/>
        <v>4</v>
      </c>
      <c r="D2234" s="195">
        <v>41.7</v>
      </c>
      <c r="E2234" s="705">
        <f t="shared" si="70"/>
        <v>5.3888888888888902</v>
      </c>
    </row>
    <row r="2235" spans="2:5">
      <c r="B2235" s="943">
        <v>45019</v>
      </c>
      <c r="C2235" s="195">
        <f t="shared" si="69"/>
        <v>4</v>
      </c>
      <c r="D2235" s="195">
        <v>41.7</v>
      </c>
      <c r="E2235" s="705">
        <f t="shared" si="70"/>
        <v>5.3888888888888902</v>
      </c>
    </row>
    <row r="2236" spans="2:5">
      <c r="B2236" s="943">
        <v>45019</v>
      </c>
      <c r="C2236" s="195">
        <f t="shared" si="69"/>
        <v>4</v>
      </c>
      <c r="D2236" s="195">
        <v>42.1</v>
      </c>
      <c r="E2236" s="705">
        <f t="shared" si="70"/>
        <v>5.6111111111111116</v>
      </c>
    </row>
    <row r="2237" spans="2:5">
      <c r="B2237" s="943">
        <v>45019</v>
      </c>
      <c r="C2237" s="195">
        <f t="shared" si="69"/>
        <v>4</v>
      </c>
      <c r="D2237" s="195">
        <v>42.6</v>
      </c>
      <c r="E2237" s="705">
        <f t="shared" si="70"/>
        <v>5.8888888888888893</v>
      </c>
    </row>
    <row r="2238" spans="2:5">
      <c r="B2238" s="943">
        <v>45019</v>
      </c>
      <c r="C2238" s="195">
        <f t="shared" si="69"/>
        <v>4</v>
      </c>
      <c r="D2238" s="195">
        <v>43.2</v>
      </c>
      <c r="E2238" s="705">
        <f t="shared" si="70"/>
        <v>6.2222222222222232</v>
      </c>
    </row>
    <row r="2239" spans="2:5">
      <c r="B2239" s="943">
        <v>45019</v>
      </c>
      <c r="C2239" s="195">
        <f t="shared" si="69"/>
        <v>4</v>
      </c>
      <c r="D2239" s="195">
        <v>43.3</v>
      </c>
      <c r="E2239" s="705">
        <f t="shared" si="70"/>
        <v>6.2777777777777759</v>
      </c>
    </row>
    <row r="2240" spans="2:5">
      <c r="B2240" s="943">
        <v>45019</v>
      </c>
      <c r="C2240" s="195">
        <f t="shared" si="69"/>
        <v>4</v>
      </c>
      <c r="D2240" s="195">
        <v>43.3</v>
      </c>
      <c r="E2240" s="705">
        <f t="shared" si="70"/>
        <v>6.2777777777777759</v>
      </c>
    </row>
    <row r="2241" spans="2:5">
      <c r="B2241" s="943">
        <v>45020</v>
      </c>
      <c r="C2241" s="195">
        <f t="shared" si="69"/>
        <v>4</v>
      </c>
      <c r="D2241" s="195">
        <v>43.2</v>
      </c>
      <c r="E2241" s="705">
        <f t="shared" si="70"/>
        <v>6.2222222222222232</v>
      </c>
    </row>
    <row r="2242" spans="2:5">
      <c r="B2242" s="943">
        <v>45020</v>
      </c>
      <c r="C2242" s="195">
        <f t="shared" si="69"/>
        <v>4</v>
      </c>
      <c r="D2242" s="195">
        <v>42.6</v>
      </c>
      <c r="E2242" s="705">
        <f t="shared" si="70"/>
        <v>5.8888888888888893</v>
      </c>
    </row>
    <row r="2243" spans="2:5">
      <c r="B2243" s="943">
        <v>45020</v>
      </c>
      <c r="C2243" s="195">
        <f t="shared" si="69"/>
        <v>4</v>
      </c>
      <c r="D2243" s="195">
        <v>42.3</v>
      </c>
      <c r="E2243" s="705">
        <f t="shared" si="70"/>
        <v>5.7222222222222205</v>
      </c>
    </row>
    <row r="2244" spans="2:5">
      <c r="B2244" s="943">
        <v>45020</v>
      </c>
      <c r="C2244" s="195">
        <f t="shared" si="69"/>
        <v>4</v>
      </c>
      <c r="D2244" s="195">
        <v>42.1</v>
      </c>
      <c r="E2244" s="705">
        <f t="shared" si="70"/>
        <v>5.6111111111111116</v>
      </c>
    </row>
    <row r="2245" spans="2:5">
      <c r="B2245" s="943">
        <v>45020</v>
      </c>
      <c r="C2245" s="195">
        <f t="shared" si="69"/>
        <v>4</v>
      </c>
      <c r="D2245" s="195">
        <v>42.1</v>
      </c>
      <c r="E2245" s="705">
        <f t="shared" si="70"/>
        <v>5.6111111111111116</v>
      </c>
    </row>
    <row r="2246" spans="2:5">
      <c r="B2246" s="943">
        <v>45020</v>
      </c>
      <c r="C2246" s="195">
        <f t="shared" si="69"/>
        <v>4</v>
      </c>
      <c r="D2246" s="195">
        <v>41.9</v>
      </c>
      <c r="E2246" s="705">
        <f t="shared" si="70"/>
        <v>5.4999999999999991</v>
      </c>
    </row>
    <row r="2247" spans="2:5">
      <c r="B2247" s="943">
        <v>45020</v>
      </c>
      <c r="C2247" s="195">
        <f t="shared" si="69"/>
        <v>4</v>
      </c>
      <c r="D2247" s="195">
        <v>42.1</v>
      </c>
      <c r="E2247" s="705">
        <f t="shared" si="70"/>
        <v>5.6111111111111116</v>
      </c>
    </row>
    <row r="2248" spans="2:5">
      <c r="B2248" s="943">
        <v>45020</v>
      </c>
      <c r="C2248" s="195">
        <f t="shared" si="69"/>
        <v>4</v>
      </c>
      <c r="D2248" s="195">
        <v>42.3</v>
      </c>
      <c r="E2248" s="705">
        <f t="shared" si="70"/>
        <v>5.7222222222222205</v>
      </c>
    </row>
    <row r="2249" spans="2:5">
      <c r="B2249" s="943">
        <v>45020</v>
      </c>
      <c r="C2249" s="195">
        <f t="shared" si="69"/>
        <v>4</v>
      </c>
      <c r="D2249" s="195">
        <v>42.6</v>
      </c>
      <c r="E2249" s="705">
        <f t="shared" si="70"/>
        <v>5.8888888888888893</v>
      </c>
    </row>
    <row r="2250" spans="2:5">
      <c r="B2250" s="943">
        <v>45020</v>
      </c>
      <c r="C2250" s="195">
        <f t="shared" ref="C2250:C2313" si="71">MONTH(B2250)</f>
        <v>4</v>
      </c>
      <c r="D2250" s="195" t="s">
        <v>1430</v>
      </c>
      <c r="E2250" s="705">
        <f t="shared" ref="E2250:E2313" si="72">CONVERT(D2250,"F","C")</f>
        <v>6.1111111111111107</v>
      </c>
    </row>
    <row r="2251" spans="2:5">
      <c r="B2251" s="943">
        <v>45020</v>
      </c>
      <c r="C2251" s="195">
        <f t="shared" si="71"/>
        <v>4</v>
      </c>
      <c r="D2251" s="195">
        <v>43.2</v>
      </c>
      <c r="E2251" s="705">
        <f t="shared" si="72"/>
        <v>6.2222222222222232</v>
      </c>
    </row>
    <row r="2252" spans="2:5">
      <c r="B2252" s="943">
        <v>45020</v>
      </c>
      <c r="C2252" s="195">
        <f t="shared" si="71"/>
        <v>4</v>
      </c>
      <c r="D2252" s="195">
        <v>43.3</v>
      </c>
      <c r="E2252" s="705">
        <f t="shared" si="72"/>
        <v>6.2777777777777759</v>
      </c>
    </row>
    <row r="2253" spans="2:5">
      <c r="B2253" s="943">
        <v>45020</v>
      </c>
      <c r="C2253" s="195">
        <f t="shared" si="71"/>
        <v>4</v>
      </c>
      <c r="D2253" s="195" t="s">
        <v>1430</v>
      </c>
      <c r="E2253" s="705">
        <f t="shared" si="72"/>
        <v>6.1111111111111107</v>
      </c>
    </row>
    <row r="2254" spans="2:5">
      <c r="B2254" s="943">
        <v>45020</v>
      </c>
      <c r="C2254" s="195">
        <f t="shared" si="71"/>
        <v>4</v>
      </c>
      <c r="D2254" s="195">
        <v>42.4</v>
      </c>
      <c r="E2254" s="705">
        <f t="shared" si="72"/>
        <v>5.7777777777777768</v>
      </c>
    </row>
    <row r="2255" spans="2:5">
      <c r="B2255" s="943">
        <v>45020</v>
      </c>
      <c r="C2255" s="195">
        <f t="shared" si="71"/>
        <v>4</v>
      </c>
      <c r="D2255" s="195">
        <v>42.1</v>
      </c>
      <c r="E2255" s="705">
        <f t="shared" si="72"/>
        <v>5.6111111111111116</v>
      </c>
    </row>
    <row r="2256" spans="2:5">
      <c r="B2256" s="943">
        <v>45020</v>
      </c>
      <c r="C2256" s="195">
        <f t="shared" si="71"/>
        <v>4</v>
      </c>
      <c r="D2256" s="195">
        <v>42.1</v>
      </c>
      <c r="E2256" s="705">
        <f t="shared" si="72"/>
        <v>5.6111111111111116</v>
      </c>
    </row>
    <row r="2257" spans="2:5">
      <c r="B2257" s="943">
        <v>45020</v>
      </c>
      <c r="C2257" s="195">
        <f t="shared" si="71"/>
        <v>4</v>
      </c>
      <c r="D2257" s="195">
        <v>41.7</v>
      </c>
      <c r="E2257" s="705">
        <f t="shared" si="72"/>
        <v>5.3888888888888902</v>
      </c>
    </row>
    <row r="2258" spans="2:5">
      <c r="B2258" s="943">
        <v>45020</v>
      </c>
      <c r="C2258" s="195">
        <f t="shared" si="71"/>
        <v>4</v>
      </c>
      <c r="D2258" s="195">
        <v>41.5</v>
      </c>
      <c r="E2258" s="705">
        <f t="shared" si="72"/>
        <v>5.2777777777777777</v>
      </c>
    </row>
    <row r="2259" spans="2:5">
      <c r="B2259" s="943">
        <v>45020</v>
      </c>
      <c r="C2259" s="195">
        <f t="shared" si="71"/>
        <v>4</v>
      </c>
      <c r="D2259" s="195">
        <v>41.7</v>
      </c>
      <c r="E2259" s="705">
        <f t="shared" si="72"/>
        <v>5.3888888888888902</v>
      </c>
    </row>
    <row r="2260" spans="2:5">
      <c r="B2260" s="943">
        <v>45020</v>
      </c>
      <c r="C2260" s="195">
        <f t="shared" si="71"/>
        <v>4</v>
      </c>
      <c r="D2260" s="195">
        <v>42.1</v>
      </c>
      <c r="E2260" s="705">
        <f t="shared" si="72"/>
        <v>5.6111111111111116</v>
      </c>
    </row>
    <row r="2261" spans="2:5">
      <c r="B2261" s="943">
        <v>45020</v>
      </c>
      <c r="C2261" s="195">
        <f t="shared" si="71"/>
        <v>4</v>
      </c>
      <c r="D2261" s="195">
        <v>42.6</v>
      </c>
      <c r="E2261" s="705">
        <f t="shared" si="72"/>
        <v>5.8888888888888893</v>
      </c>
    </row>
    <row r="2262" spans="2:5">
      <c r="B2262" s="943">
        <v>45020</v>
      </c>
      <c r="C2262" s="195">
        <f t="shared" si="71"/>
        <v>4</v>
      </c>
      <c r="D2262" s="195">
        <v>43.2</v>
      </c>
      <c r="E2262" s="705">
        <f t="shared" si="72"/>
        <v>6.2222222222222232</v>
      </c>
    </row>
    <row r="2263" spans="2:5">
      <c r="B2263" s="943">
        <v>45020</v>
      </c>
      <c r="C2263" s="195">
        <f t="shared" si="71"/>
        <v>4</v>
      </c>
      <c r="D2263" s="195">
        <v>43.7</v>
      </c>
      <c r="E2263" s="705">
        <f t="shared" si="72"/>
        <v>6.5000000000000018</v>
      </c>
    </row>
    <row r="2264" spans="2:5">
      <c r="B2264" s="943">
        <v>45020</v>
      </c>
      <c r="C2264" s="195">
        <f t="shared" si="71"/>
        <v>4</v>
      </c>
      <c r="D2264" s="195">
        <v>43.9</v>
      </c>
      <c r="E2264" s="705">
        <f t="shared" si="72"/>
        <v>6.6111111111111098</v>
      </c>
    </row>
    <row r="2265" spans="2:5">
      <c r="B2265" s="943">
        <v>45017</v>
      </c>
      <c r="C2265" s="195">
        <f t="shared" si="71"/>
        <v>4</v>
      </c>
      <c r="D2265" s="195">
        <v>41.5</v>
      </c>
      <c r="E2265" s="705">
        <f t="shared" si="72"/>
        <v>5.2777777777777777</v>
      </c>
    </row>
    <row r="2266" spans="2:5">
      <c r="B2266" s="943">
        <v>45017</v>
      </c>
      <c r="C2266" s="195">
        <f t="shared" si="71"/>
        <v>4</v>
      </c>
      <c r="D2266" s="195">
        <v>41.5</v>
      </c>
      <c r="E2266" s="705">
        <f t="shared" si="72"/>
        <v>5.2777777777777777</v>
      </c>
    </row>
    <row r="2267" spans="2:5">
      <c r="B2267" s="943">
        <v>45017</v>
      </c>
      <c r="C2267" s="195">
        <f t="shared" si="71"/>
        <v>4</v>
      </c>
      <c r="D2267" s="195">
        <v>41.5</v>
      </c>
      <c r="E2267" s="705">
        <f t="shared" si="72"/>
        <v>5.2777777777777777</v>
      </c>
    </row>
    <row r="2268" spans="2:5">
      <c r="B2268" s="943">
        <v>45017</v>
      </c>
      <c r="C2268" s="195">
        <f t="shared" si="71"/>
        <v>4</v>
      </c>
      <c r="D2268" s="195">
        <v>41.5</v>
      </c>
      <c r="E2268" s="705">
        <f t="shared" si="72"/>
        <v>5.2777777777777777</v>
      </c>
    </row>
    <row r="2269" spans="2:5">
      <c r="B2269" s="943">
        <v>45017</v>
      </c>
      <c r="C2269" s="195">
        <f t="shared" si="71"/>
        <v>4</v>
      </c>
      <c r="D2269" s="195">
        <v>41.5</v>
      </c>
      <c r="E2269" s="705">
        <f t="shared" si="72"/>
        <v>5.2777777777777777</v>
      </c>
    </row>
    <row r="2270" spans="2:5">
      <c r="B2270" s="943">
        <v>45017</v>
      </c>
      <c r="C2270" s="195">
        <f t="shared" si="71"/>
        <v>4</v>
      </c>
      <c r="D2270" s="195">
        <v>41.5</v>
      </c>
      <c r="E2270" s="705">
        <f t="shared" si="72"/>
        <v>5.2777777777777777</v>
      </c>
    </row>
    <row r="2271" spans="2:5">
      <c r="B2271" s="943">
        <v>45017</v>
      </c>
      <c r="C2271" s="195">
        <f t="shared" si="71"/>
        <v>4</v>
      </c>
      <c r="D2271" s="195">
        <v>41.7</v>
      </c>
      <c r="E2271" s="705">
        <f t="shared" si="72"/>
        <v>5.3888888888888902</v>
      </c>
    </row>
    <row r="2272" spans="2:5">
      <c r="B2272" s="943">
        <v>45017</v>
      </c>
      <c r="C2272" s="195">
        <f t="shared" si="71"/>
        <v>4</v>
      </c>
      <c r="D2272" s="195">
        <v>41.9</v>
      </c>
      <c r="E2272" s="705">
        <f t="shared" si="72"/>
        <v>5.4999999999999991</v>
      </c>
    </row>
    <row r="2273" spans="2:5">
      <c r="B2273" s="943">
        <v>45017</v>
      </c>
      <c r="C2273" s="195">
        <f t="shared" si="71"/>
        <v>4</v>
      </c>
      <c r="D2273" s="195">
        <v>42.1</v>
      </c>
      <c r="E2273" s="705">
        <f t="shared" si="72"/>
        <v>5.6111111111111116</v>
      </c>
    </row>
    <row r="2274" spans="2:5">
      <c r="B2274" s="943">
        <v>45017</v>
      </c>
      <c r="C2274" s="195">
        <f t="shared" si="71"/>
        <v>4</v>
      </c>
      <c r="D2274" s="195">
        <v>42.1</v>
      </c>
      <c r="E2274" s="705">
        <f t="shared" si="72"/>
        <v>5.6111111111111116</v>
      </c>
    </row>
    <row r="2275" spans="2:5">
      <c r="B2275" s="943">
        <v>45017</v>
      </c>
      <c r="C2275" s="195">
        <f t="shared" si="71"/>
        <v>4</v>
      </c>
      <c r="D2275" s="195">
        <v>41.9</v>
      </c>
      <c r="E2275" s="705">
        <f t="shared" si="72"/>
        <v>5.4999999999999991</v>
      </c>
    </row>
    <row r="2276" spans="2:5">
      <c r="B2276" s="943">
        <v>45017</v>
      </c>
      <c r="C2276" s="195">
        <f t="shared" si="71"/>
        <v>4</v>
      </c>
      <c r="D2276" s="195">
        <v>41.5</v>
      </c>
      <c r="E2276" s="705">
        <f t="shared" si="72"/>
        <v>5.2777777777777777</v>
      </c>
    </row>
    <row r="2277" spans="2:5">
      <c r="B2277" s="943">
        <v>45017</v>
      </c>
      <c r="C2277" s="195">
        <f t="shared" si="71"/>
        <v>4</v>
      </c>
      <c r="D2277" s="195">
        <v>41.4</v>
      </c>
      <c r="E2277" s="705">
        <f t="shared" si="72"/>
        <v>5.2222222222222214</v>
      </c>
    </row>
    <row r="2278" spans="2:5">
      <c r="B2278" s="943">
        <v>45017</v>
      </c>
      <c r="C2278" s="195">
        <f t="shared" si="71"/>
        <v>4</v>
      </c>
      <c r="D2278" s="195">
        <v>41.4</v>
      </c>
      <c r="E2278" s="705">
        <f t="shared" si="72"/>
        <v>5.2222222222222214</v>
      </c>
    </row>
    <row r="2279" spans="2:5">
      <c r="B2279" s="943">
        <v>45017</v>
      </c>
      <c r="C2279" s="195">
        <f t="shared" si="71"/>
        <v>4</v>
      </c>
      <c r="D2279" s="195">
        <v>41.2</v>
      </c>
      <c r="E2279" s="705">
        <f t="shared" si="72"/>
        <v>5.1111111111111125</v>
      </c>
    </row>
    <row r="2280" spans="2:5">
      <c r="B2280" s="943">
        <v>45017</v>
      </c>
      <c r="C2280" s="195">
        <f t="shared" si="71"/>
        <v>4</v>
      </c>
      <c r="D2280" s="195">
        <v>41.2</v>
      </c>
      <c r="E2280" s="705">
        <f t="shared" si="72"/>
        <v>5.1111111111111125</v>
      </c>
    </row>
    <row r="2281" spans="2:5">
      <c r="B2281" s="943">
        <v>45017</v>
      </c>
      <c r="C2281" s="195">
        <f t="shared" si="71"/>
        <v>4</v>
      </c>
      <c r="D2281" s="195">
        <v>41.4</v>
      </c>
      <c r="E2281" s="705">
        <f t="shared" si="72"/>
        <v>5.2222222222222214</v>
      </c>
    </row>
    <row r="2282" spans="2:5">
      <c r="B2282" s="943">
        <v>45017</v>
      </c>
      <c r="C2282" s="195">
        <f t="shared" si="71"/>
        <v>4</v>
      </c>
      <c r="D2282" s="195">
        <v>41.4</v>
      </c>
      <c r="E2282" s="705">
        <f t="shared" si="72"/>
        <v>5.2222222222222214</v>
      </c>
    </row>
    <row r="2283" spans="2:5">
      <c r="B2283" s="943">
        <v>45017</v>
      </c>
      <c r="C2283" s="195">
        <f t="shared" si="71"/>
        <v>4</v>
      </c>
      <c r="D2283" s="195">
        <v>41.7</v>
      </c>
      <c r="E2283" s="705">
        <f t="shared" si="72"/>
        <v>5.3888888888888902</v>
      </c>
    </row>
    <row r="2284" spans="2:5">
      <c r="B2284" s="943">
        <v>45017</v>
      </c>
      <c r="C2284" s="195">
        <f t="shared" si="71"/>
        <v>4</v>
      </c>
      <c r="D2284" s="195">
        <v>42.1</v>
      </c>
      <c r="E2284" s="705">
        <f t="shared" si="72"/>
        <v>5.6111111111111116</v>
      </c>
    </row>
    <row r="2285" spans="2:5">
      <c r="B2285" s="943">
        <v>45017</v>
      </c>
      <c r="C2285" s="195">
        <f t="shared" si="71"/>
        <v>4</v>
      </c>
      <c r="D2285" s="195">
        <v>42.3</v>
      </c>
      <c r="E2285" s="705">
        <f t="shared" si="72"/>
        <v>5.7222222222222205</v>
      </c>
    </row>
    <row r="2286" spans="2:5">
      <c r="B2286" s="943">
        <v>45017</v>
      </c>
      <c r="C2286" s="195">
        <f t="shared" si="71"/>
        <v>4</v>
      </c>
      <c r="D2286" s="195">
        <v>42.4</v>
      </c>
      <c r="E2286" s="705">
        <f t="shared" si="72"/>
        <v>5.7777777777777768</v>
      </c>
    </row>
    <row r="2287" spans="2:5">
      <c r="B2287" s="943">
        <v>45017</v>
      </c>
      <c r="C2287" s="195">
        <f t="shared" si="71"/>
        <v>4</v>
      </c>
      <c r="D2287" s="195">
        <v>42.4</v>
      </c>
      <c r="E2287" s="705">
        <f t="shared" si="72"/>
        <v>5.7777777777777768</v>
      </c>
    </row>
    <row r="2288" spans="2:5">
      <c r="B2288" s="943">
        <v>45017</v>
      </c>
      <c r="C2288" s="195">
        <f t="shared" si="71"/>
        <v>4</v>
      </c>
      <c r="D2288" s="195">
        <v>42.3</v>
      </c>
      <c r="E2288" s="705">
        <f t="shared" si="72"/>
        <v>5.7222222222222205</v>
      </c>
    </row>
    <row r="2289" spans="2:5">
      <c r="B2289" s="943">
        <v>45018</v>
      </c>
      <c r="C2289" s="195">
        <f t="shared" si="71"/>
        <v>4</v>
      </c>
      <c r="D2289" s="195">
        <v>41.7</v>
      </c>
      <c r="E2289" s="705">
        <f t="shared" si="72"/>
        <v>5.3888888888888902</v>
      </c>
    </row>
    <row r="2290" spans="2:5">
      <c r="B2290" s="943">
        <v>45018</v>
      </c>
      <c r="C2290" s="195">
        <f t="shared" si="71"/>
        <v>4</v>
      </c>
      <c r="D2290" s="195">
        <v>41.5</v>
      </c>
      <c r="E2290" s="705">
        <f t="shared" si="72"/>
        <v>5.2777777777777777</v>
      </c>
    </row>
    <row r="2291" spans="2:5">
      <c r="B2291" s="943">
        <v>45018</v>
      </c>
      <c r="C2291" s="195">
        <f t="shared" si="71"/>
        <v>4</v>
      </c>
      <c r="D2291" s="195">
        <v>41.4</v>
      </c>
      <c r="E2291" s="705">
        <f t="shared" si="72"/>
        <v>5.2222222222222214</v>
      </c>
    </row>
    <row r="2292" spans="2:5">
      <c r="B2292" s="943">
        <v>45018</v>
      </c>
      <c r="C2292" s="195">
        <f t="shared" si="71"/>
        <v>4</v>
      </c>
      <c r="D2292" s="195">
        <v>41.4</v>
      </c>
      <c r="E2292" s="705">
        <f t="shared" si="72"/>
        <v>5.2222222222222214</v>
      </c>
    </row>
    <row r="2293" spans="2:5">
      <c r="B2293" s="943">
        <v>45018</v>
      </c>
      <c r="C2293" s="195">
        <f t="shared" si="71"/>
        <v>4</v>
      </c>
      <c r="D2293" s="195">
        <v>41.5</v>
      </c>
      <c r="E2293" s="705">
        <f t="shared" si="72"/>
        <v>5.2777777777777777</v>
      </c>
    </row>
    <row r="2294" spans="2:5">
      <c r="B2294" s="943">
        <v>45018</v>
      </c>
      <c r="C2294" s="195">
        <f t="shared" si="71"/>
        <v>4</v>
      </c>
      <c r="D2294" s="195">
        <v>41.5</v>
      </c>
      <c r="E2294" s="705">
        <f t="shared" si="72"/>
        <v>5.2777777777777777</v>
      </c>
    </row>
    <row r="2295" spans="2:5">
      <c r="B2295" s="943">
        <v>45018</v>
      </c>
      <c r="C2295" s="195">
        <f t="shared" si="71"/>
        <v>4</v>
      </c>
      <c r="D2295" s="195">
        <v>41.7</v>
      </c>
      <c r="E2295" s="705">
        <f t="shared" si="72"/>
        <v>5.3888888888888902</v>
      </c>
    </row>
    <row r="2296" spans="2:5">
      <c r="B2296" s="943">
        <v>45018</v>
      </c>
      <c r="C2296" s="195">
        <f t="shared" si="71"/>
        <v>4</v>
      </c>
      <c r="D2296" s="195">
        <v>41.9</v>
      </c>
      <c r="E2296" s="705">
        <f t="shared" si="72"/>
        <v>5.4999999999999991</v>
      </c>
    </row>
    <row r="2297" spans="2:5">
      <c r="B2297" s="943">
        <v>45018</v>
      </c>
      <c r="C2297" s="195">
        <f t="shared" si="71"/>
        <v>4</v>
      </c>
      <c r="D2297" s="195">
        <v>42.3</v>
      </c>
      <c r="E2297" s="705">
        <f t="shared" si="72"/>
        <v>5.7222222222222205</v>
      </c>
    </row>
    <row r="2298" spans="2:5">
      <c r="B2298" s="943">
        <v>45018</v>
      </c>
      <c r="C2298" s="195">
        <f t="shared" si="71"/>
        <v>4</v>
      </c>
      <c r="D2298" s="195">
        <v>42.4</v>
      </c>
      <c r="E2298" s="705">
        <f t="shared" si="72"/>
        <v>5.7777777777777768</v>
      </c>
    </row>
    <row r="2299" spans="2:5">
      <c r="B2299" s="943">
        <v>45018</v>
      </c>
      <c r="C2299" s="195">
        <f t="shared" si="71"/>
        <v>4</v>
      </c>
      <c r="D2299" s="195">
        <v>42.3</v>
      </c>
      <c r="E2299" s="705">
        <f t="shared" si="72"/>
        <v>5.7222222222222205</v>
      </c>
    </row>
    <row r="2300" spans="2:5">
      <c r="B2300" s="943">
        <v>45018</v>
      </c>
      <c r="C2300" s="195">
        <f t="shared" si="71"/>
        <v>4</v>
      </c>
      <c r="D2300" s="195">
        <v>42.1</v>
      </c>
      <c r="E2300" s="705">
        <f t="shared" si="72"/>
        <v>5.6111111111111116</v>
      </c>
    </row>
    <row r="2301" spans="2:5">
      <c r="B2301" s="943">
        <v>45018</v>
      </c>
      <c r="C2301" s="195">
        <f t="shared" si="71"/>
        <v>4</v>
      </c>
      <c r="D2301" s="195">
        <v>41.5</v>
      </c>
      <c r="E2301" s="705">
        <f t="shared" si="72"/>
        <v>5.2777777777777777</v>
      </c>
    </row>
    <row r="2302" spans="2:5">
      <c r="B2302" s="943">
        <v>45018</v>
      </c>
      <c r="C2302" s="195">
        <f t="shared" si="71"/>
        <v>4</v>
      </c>
      <c r="D2302" s="195">
        <v>41.5</v>
      </c>
      <c r="E2302" s="705">
        <f t="shared" si="72"/>
        <v>5.2777777777777777</v>
      </c>
    </row>
    <row r="2303" spans="2:5">
      <c r="B2303" s="943">
        <v>45018</v>
      </c>
      <c r="C2303" s="195">
        <f t="shared" si="71"/>
        <v>4</v>
      </c>
      <c r="D2303" s="195">
        <v>41.5</v>
      </c>
      <c r="E2303" s="705">
        <f t="shared" si="72"/>
        <v>5.2777777777777777</v>
      </c>
    </row>
    <row r="2304" spans="2:5">
      <c r="B2304" s="943">
        <v>45018</v>
      </c>
      <c r="C2304" s="195">
        <f t="shared" si="71"/>
        <v>4</v>
      </c>
      <c r="D2304" s="195">
        <v>41.2</v>
      </c>
      <c r="E2304" s="705">
        <f t="shared" si="72"/>
        <v>5.1111111111111125</v>
      </c>
    </row>
    <row r="2305" spans="2:5">
      <c r="B2305" s="943">
        <v>45018</v>
      </c>
      <c r="C2305" s="195">
        <f t="shared" si="71"/>
        <v>4</v>
      </c>
      <c r="D2305" s="195">
        <v>41.5</v>
      </c>
      <c r="E2305" s="705">
        <f t="shared" si="72"/>
        <v>5.2777777777777777</v>
      </c>
    </row>
    <row r="2306" spans="2:5">
      <c r="B2306" s="943">
        <v>45018</v>
      </c>
      <c r="C2306" s="195">
        <f t="shared" si="71"/>
        <v>4</v>
      </c>
      <c r="D2306" s="195">
        <v>41.5</v>
      </c>
      <c r="E2306" s="705">
        <f t="shared" si="72"/>
        <v>5.2777777777777777</v>
      </c>
    </row>
    <row r="2307" spans="2:5">
      <c r="B2307" s="943">
        <v>45018</v>
      </c>
      <c r="C2307" s="195">
        <f t="shared" si="71"/>
        <v>4</v>
      </c>
      <c r="D2307" s="195">
        <v>42.1</v>
      </c>
      <c r="E2307" s="705">
        <f t="shared" si="72"/>
        <v>5.6111111111111116</v>
      </c>
    </row>
    <row r="2308" spans="2:5">
      <c r="B2308" s="943">
        <v>45018</v>
      </c>
      <c r="C2308" s="195">
        <f t="shared" si="71"/>
        <v>4</v>
      </c>
      <c r="D2308" s="195">
        <v>42.4</v>
      </c>
      <c r="E2308" s="705">
        <f t="shared" si="72"/>
        <v>5.7777777777777768</v>
      </c>
    </row>
    <row r="2309" spans="2:5">
      <c r="B2309" s="943">
        <v>45018</v>
      </c>
      <c r="C2309" s="195">
        <f t="shared" si="71"/>
        <v>4</v>
      </c>
      <c r="D2309" s="195">
        <v>42.8</v>
      </c>
      <c r="E2309" s="705">
        <f t="shared" si="72"/>
        <v>5.9999999999999982</v>
      </c>
    </row>
    <row r="2310" spans="2:5">
      <c r="B2310" s="943">
        <v>45018</v>
      </c>
      <c r="C2310" s="195">
        <f t="shared" si="71"/>
        <v>4</v>
      </c>
      <c r="D2310" s="195" t="s">
        <v>1430</v>
      </c>
      <c r="E2310" s="705">
        <f t="shared" si="72"/>
        <v>6.1111111111111107</v>
      </c>
    </row>
    <row r="2311" spans="2:5">
      <c r="B2311" s="943">
        <v>45018</v>
      </c>
      <c r="C2311" s="195">
        <f t="shared" si="71"/>
        <v>4</v>
      </c>
      <c r="D2311" s="195">
        <v>43.2</v>
      </c>
      <c r="E2311" s="705">
        <f t="shared" si="72"/>
        <v>6.2222222222222232</v>
      </c>
    </row>
    <row r="2312" spans="2:5">
      <c r="B2312" s="943">
        <v>45018</v>
      </c>
      <c r="C2312" s="195">
        <f t="shared" si="71"/>
        <v>4</v>
      </c>
      <c r="D2312" s="195" t="s">
        <v>1430</v>
      </c>
      <c r="E2312" s="705">
        <f t="shared" si="72"/>
        <v>6.1111111111111107</v>
      </c>
    </row>
    <row r="2313" spans="2:5">
      <c r="B2313" s="943">
        <v>45019</v>
      </c>
      <c r="C2313" s="195">
        <f t="shared" si="71"/>
        <v>4</v>
      </c>
      <c r="D2313" s="195">
        <v>42.3</v>
      </c>
      <c r="E2313" s="705">
        <f t="shared" si="72"/>
        <v>5.7222222222222205</v>
      </c>
    </row>
    <row r="2314" spans="2:5">
      <c r="B2314" s="943">
        <v>45019</v>
      </c>
      <c r="C2314" s="195">
        <f t="shared" ref="C2314:C2377" si="73">MONTH(B2314)</f>
        <v>4</v>
      </c>
      <c r="D2314" s="195">
        <v>41.9</v>
      </c>
      <c r="E2314" s="705">
        <f t="shared" ref="E2314:E2377" si="74">CONVERT(D2314,"F","C")</f>
        <v>5.4999999999999991</v>
      </c>
    </row>
    <row r="2315" spans="2:5">
      <c r="B2315" s="943">
        <v>45019</v>
      </c>
      <c r="C2315" s="195">
        <f t="shared" si="73"/>
        <v>4</v>
      </c>
      <c r="D2315" s="195">
        <v>41.5</v>
      </c>
      <c r="E2315" s="705">
        <f t="shared" si="74"/>
        <v>5.2777777777777777</v>
      </c>
    </row>
    <row r="2316" spans="2:5">
      <c r="B2316" s="943">
        <v>45019</v>
      </c>
      <c r="C2316" s="195">
        <f t="shared" si="73"/>
        <v>4</v>
      </c>
      <c r="D2316" s="195">
        <v>41.4</v>
      </c>
      <c r="E2316" s="705">
        <f t="shared" si="74"/>
        <v>5.2222222222222214</v>
      </c>
    </row>
    <row r="2317" spans="2:5">
      <c r="B2317" s="943">
        <v>45019</v>
      </c>
      <c r="C2317" s="195">
        <f t="shared" si="73"/>
        <v>4</v>
      </c>
      <c r="D2317" s="195">
        <v>41.4</v>
      </c>
      <c r="E2317" s="705">
        <f t="shared" si="74"/>
        <v>5.2222222222222214</v>
      </c>
    </row>
    <row r="2318" spans="2:5">
      <c r="B2318" s="943">
        <v>45019</v>
      </c>
      <c r="C2318" s="195">
        <f t="shared" si="73"/>
        <v>4</v>
      </c>
      <c r="D2318" s="195">
        <v>41.4</v>
      </c>
      <c r="E2318" s="705">
        <f t="shared" si="74"/>
        <v>5.2222222222222214</v>
      </c>
    </row>
    <row r="2319" spans="2:5">
      <c r="B2319" s="943">
        <v>45019</v>
      </c>
      <c r="C2319" s="195">
        <f t="shared" si="73"/>
        <v>4</v>
      </c>
      <c r="D2319" s="195">
        <v>41.4</v>
      </c>
      <c r="E2319" s="705">
        <f t="shared" si="74"/>
        <v>5.2222222222222214</v>
      </c>
    </row>
    <row r="2320" spans="2:5">
      <c r="B2320" s="943">
        <v>45019</v>
      </c>
      <c r="C2320" s="195">
        <f t="shared" si="73"/>
        <v>4</v>
      </c>
      <c r="D2320" s="195">
        <v>41.7</v>
      </c>
      <c r="E2320" s="705">
        <f t="shared" si="74"/>
        <v>5.3888888888888902</v>
      </c>
    </row>
    <row r="2321" spans="2:5">
      <c r="B2321" s="943">
        <v>45019</v>
      </c>
      <c r="C2321" s="195">
        <f t="shared" si="73"/>
        <v>4</v>
      </c>
      <c r="D2321" s="195">
        <v>42.1</v>
      </c>
      <c r="E2321" s="705">
        <f t="shared" si="74"/>
        <v>5.6111111111111116</v>
      </c>
    </row>
    <row r="2322" spans="2:5">
      <c r="B2322" s="943">
        <v>45019</v>
      </c>
      <c r="C2322" s="195">
        <f t="shared" si="73"/>
        <v>4</v>
      </c>
      <c r="D2322" s="195">
        <v>42.4</v>
      </c>
      <c r="E2322" s="705">
        <f t="shared" si="74"/>
        <v>5.7777777777777768</v>
      </c>
    </row>
    <row r="2323" spans="2:5">
      <c r="B2323" s="943">
        <v>45019</v>
      </c>
      <c r="C2323" s="195">
        <f t="shared" si="73"/>
        <v>4</v>
      </c>
      <c r="D2323" s="195">
        <v>42.4</v>
      </c>
      <c r="E2323" s="705">
        <f t="shared" si="74"/>
        <v>5.7777777777777768</v>
      </c>
    </row>
    <row r="2324" spans="2:5">
      <c r="B2324" s="943">
        <v>45019</v>
      </c>
      <c r="C2324" s="195">
        <f t="shared" si="73"/>
        <v>4</v>
      </c>
      <c r="D2324" s="195">
        <v>42.4</v>
      </c>
      <c r="E2324" s="705">
        <f t="shared" si="74"/>
        <v>5.7777777777777768</v>
      </c>
    </row>
    <row r="2325" spans="2:5">
      <c r="B2325" s="943">
        <v>45019</v>
      </c>
      <c r="C2325" s="195">
        <f t="shared" si="73"/>
        <v>4</v>
      </c>
      <c r="D2325" s="195">
        <v>42.1</v>
      </c>
      <c r="E2325" s="705">
        <f t="shared" si="74"/>
        <v>5.6111111111111116</v>
      </c>
    </row>
    <row r="2326" spans="2:5">
      <c r="B2326" s="943">
        <v>45019</v>
      </c>
      <c r="C2326" s="195">
        <f t="shared" si="73"/>
        <v>4</v>
      </c>
      <c r="D2326" s="195">
        <v>41.5</v>
      </c>
      <c r="E2326" s="705">
        <f t="shared" si="74"/>
        <v>5.2777777777777777</v>
      </c>
    </row>
    <row r="2327" spans="2:5">
      <c r="B2327" s="943">
        <v>45019</v>
      </c>
      <c r="C2327" s="195">
        <f t="shared" si="73"/>
        <v>4</v>
      </c>
      <c r="D2327" s="195">
        <v>41.5</v>
      </c>
      <c r="E2327" s="705">
        <f t="shared" si="74"/>
        <v>5.2777777777777777</v>
      </c>
    </row>
    <row r="2328" spans="2:5">
      <c r="B2328" s="943">
        <v>45019</v>
      </c>
      <c r="C2328" s="195">
        <f t="shared" si="73"/>
        <v>4</v>
      </c>
      <c r="D2328" s="195">
        <v>41.4</v>
      </c>
      <c r="E2328" s="705">
        <f t="shared" si="74"/>
        <v>5.2222222222222214</v>
      </c>
    </row>
    <row r="2329" spans="2:5">
      <c r="B2329" s="943">
        <v>45019</v>
      </c>
      <c r="C2329" s="195">
        <f t="shared" si="73"/>
        <v>4</v>
      </c>
      <c r="D2329" s="195">
        <v>41.2</v>
      </c>
      <c r="E2329" s="705">
        <f t="shared" si="74"/>
        <v>5.1111111111111125</v>
      </c>
    </row>
    <row r="2330" spans="2:5">
      <c r="B2330" s="943">
        <v>45019</v>
      </c>
      <c r="C2330" s="195">
        <f t="shared" si="73"/>
        <v>4</v>
      </c>
      <c r="D2330" s="195">
        <v>41.7</v>
      </c>
      <c r="E2330" s="705">
        <f t="shared" si="74"/>
        <v>5.3888888888888902</v>
      </c>
    </row>
    <row r="2331" spans="2:5">
      <c r="B2331" s="943">
        <v>45019</v>
      </c>
      <c r="C2331" s="195">
        <f t="shared" si="73"/>
        <v>4</v>
      </c>
      <c r="D2331" s="195">
        <v>41.7</v>
      </c>
      <c r="E2331" s="705">
        <f t="shared" si="74"/>
        <v>5.3888888888888902</v>
      </c>
    </row>
    <row r="2332" spans="2:5">
      <c r="B2332" s="943">
        <v>45019</v>
      </c>
      <c r="C2332" s="195">
        <f t="shared" si="73"/>
        <v>4</v>
      </c>
      <c r="D2332" s="195">
        <v>42.1</v>
      </c>
      <c r="E2332" s="705">
        <f t="shared" si="74"/>
        <v>5.6111111111111116</v>
      </c>
    </row>
    <row r="2333" spans="2:5">
      <c r="B2333" s="943">
        <v>45019</v>
      </c>
      <c r="C2333" s="195">
        <f t="shared" si="73"/>
        <v>4</v>
      </c>
      <c r="D2333" s="195">
        <v>42.6</v>
      </c>
      <c r="E2333" s="705">
        <f t="shared" si="74"/>
        <v>5.8888888888888893</v>
      </c>
    </row>
    <row r="2334" spans="2:5">
      <c r="B2334" s="943">
        <v>45019</v>
      </c>
      <c r="C2334" s="195">
        <f t="shared" si="73"/>
        <v>4</v>
      </c>
      <c r="D2334" s="195">
        <v>43.2</v>
      </c>
      <c r="E2334" s="705">
        <f t="shared" si="74"/>
        <v>6.2222222222222232</v>
      </c>
    </row>
    <row r="2335" spans="2:5">
      <c r="B2335" s="943">
        <v>45019</v>
      </c>
      <c r="C2335" s="195">
        <f t="shared" si="73"/>
        <v>4</v>
      </c>
      <c r="D2335" s="195">
        <v>43.3</v>
      </c>
      <c r="E2335" s="705">
        <f t="shared" si="74"/>
        <v>6.2777777777777759</v>
      </c>
    </row>
    <row r="2336" spans="2:5">
      <c r="B2336" s="943">
        <v>45019</v>
      </c>
      <c r="C2336" s="195">
        <f t="shared" si="73"/>
        <v>4</v>
      </c>
      <c r="D2336" s="195">
        <v>43.3</v>
      </c>
      <c r="E2336" s="705">
        <f t="shared" si="74"/>
        <v>6.2777777777777759</v>
      </c>
    </row>
    <row r="2337" spans="2:5">
      <c r="B2337" s="943">
        <v>45020</v>
      </c>
      <c r="C2337" s="195">
        <f t="shared" si="73"/>
        <v>4</v>
      </c>
      <c r="D2337" s="195">
        <v>43.2</v>
      </c>
      <c r="E2337" s="705">
        <f t="shared" si="74"/>
        <v>6.2222222222222232</v>
      </c>
    </row>
    <row r="2338" spans="2:5">
      <c r="B2338" s="943">
        <v>45020</v>
      </c>
      <c r="C2338" s="195">
        <f t="shared" si="73"/>
        <v>4</v>
      </c>
      <c r="D2338" s="195">
        <v>42.6</v>
      </c>
      <c r="E2338" s="705">
        <f t="shared" si="74"/>
        <v>5.8888888888888893</v>
      </c>
    </row>
    <row r="2339" spans="2:5">
      <c r="B2339" s="943">
        <v>45020</v>
      </c>
      <c r="C2339" s="195">
        <f t="shared" si="73"/>
        <v>4</v>
      </c>
      <c r="D2339" s="195">
        <v>42.3</v>
      </c>
      <c r="E2339" s="705">
        <f t="shared" si="74"/>
        <v>5.7222222222222205</v>
      </c>
    </row>
    <row r="2340" spans="2:5">
      <c r="B2340" s="943">
        <v>45020</v>
      </c>
      <c r="C2340" s="195">
        <f t="shared" si="73"/>
        <v>4</v>
      </c>
      <c r="D2340" s="195">
        <v>42.1</v>
      </c>
      <c r="E2340" s="705">
        <f t="shared" si="74"/>
        <v>5.6111111111111116</v>
      </c>
    </row>
    <row r="2341" spans="2:5">
      <c r="B2341" s="943">
        <v>45020</v>
      </c>
      <c r="C2341" s="195">
        <f t="shared" si="73"/>
        <v>4</v>
      </c>
      <c r="D2341" s="195">
        <v>42.1</v>
      </c>
      <c r="E2341" s="705">
        <f t="shared" si="74"/>
        <v>5.6111111111111116</v>
      </c>
    </row>
    <row r="2342" spans="2:5">
      <c r="B2342" s="943">
        <v>45020</v>
      </c>
      <c r="C2342" s="195">
        <f t="shared" si="73"/>
        <v>4</v>
      </c>
      <c r="D2342" s="195">
        <v>41.9</v>
      </c>
      <c r="E2342" s="705">
        <f t="shared" si="74"/>
        <v>5.4999999999999991</v>
      </c>
    </row>
    <row r="2343" spans="2:5">
      <c r="B2343" s="943">
        <v>45020</v>
      </c>
      <c r="C2343" s="195">
        <f t="shared" si="73"/>
        <v>4</v>
      </c>
      <c r="D2343" s="195">
        <v>42.1</v>
      </c>
      <c r="E2343" s="705">
        <f t="shared" si="74"/>
        <v>5.6111111111111116</v>
      </c>
    </row>
    <row r="2344" spans="2:5">
      <c r="B2344" s="943">
        <v>45020</v>
      </c>
      <c r="C2344" s="195">
        <f t="shared" si="73"/>
        <v>4</v>
      </c>
      <c r="D2344" s="195">
        <v>42.3</v>
      </c>
      <c r="E2344" s="705">
        <f t="shared" si="74"/>
        <v>5.7222222222222205</v>
      </c>
    </row>
    <row r="2345" spans="2:5">
      <c r="B2345" s="943">
        <v>45020</v>
      </c>
      <c r="C2345" s="195">
        <f t="shared" si="73"/>
        <v>4</v>
      </c>
      <c r="D2345" s="195">
        <v>42.6</v>
      </c>
      <c r="E2345" s="705">
        <f t="shared" si="74"/>
        <v>5.8888888888888893</v>
      </c>
    </row>
    <row r="2346" spans="2:5">
      <c r="B2346" s="943">
        <v>45020</v>
      </c>
      <c r="C2346" s="195">
        <f t="shared" si="73"/>
        <v>4</v>
      </c>
      <c r="D2346" s="195" t="s">
        <v>1430</v>
      </c>
      <c r="E2346" s="705">
        <f t="shared" si="74"/>
        <v>6.1111111111111107</v>
      </c>
    </row>
    <row r="2347" spans="2:5">
      <c r="B2347" s="943">
        <v>45020</v>
      </c>
      <c r="C2347" s="195">
        <f t="shared" si="73"/>
        <v>4</v>
      </c>
      <c r="D2347" s="195">
        <v>43.2</v>
      </c>
      <c r="E2347" s="705">
        <f t="shared" si="74"/>
        <v>6.2222222222222232</v>
      </c>
    </row>
    <row r="2348" spans="2:5">
      <c r="B2348" s="943">
        <v>45020</v>
      </c>
      <c r="C2348" s="195">
        <f t="shared" si="73"/>
        <v>4</v>
      </c>
      <c r="D2348" s="195">
        <v>43.3</v>
      </c>
      <c r="E2348" s="705">
        <f t="shared" si="74"/>
        <v>6.2777777777777759</v>
      </c>
    </row>
    <row r="2349" spans="2:5">
      <c r="B2349" s="943">
        <v>45020</v>
      </c>
      <c r="C2349" s="195">
        <f t="shared" si="73"/>
        <v>4</v>
      </c>
      <c r="D2349" s="195" t="s">
        <v>1430</v>
      </c>
      <c r="E2349" s="705">
        <f t="shared" si="74"/>
        <v>6.1111111111111107</v>
      </c>
    </row>
    <row r="2350" spans="2:5">
      <c r="B2350" s="943">
        <v>45020</v>
      </c>
      <c r="C2350" s="195">
        <f t="shared" si="73"/>
        <v>4</v>
      </c>
      <c r="D2350" s="195">
        <v>42.4</v>
      </c>
      <c r="E2350" s="705">
        <f t="shared" si="74"/>
        <v>5.7777777777777768</v>
      </c>
    </row>
    <row r="2351" spans="2:5">
      <c r="B2351" s="943">
        <v>45020</v>
      </c>
      <c r="C2351" s="195">
        <f t="shared" si="73"/>
        <v>4</v>
      </c>
      <c r="D2351" s="195">
        <v>42.1</v>
      </c>
      <c r="E2351" s="705">
        <f t="shared" si="74"/>
        <v>5.6111111111111116</v>
      </c>
    </row>
    <row r="2352" spans="2:5">
      <c r="B2352" s="943">
        <v>45020</v>
      </c>
      <c r="C2352" s="195">
        <f t="shared" si="73"/>
        <v>4</v>
      </c>
      <c r="D2352" s="195">
        <v>42.1</v>
      </c>
      <c r="E2352" s="705">
        <f t="shared" si="74"/>
        <v>5.6111111111111116</v>
      </c>
    </row>
    <row r="2353" spans="2:5">
      <c r="B2353" s="943">
        <v>45020</v>
      </c>
      <c r="C2353" s="195">
        <f t="shared" si="73"/>
        <v>4</v>
      </c>
      <c r="D2353" s="195">
        <v>41.7</v>
      </c>
      <c r="E2353" s="705">
        <f t="shared" si="74"/>
        <v>5.3888888888888902</v>
      </c>
    </row>
    <row r="2354" spans="2:5">
      <c r="B2354" s="943">
        <v>45020</v>
      </c>
      <c r="C2354" s="195">
        <f t="shared" si="73"/>
        <v>4</v>
      </c>
      <c r="D2354" s="195">
        <v>41.5</v>
      </c>
      <c r="E2354" s="705">
        <f t="shared" si="74"/>
        <v>5.2777777777777777</v>
      </c>
    </row>
    <row r="2355" spans="2:5">
      <c r="B2355" s="943">
        <v>45020</v>
      </c>
      <c r="C2355" s="195">
        <f t="shared" si="73"/>
        <v>4</v>
      </c>
      <c r="D2355" s="195">
        <v>41.7</v>
      </c>
      <c r="E2355" s="705">
        <f t="shared" si="74"/>
        <v>5.3888888888888902</v>
      </c>
    </row>
    <row r="2356" spans="2:5">
      <c r="B2356" s="943">
        <v>45020</v>
      </c>
      <c r="C2356" s="195">
        <f t="shared" si="73"/>
        <v>4</v>
      </c>
      <c r="D2356" s="195">
        <v>42.1</v>
      </c>
      <c r="E2356" s="705">
        <f t="shared" si="74"/>
        <v>5.6111111111111116</v>
      </c>
    </row>
    <row r="2357" spans="2:5">
      <c r="B2357" s="943">
        <v>45020</v>
      </c>
      <c r="C2357" s="195">
        <f t="shared" si="73"/>
        <v>4</v>
      </c>
      <c r="D2357" s="195">
        <v>42.6</v>
      </c>
      <c r="E2357" s="705">
        <f t="shared" si="74"/>
        <v>5.8888888888888893</v>
      </c>
    </row>
    <row r="2358" spans="2:5">
      <c r="B2358" s="943">
        <v>45020</v>
      </c>
      <c r="C2358" s="195">
        <f t="shared" si="73"/>
        <v>4</v>
      </c>
      <c r="D2358" s="195">
        <v>43.2</v>
      </c>
      <c r="E2358" s="705">
        <f t="shared" si="74"/>
        <v>6.2222222222222232</v>
      </c>
    </row>
    <row r="2359" spans="2:5">
      <c r="B2359" s="943">
        <v>45020</v>
      </c>
      <c r="C2359" s="195">
        <f t="shared" si="73"/>
        <v>4</v>
      </c>
      <c r="D2359" s="195">
        <v>43.7</v>
      </c>
      <c r="E2359" s="705">
        <f t="shared" si="74"/>
        <v>6.5000000000000018</v>
      </c>
    </row>
    <row r="2360" spans="2:5">
      <c r="B2360" s="943">
        <v>45020</v>
      </c>
      <c r="C2360" s="195">
        <f t="shared" si="73"/>
        <v>4</v>
      </c>
      <c r="D2360" s="195">
        <v>43.9</v>
      </c>
      <c r="E2360" s="705">
        <f t="shared" si="74"/>
        <v>6.6111111111111098</v>
      </c>
    </row>
    <row r="2361" spans="2:5">
      <c r="B2361" s="943">
        <v>45021</v>
      </c>
      <c r="C2361" s="195">
        <f t="shared" si="73"/>
        <v>4</v>
      </c>
      <c r="D2361" s="195">
        <v>43.9</v>
      </c>
      <c r="E2361" s="705">
        <f t="shared" si="74"/>
        <v>6.6111111111111098</v>
      </c>
    </row>
    <row r="2362" spans="2:5">
      <c r="B2362" s="943">
        <v>45021</v>
      </c>
      <c r="C2362" s="195">
        <f t="shared" si="73"/>
        <v>4</v>
      </c>
      <c r="D2362" s="195">
        <v>43.2</v>
      </c>
      <c r="E2362" s="705">
        <f t="shared" si="74"/>
        <v>6.2222222222222232</v>
      </c>
    </row>
    <row r="2363" spans="2:5">
      <c r="B2363" s="943">
        <v>45021</v>
      </c>
      <c r="C2363" s="195">
        <f t="shared" si="73"/>
        <v>4</v>
      </c>
      <c r="D2363" s="195">
        <v>42.4</v>
      </c>
      <c r="E2363" s="705">
        <f t="shared" si="74"/>
        <v>5.7777777777777768</v>
      </c>
    </row>
    <row r="2364" spans="2:5">
      <c r="B2364" s="943">
        <v>45021</v>
      </c>
      <c r="C2364" s="195">
        <f t="shared" si="73"/>
        <v>4</v>
      </c>
      <c r="D2364" s="195">
        <v>41.9</v>
      </c>
      <c r="E2364" s="705">
        <f t="shared" si="74"/>
        <v>5.4999999999999991</v>
      </c>
    </row>
    <row r="2365" spans="2:5">
      <c r="B2365" s="943">
        <v>45021</v>
      </c>
      <c r="C2365" s="195">
        <f t="shared" si="73"/>
        <v>4</v>
      </c>
      <c r="D2365" s="195">
        <v>41.9</v>
      </c>
      <c r="E2365" s="705">
        <f t="shared" si="74"/>
        <v>5.4999999999999991</v>
      </c>
    </row>
    <row r="2366" spans="2:5">
      <c r="B2366" s="943">
        <v>45021</v>
      </c>
      <c r="C2366" s="195">
        <f t="shared" si="73"/>
        <v>4</v>
      </c>
      <c r="D2366" s="195">
        <v>41.5</v>
      </c>
      <c r="E2366" s="705">
        <f t="shared" si="74"/>
        <v>5.2777777777777777</v>
      </c>
    </row>
    <row r="2367" spans="2:5">
      <c r="B2367" s="943">
        <v>45021</v>
      </c>
      <c r="C2367" s="195">
        <f t="shared" si="73"/>
        <v>4</v>
      </c>
      <c r="D2367" s="195">
        <v>41.9</v>
      </c>
      <c r="E2367" s="705">
        <f t="shared" si="74"/>
        <v>5.4999999999999991</v>
      </c>
    </row>
    <row r="2368" spans="2:5">
      <c r="B2368" s="943">
        <v>45021</v>
      </c>
      <c r="C2368" s="195">
        <f t="shared" si="73"/>
        <v>4</v>
      </c>
      <c r="D2368" s="195">
        <v>41.9</v>
      </c>
      <c r="E2368" s="705">
        <f t="shared" si="74"/>
        <v>5.4999999999999991</v>
      </c>
    </row>
    <row r="2369" spans="2:5">
      <c r="B2369" s="943">
        <v>45021</v>
      </c>
      <c r="C2369" s="195">
        <f t="shared" si="73"/>
        <v>4</v>
      </c>
      <c r="D2369" s="195">
        <v>42.3</v>
      </c>
      <c r="E2369" s="705">
        <f t="shared" si="74"/>
        <v>5.7222222222222205</v>
      </c>
    </row>
    <row r="2370" spans="2:5">
      <c r="B2370" s="943">
        <v>45021</v>
      </c>
      <c r="C2370" s="195">
        <f t="shared" si="73"/>
        <v>4</v>
      </c>
      <c r="D2370" s="195" t="s">
        <v>1430</v>
      </c>
      <c r="E2370" s="705">
        <f t="shared" si="74"/>
        <v>6.1111111111111107</v>
      </c>
    </row>
    <row r="2371" spans="2:5">
      <c r="B2371" s="943">
        <v>45021</v>
      </c>
      <c r="C2371" s="195">
        <f t="shared" si="73"/>
        <v>4</v>
      </c>
      <c r="D2371" s="195">
        <v>43.3</v>
      </c>
      <c r="E2371" s="705">
        <f t="shared" si="74"/>
        <v>6.2777777777777759</v>
      </c>
    </row>
    <row r="2372" spans="2:5">
      <c r="B2372" s="943">
        <v>45021</v>
      </c>
      <c r="C2372" s="195">
        <f t="shared" si="73"/>
        <v>4</v>
      </c>
      <c r="D2372" s="195">
        <v>43.7</v>
      </c>
      <c r="E2372" s="705">
        <f t="shared" si="74"/>
        <v>6.5000000000000018</v>
      </c>
    </row>
    <row r="2373" spans="2:5">
      <c r="B2373" s="943">
        <v>45021</v>
      </c>
      <c r="C2373" s="195">
        <f t="shared" si="73"/>
        <v>4</v>
      </c>
      <c r="D2373" s="195">
        <v>43.7</v>
      </c>
      <c r="E2373" s="705">
        <f t="shared" si="74"/>
        <v>6.5000000000000018</v>
      </c>
    </row>
    <row r="2374" spans="2:5">
      <c r="B2374" s="943">
        <v>45021</v>
      </c>
      <c r="C2374" s="195">
        <f t="shared" si="73"/>
        <v>4</v>
      </c>
      <c r="D2374" s="195">
        <v>43.2</v>
      </c>
      <c r="E2374" s="705">
        <f t="shared" si="74"/>
        <v>6.2222222222222232</v>
      </c>
    </row>
    <row r="2375" spans="2:5">
      <c r="B2375" s="943">
        <v>45021</v>
      </c>
      <c r="C2375" s="195">
        <f t="shared" si="73"/>
        <v>4</v>
      </c>
      <c r="D2375" s="195">
        <v>42.3</v>
      </c>
      <c r="E2375" s="705">
        <f t="shared" si="74"/>
        <v>5.7222222222222205</v>
      </c>
    </row>
    <row r="2376" spans="2:5">
      <c r="B2376" s="943">
        <v>45021</v>
      </c>
      <c r="C2376" s="195">
        <f t="shared" si="73"/>
        <v>4</v>
      </c>
      <c r="D2376" s="195">
        <v>42.3</v>
      </c>
      <c r="E2376" s="705">
        <f t="shared" si="74"/>
        <v>5.7222222222222205</v>
      </c>
    </row>
    <row r="2377" spans="2:5">
      <c r="B2377" s="943">
        <v>45021</v>
      </c>
      <c r="C2377" s="195">
        <f t="shared" si="73"/>
        <v>4</v>
      </c>
      <c r="D2377" s="195">
        <v>42.3</v>
      </c>
      <c r="E2377" s="705">
        <f t="shared" si="74"/>
        <v>5.7222222222222205</v>
      </c>
    </row>
    <row r="2378" spans="2:5">
      <c r="B2378" s="943">
        <v>45021</v>
      </c>
      <c r="C2378" s="195">
        <f t="shared" ref="C2378:C2441" si="75">MONTH(B2378)</f>
        <v>4</v>
      </c>
      <c r="D2378" s="195">
        <v>42.1</v>
      </c>
      <c r="E2378" s="705">
        <f t="shared" ref="E2378:E2441" si="76">CONVERT(D2378,"F","C")</f>
        <v>5.6111111111111116</v>
      </c>
    </row>
    <row r="2379" spans="2:5">
      <c r="B2379" s="943">
        <v>45021</v>
      </c>
      <c r="C2379" s="195">
        <f t="shared" si="75"/>
        <v>4</v>
      </c>
      <c r="D2379" s="195">
        <v>41.9</v>
      </c>
      <c r="E2379" s="705">
        <f t="shared" si="76"/>
        <v>5.4999999999999991</v>
      </c>
    </row>
    <row r="2380" spans="2:5">
      <c r="B2380" s="943">
        <v>45021</v>
      </c>
      <c r="C2380" s="195">
        <f t="shared" si="75"/>
        <v>4</v>
      </c>
      <c r="D2380" s="195">
        <v>42.1</v>
      </c>
      <c r="E2380" s="705">
        <f t="shared" si="76"/>
        <v>5.6111111111111116</v>
      </c>
    </row>
    <row r="2381" spans="2:5">
      <c r="B2381" s="943">
        <v>45021</v>
      </c>
      <c r="C2381" s="195">
        <f t="shared" si="75"/>
        <v>4</v>
      </c>
      <c r="D2381" s="195">
        <v>42.3</v>
      </c>
      <c r="E2381" s="705">
        <f t="shared" si="76"/>
        <v>5.7222222222222205</v>
      </c>
    </row>
    <row r="2382" spans="2:5">
      <c r="B2382" s="943">
        <v>45021</v>
      </c>
      <c r="C2382" s="195">
        <f t="shared" si="75"/>
        <v>4</v>
      </c>
      <c r="D2382" s="195">
        <v>42.8</v>
      </c>
      <c r="E2382" s="705">
        <f t="shared" si="76"/>
        <v>5.9999999999999982</v>
      </c>
    </row>
    <row r="2383" spans="2:5">
      <c r="B2383" s="943">
        <v>45021</v>
      </c>
      <c r="C2383" s="195">
        <f t="shared" si="75"/>
        <v>4</v>
      </c>
      <c r="D2383" s="195">
        <v>43.3</v>
      </c>
      <c r="E2383" s="705">
        <f t="shared" si="76"/>
        <v>6.2777777777777759</v>
      </c>
    </row>
    <row r="2384" spans="2:5">
      <c r="B2384" s="943">
        <v>45021</v>
      </c>
      <c r="C2384" s="195">
        <f t="shared" si="75"/>
        <v>4</v>
      </c>
      <c r="D2384" s="195">
        <v>43.5</v>
      </c>
      <c r="E2384" s="705">
        <f t="shared" si="76"/>
        <v>6.3888888888888884</v>
      </c>
    </row>
    <row r="2385" spans="2:5">
      <c r="B2385" s="943">
        <v>45022</v>
      </c>
      <c r="C2385" s="195">
        <f t="shared" si="75"/>
        <v>4</v>
      </c>
      <c r="D2385" s="195">
        <v>43.7</v>
      </c>
      <c r="E2385" s="705">
        <f t="shared" si="76"/>
        <v>6.5000000000000018</v>
      </c>
    </row>
    <row r="2386" spans="2:5">
      <c r="B2386" s="943">
        <v>45022</v>
      </c>
      <c r="C2386" s="195">
        <f t="shared" si="75"/>
        <v>4</v>
      </c>
      <c r="D2386" s="195">
        <v>43.5</v>
      </c>
      <c r="E2386" s="705">
        <f t="shared" si="76"/>
        <v>6.3888888888888884</v>
      </c>
    </row>
    <row r="2387" spans="2:5">
      <c r="B2387" s="943">
        <v>45022</v>
      </c>
      <c r="C2387" s="195">
        <f t="shared" si="75"/>
        <v>4</v>
      </c>
      <c r="D2387" s="195">
        <v>42.8</v>
      </c>
      <c r="E2387" s="705">
        <f t="shared" si="76"/>
        <v>5.9999999999999982</v>
      </c>
    </row>
    <row r="2388" spans="2:5">
      <c r="B2388" s="943">
        <v>45022</v>
      </c>
      <c r="C2388" s="195">
        <f t="shared" si="75"/>
        <v>4</v>
      </c>
      <c r="D2388" s="195">
        <v>42.4</v>
      </c>
      <c r="E2388" s="705">
        <f t="shared" si="76"/>
        <v>5.7777777777777768</v>
      </c>
    </row>
    <row r="2389" spans="2:5">
      <c r="B2389" s="943">
        <v>45022</v>
      </c>
      <c r="C2389" s="195">
        <f t="shared" si="75"/>
        <v>4</v>
      </c>
      <c r="D2389" s="195">
        <v>42.3</v>
      </c>
      <c r="E2389" s="705">
        <f t="shared" si="76"/>
        <v>5.7222222222222205</v>
      </c>
    </row>
    <row r="2390" spans="2:5">
      <c r="B2390" s="943">
        <v>45022</v>
      </c>
      <c r="C2390" s="195">
        <f t="shared" si="75"/>
        <v>4</v>
      </c>
      <c r="D2390" s="195">
        <v>42.1</v>
      </c>
      <c r="E2390" s="705">
        <f t="shared" si="76"/>
        <v>5.6111111111111116</v>
      </c>
    </row>
    <row r="2391" spans="2:5">
      <c r="B2391" s="943">
        <v>45022</v>
      </c>
      <c r="C2391" s="195">
        <f t="shared" si="75"/>
        <v>4</v>
      </c>
      <c r="D2391" s="195">
        <v>41.9</v>
      </c>
      <c r="E2391" s="705">
        <f t="shared" si="76"/>
        <v>5.4999999999999991</v>
      </c>
    </row>
    <row r="2392" spans="2:5">
      <c r="B2392" s="943">
        <v>45022</v>
      </c>
      <c r="C2392" s="195">
        <f t="shared" si="75"/>
        <v>4</v>
      </c>
      <c r="D2392" s="195">
        <v>41.9</v>
      </c>
      <c r="E2392" s="705">
        <f t="shared" si="76"/>
        <v>5.4999999999999991</v>
      </c>
    </row>
    <row r="2393" spans="2:5">
      <c r="B2393" s="943">
        <v>45022</v>
      </c>
      <c r="C2393" s="195">
        <f t="shared" si="75"/>
        <v>4</v>
      </c>
      <c r="D2393" s="195">
        <v>42.1</v>
      </c>
      <c r="E2393" s="705">
        <f t="shared" si="76"/>
        <v>5.6111111111111116</v>
      </c>
    </row>
    <row r="2394" spans="2:5">
      <c r="B2394" s="943">
        <v>45022</v>
      </c>
      <c r="C2394" s="195">
        <f t="shared" si="75"/>
        <v>4</v>
      </c>
      <c r="D2394" s="195">
        <v>42.6</v>
      </c>
      <c r="E2394" s="705">
        <f t="shared" si="76"/>
        <v>5.8888888888888893</v>
      </c>
    </row>
    <row r="2395" spans="2:5">
      <c r="B2395" s="943">
        <v>45022</v>
      </c>
      <c r="C2395" s="195">
        <f t="shared" si="75"/>
        <v>4</v>
      </c>
      <c r="D2395" s="195" t="s">
        <v>1430</v>
      </c>
      <c r="E2395" s="705">
        <f t="shared" si="76"/>
        <v>6.1111111111111107</v>
      </c>
    </row>
    <row r="2396" spans="2:5">
      <c r="B2396" s="943">
        <v>45022</v>
      </c>
      <c r="C2396" s="195">
        <f t="shared" si="75"/>
        <v>4</v>
      </c>
      <c r="D2396" s="195">
        <v>43.3</v>
      </c>
      <c r="E2396" s="705">
        <f t="shared" si="76"/>
        <v>6.2777777777777759</v>
      </c>
    </row>
    <row r="2397" spans="2:5">
      <c r="B2397" s="943">
        <v>45022</v>
      </c>
      <c r="C2397" s="195">
        <f t="shared" si="75"/>
        <v>4</v>
      </c>
      <c r="D2397" s="195">
        <v>43.5</v>
      </c>
      <c r="E2397" s="705">
        <f t="shared" si="76"/>
        <v>6.3888888888888884</v>
      </c>
    </row>
    <row r="2398" spans="2:5">
      <c r="B2398" s="943">
        <v>45022</v>
      </c>
      <c r="C2398" s="195">
        <f t="shared" si="75"/>
        <v>4</v>
      </c>
      <c r="D2398" s="195">
        <v>43.3</v>
      </c>
      <c r="E2398" s="705">
        <f t="shared" si="76"/>
        <v>6.2777777777777759</v>
      </c>
    </row>
    <row r="2399" spans="2:5">
      <c r="B2399" s="943">
        <v>45022</v>
      </c>
      <c r="C2399" s="195">
        <f t="shared" si="75"/>
        <v>4</v>
      </c>
      <c r="D2399" s="195" t="s">
        <v>1430</v>
      </c>
      <c r="E2399" s="705">
        <f t="shared" si="76"/>
        <v>6.1111111111111107</v>
      </c>
    </row>
    <row r="2400" spans="2:5">
      <c r="B2400" s="943">
        <v>45022</v>
      </c>
      <c r="C2400" s="195">
        <f t="shared" si="75"/>
        <v>4</v>
      </c>
      <c r="D2400" s="195">
        <v>42.4</v>
      </c>
      <c r="E2400" s="705">
        <f t="shared" si="76"/>
        <v>5.7777777777777768</v>
      </c>
    </row>
    <row r="2401" spans="2:5">
      <c r="B2401" s="943">
        <v>45022</v>
      </c>
      <c r="C2401" s="195">
        <f t="shared" si="75"/>
        <v>4</v>
      </c>
      <c r="D2401" s="195">
        <v>42.1</v>
      </c>
      <c r="E2401" s="705">
        <f t="shared" si="76"/>
        <v>5.6111111111111116</v>
      </c>
    </row>
    <row r="2402" spans="2:5">
      <c r="B2402" s="943">
        <v>45022</v>
      </c>
      <c r="C2402" s="195">
        <f t="shared" si="75"/>
        <v>4</v>
      </c>
      <c r="D2402" s="195">
        <v>41.9</v>
      </c>
      <c r="E2402" s="705">
        <f t="shared" si="76"/>
        <v>5.4999999999999991</v>
      </c>
    </row>
    <row r="2403" spans="2:5">
      <c r="B2403" s="943">
        <v>45022</v>
      </c>
      <c r="C2403" s="195">
        <f t="shared" si="75"/>
        <v>4</v>
      </c>
      <c r="D2403" s="195">
        <v>42.1</v>
      </c>
      <c r="E2403" s="705">
        <f t="shared" si="76"/>
        <v>5.6111111111111116</v>
      </c>
    </row>
    <row r="2404" spans="2:5">
      <c r="B2404" s="943">
        <v>45022</v>
      </c>
      <c r="C2404" s="195">
        <f t="shared" si="75"/>
        <v>4</v>
      </c>
      <c r="D2404" s="195">
        <v>41.9</v>
      </c>
      <c r="E2404" s="705">
        <f t="shared" si="76"/>
        <v>5.4999999999999991</v>
      </c>
    </row>
    <row r="2405" spans="2:5">
      <c r="B2405" s="943">
        <v>45022</v>
      </c>
      <c r="C2405" s="195">
        <f t="shared" si="75"/>
        <v>4</v>
      </c>
      <c r="D2405" s="195">
        <v>42.3</v>
      </c>
      <c r="E2405" s="705">
        <f t="shared" si="76"/>
        <v>5.7222222222222205</v>
      </c>
    </row>
    <row r="2406" spans="2:5">
      <c r="B2406" s="943">
        <v>45022</v>
      </c>
      <c r="C2406" s="195">
        <f t="shared" si="75"/>
        <v>4</v>
      </c>
      <c r="D2406" s="195">
        <v>42.6</v>
      </c>
      <c r="E2406" s="705">
        <f t="shared" si="76"/>
        <v>5.8888888888888893</v>
      </c>
    </row>
    <row r="2407" spans="2:5">
      <c r="B2407" s="943">
        <v>45022</v>
      </c>
      <c r="C2407" s="195">
        <f t="shared" si="75"/>
        <v>4</v>
      </c>
      <c r="D2407" s="195">
        <v>43.3</v>
      </c>
      <c r="E2407" s="705">
        <f t="shared" si="76"/>
        <v>6.2777777777777759</v>
      </c>
    </row>
    <row r="2408" spans="2:5">
      <c r="B2408" s="943">
        <v>45022</v>
      </c>
      <c r="C2408" s="195">
        <f t="shared" si="75"/>
        <v>4</v>
      </c>
      <c r="D2408" s="195">
        <v>43.7</v>
      </c>
      <c r="E2408" s="705">
        <f t="shared" si="76"/>
        <v>6.5000000000000018</v>
      </c>
    </row>
    <row r="2409" spans="2:5">
      <c r="B2409" s="943">
        <v>45023</v>
      </c>
      <c r="C2409" s="195">
        <f t="shared" si="75"/>
        <v>4</v>
      </c>
      <c r="D2409" s="195">
        <v>43.9</v>
      </c>
      <c r="E2409" s="705">
        <f t="shared" si="76"/>
        <v>6.6111111111111098</v>
      </c>
    </row>
    <row r="2410" spans="2:5">
      <c r="B2410" s="943">
        <v>45023</v>
      </c>
      <c r="C2410" s="195">
        <f t="shared" si="75"/>
        <v>4</v>
      </c>
      <c r="D2410" s="195">
        <v>43.9</v>
      </c>
      <c r="E2410" s="705">
        <f t="shared" si="76"/>
        <v>6.6111111111111098</v>
      </c>
    </row>
    <row r="2411" spans="2:5">
      <c r="B2411" s="943">
        <v>45023</v>
      </c>
      <c r="C2411" s="195">
        <f t="shared" si="75"/>
        <v>4</v>
      </c>
      <c r="D2411" s="195">
        <v>43.3</v>
      </c>
      <c r="E2411" s="705">
        <f t="shared" si="76"/>
        <v>6.2777777777777759</v>
      </c>
    </row>
    <row r="2412" spans="2:5">
      <c r="B2412" s="943">
        <v>45023</v>
      </c>
      <c r="C2412" s="195">
        <f t="shared" si="75"/>
        <v>4</v>
      </c>
      <c r="D2412" s="195" t="s">
        <v>1430</v>
      </c>
      <c r="E2412" s="705">
        <f t="shared" si="76"/>
        <v>6.1111111111111107</v>
      </c>
    </row>
    <row r="2413" spans="2:5">
      <c r="B2413" s="943">
        <v>45023</v>
      </c>
      <c r="C2413" s="195">
        <f t="shared" si="75"/>
        <v>4</v>
      </c>
      <c r="D2413" s="195">
        <v>42.4</v>
      </c>
      <c r="E2413" s="705">
        <f t="shared" si="76"/>
        <v>5.7777777777777768</v>
      </c>
    </row>
    <row r="2414" spans="2:5">
      <c r="B2414" s="943">
        <v>45023</v>
      </c>
      <c r="C2414" s="195">
        <f t="shared" si="75"/>
        <v>4</v>
      </c>
      <c r="D2414" s="195">
        <v>42.3</v>
      </c>
      <c r="E2414" s="705">
        <f t="shared" si="76"/>
        <v>5.7222222222222205</v>
      </c>
    </row>
    <row r="2415" spans="2:5">
      <c r="B2415" s="943">
        <v>45023</v>
      </c>
      <c r="C2415" s="195">
        <f t="shared" si="75"/>
        <v>4</v>
      </c>
      <c r="D2415" s="195">
        <v>42.1</v>
      </c>
      <c r="E2415" s="705">
        <f t="shared" si="76"/>
        <v>5.6111111111111116</v>
      </c>
    </row>
    <row r="2416" spans="2:5">
      <c r="B2416" s="943">
        <v>45023</v>
      </c>
      <c r="C2416" s="195">
        <f t="shared" si="75"/>
        <v>4</v>
      </c>
      <c r="D2416" s="195">
        <v>42.4</v>
      </c>
      <c r="E2416" s="705">
        <f t="shared" si="76"/>
        <v>5.7777777777777768</v>
      </c>
    </row>
    <row r="2417" spans="2:5">
      <c r="B2417" s="943">
        <v>45023</v>
      </c>
      <c r="C2417" s="195">
        <f t="shared" si="75"/>
        <v>4</v>
      </c>
      <c r="D2417" s="195">
        <v>42.3</v>
      </c>
      <c r="E2417" s="705">
        <f t="shared" si="76"/>
        <v>5.7222222222222205</v>
      </c>
    </row>
    <row r="2418" spans="2:5">
      <c r="B2418" s="943">
        <v>45023</v>
      </c>
      <c r="C2418" s="195">
        <f t="shared" si="75"/>
        <v>4</v>
      </c>
      <c r="D2418" s="195">
        <v>42.6</v>
      </c>
      <c r="E2418" s="705">
        <f t="shared" si="76"/>
        <v>5.8888888888888893</v>
      </c>
    </row>
    <row r="2419" spans="2:5">
      <c r="B2419" s="943">
        <v>45023</v>
      </c>
      <c r="C2419" s="195">
        <f t="shared" si="75"/>
        <v>4</v>
      </c>
      <c r="D2419" s="195">
        <v>43.2</v>
      </c>
      <c r="E2419" s="705">
        <f t="shared" si="76"/>
        <v>6.2222222222222232</v>
      </c>
    </row>
    <row r="2420" spans="2:5">
      <c r="B2420" s="943">
        <v>45023</v>
      </c>
      <c r="C2420" s="195">
        <f t="shared" si="75"/>
        <v>4</v>
      </c>
      <c r="D2420" s="195">
        <v>43.5</v>
      </c>
      <c r="E2420" s="705">
        <f t="shared" si="76"/>
        <v>6.3888888888888884</v>
      </c>
    </row>
    <row r="2421" spans="2:5">
      <c r="B2421" s="943">
        <v>45023</v>
      </c>
      <c r="C2421" s="195">
        <f t="shared" si="75"/>
        <v>4</v>
      </c>
      <c r="D2421" s="195">
        <v>43.9</v>
      </c>
      <c r="E2421" s="705">
        <f t="shared" si="76"/>
        <v>6.6111111111111098</v>
      </c>
    </row>
    <row r="2422" spans="2:5">
      <c r="B2422" s="943">
        <v>45023</v>
      </c>
      <c r="C2422" s="195">
        <f t="shared" si="75"/>
        <v>4</v>
      </c>
      <c r="D2422" s="195">
        <v>44.1</v>
      </c>
      <c r="E2422" s="705">
        <f t="shared" si="76"/>
        <v>6.7222222222222232</v>
      </c>
    </row>
    <row r="2423" spans="2:5">
      <c r="B2423" s="943">
        <v>45023</v>
      </c>
      <c r="C2423" s="195">
        <f t="shared" si="75"/>
        <v>4</v>
      </c>
      <c r="D2423" s="195">
        <v>43.9</v>
      </c>
      <c r="E2423" s="705">
        <f t="shared" si="76"/>
        <v>6.6111111111111098</v>
      </c>
    </row>
    <row r="2424" spans="2:5">
      <c r="B2424" s="943">
        <v>45023</v>
      </c>
      <c r="C2424" s="195">
        <f t="shared" si="75"/>
        <v>4</v>
      </c>
      <c r="D2424" s="195">
        <v>43.2</v>
      </c>
      <c r="E2424" s="705">
        <f t="shared" si="76"/>
        <v>6.2222222222222232</v>
      </c>
    </row>
    <row r="2425" spans="2:5">
      <c r="B2425" s="943">
        <v>45023</v>
      </c>
      <c r="C2425" s="195">
        <f t="shared" si="75"/>
        <v>4</v>
      </c>
      <c r="D2425" s="195">
        <v>42.8</v>
      </c>
      <c r="E2425" s="705">
        <f t="shared" si="76"/>
        <v>5.9999999999999982</v>
      </c>
    </row>
    <row r="2426" spans="2:5">
      <c r="B2426" s="943">
        <v>45023</v>
      </c>
      <c r="C2426" s="195">
        <f t="shared" si="75"/>
        <v>4</v>
      </c>
      <c r="D2426" s="195">
        <v>42.3</v>
      </c>
      <c r="E2426" s="705">
        <f t="shared" si="76"/>
        <v>5.7222222222222205</v>
      </c>
    </row>
    <row r="2427" spans="2:5">
      <c r="B2427" s="943">
        <v>45023</v>
      </c>
      <c r="C2427" s="195">
        <f t="shared" si="75"/>
        <v>4</v>
      </c>
      <c r="D2427" s="195">
        <v>42.3</v>
      </c>
      <c r="E2427" s="705">
        <f t="shared" si="76"/>
        <v>5.7222222222222205</v>
      </c>
    </row>
    <row r="2428" spans="2:5">
      <c r="B2428" s="943">
        <v>45023</v>
      </c>
      <c r="C2428" s="195">
        <f t="shared" si="75"/>
        <v>4</v>
      </c>
      <c r="D2428" s="195">
        <v>42.1</v>
      </c>
      <c r="E2428" s="705">
        <f t="shared" si="76"/>
        <v>5.6111111111111116</v>
      </c>
    </row>
    <row r="2429" spans="2:5">
      <c r="B2429" s="943">
        <v>45023</v>
      </c>
      <c r="C2429" s="195">
        <f t="shared" si="75"/>
        <v>4</v>
      </c>
      <c r="D2429" s="195">
        <v>42.1</v>
      </c>
      <c r="E2429" s="705">
        <f t="shared" si="76"/>
        <v>5.6111111111111116</v>
      </c>
    </row>
    <row r="2430" spans="2:5">
      <c r="B2430" s="943">
        <v>45023</v>
      </c>
      <c r="C2430" s="195">
        <f t="shared" si="75"/>
        <v>4</v>
      </c>
      <c r="D2430" s="195">
        <v>42.4</v>
      </c>
      <c r="E2430" s="705">
        <f t="shared" si="76"/>
        <v>5.7777777777777768</v>
      </c>
    </row>
    <row r="2431" spans="2:5">
      <c r="B2431" s="943">
        <v>45023</v>
      </c>
      <c r="C2431" s="195">
        <f t="shared" si="75"/>
        <v>4</v>
      </c>
      <c r="D2431" s="195" t="s">
        <v>1430</v>
      </c>
      <c r="E2431" s="705">
        <f t="shared" si="76"/>
        <v>6.1111111111111107</v>
      </c>
    </row>
    <row r="2432" spans="2:5">
      <c r="B2432" s="943">
        <v>45023</v>
      </c>
      <c r="C2432" s="195">
        <f t="shared" si="75"/>
        <v>4</v>
      </c>
      <c r="D2432" s="195">
        <v>43.7</v>
      </c>
      <c r="E2432" s="705">
        <f t="shared" si="76"/>
        <v>6.5000000000000018</v>
      </c>
    </row>
    <row r="2433" spans="2:5">
      <c r="B2433" s="943">
        <v>45024</v>
      </c>
      <c r="C2433" s="195">
        <f t="shared" si="75"/>
        <v>4</v>
      </c>
      <c r="D2433" s="195">
        <v>44.1</v>
      </c>
      <c r="E2433" s="705">
        <f t="shared" si="76"/>
        <v>6.7222222222222232</v>
      </c>
    </row>
    <row r="2434" spans="2:5">
      <c r="B2434" s="943">
        <v>45024</v>
      </c>
      <c r="C2434" s="195">
        <f t="shared" si="75"/>
        <v>4</v>
      </c>
      <c r="D2434" s="195">
        <v>44.1</v>
      </c>
      <c r="E2434" s="705">
        <f t="shared" si="76"/>
        <v>6.7222222222222232</v>
      </c>
    </row>
    <row r="2435" spans="2:5">
      <c r="B2435" s="943">
        <v>45024</v>
      </c>
      <c r="C2435" s="195">
        <f t="shared" si="75"/>
        <v>4</v>
      </c>
      <c r="D2435" s="195">
        <v>43.9</v>
      </c>
      <c r="E2435" s="705">
        <f t="shared" si="76"/>
        <v>6.6111111111111098</v>
      </c>
    </row>
    <row r="2436" spans="2:5">
      <c r="B2436" s="943">
        <v>45024</v>
      </c>
      <c r="C2436" s="195">
        <f t="shared" si="75"/>
        <v>4</v>
      </c>
      <c r="D2436" s="195">
        <v>43.3</v>
      </c>
      <c r="E2436" s="705">
        <f t="shared" si="76"/>
        <v>6.2777777777777759</v>
      </c>
    </row>
    <row r="2437" spans="2:5">
      <c r="B2437" s="943">
        <v>45024</v>
      </c>
      <c r="C2437" s="195">
        <f t="shared" si="75"/>
        <v>4</v>
      </c>
      <c r="D2437" s="195">
        <v>42.6</v>
      </c>
      <c r="E2437" s="705">
        <f t="shared" si="76"/>
        <v>5.8888888888888893</v>
      </c>
    </row>
    <row r="2438" spans="2:5">
      <c r="B2438" s="943">
        <v>45024</v>
      </c>
      <c r="C2438" s="195">
        <f t="shared" si="75"/>
        <v>4</v>
      </c>
      <c r="D2438" s="195">
        <v>42.1</v>
      </c>
      <c r="E2438" s="705">
        <f t="shared" si="76"/>
        <v>5.6111111111111116</v>
      </c>
    </row>
    <row r="2439" spans="2:5">
      <c r="B2439" s="943">
        <v>45024</v>
      </c>
      <c r="C2439" s="195">
        <f t="shared" si="75"/>
        <v>4</v>
      </c>
      <c r="D2439" s="195">
        <v>41.7</v>
      </c>
      <c r="E2439" s="705">
        <f t="shared" si="76"/>
        <v>5.3888888888888902</v>
      </c>
    </row>
    <row r="2440" spans="2:5">
      <c r="B2440" s="943">
        <v>45024</v>
      </c>
      <c r="C2440" s="195">
        <f t="shared" si="75"/>
        <v>4</v>
      </c>
      <c r="D2440" s="195">
        <v>41.5</v>
      </c>
      <c r="E2440" s="705">
        <f t="shared" si="76"/>
        <v>5.2777777777777777</v>
      </c>
    </row>
    <row r="2441" spans="2:5">
      <c r="B2441" s="943">
        <v>45024</v>
      </c>
      <c r="C2441" s="195">
        <f t="shared" si="75"/>
        <v>4</v>
      </c>
      <c r="D2441" s="195">
        <v>41.5</v>
      </c>
      <c r="E2441" s="705">
        <f t="shared" si="76"/>
        <v>5.2777777777777777</v>
      </c>
    </row>
    <row r="2442" spans="2:5">
      <c r="B2442" s="943">
        <v>45024</v>
      </c>
      <c r="C2442" s="195">
        <f t="shared" ref="C2442:C2505" si="77">MONTH(B2442)</f>
        <v>4</v>
      </c>
      <c r="D2442" s="195">
        <v>41.7</v>
      </c>
      <c r="E2442" s="705">
        <f t="shared" ref="E2442:E2505" si="78">CONVERT(D2442,"F","C")</f>
        <v>5.3888888888888902</v>
      </c>
    </row>
    <row r="2443" spans="2:5">
      <c r="B2443" s="943">
        <v>45024</v>
      </c>
      <c r="C2443" s="195">
        <f t="shared" si="77"/>
        <v>4</v>
      </c>
      <c r="D2443" s="195">
        <v>42.3</v>
      </c>
      <c r="E2443" s="705">
        <f t="shared" si="78"/>
        <v>5.7222222222222205</v>
      </c>
    </row>
    <row r="2444" spans="2:5">
      <c r="B2444" s="943">
        <v>45024</v>
      </c>
      <c r="C2444" s="195">
        <f t="shared" si="77"/>
        <v>4</v>
      </c>
      <c r="D2444" s="195">
        <v>42.8</v>
      </c>
      <c r="E2444" s="705">
        <f t="shared" si="78"/>
        <v>5.9999999999999982</v>
      </c>
    </row>
    <row r="2445" spans="2:5">
      <c r="B2445" s="943">
        <v>45024</v>
      </c>
      <c r="C2445" s="195">
        <f t="shared" si="77"/>
        <v>4</v>
      </c>
      <c r="D2445" s="195">
        <v>43.2</v>
      </c>
      <c r="E2445" s="705">
        <f t="shared" si="78"/>
        <v>6.2222222222222232</v>
      </c>
    </row>
    <row r="2446" spans="2:5">
      <c r="B2446" s="943">
        <v>45024</v>
      </c>
      <c r="C2446" s="195">
        <f t="shared" si="77"/>
        <v>4</v>
      </c>
      <c r="D2446" s="195">
        <v>43.3</v>
      </c>
      <c r="E2446" s="705">
        <f t="shared" si="78"/>
        <v>6.2777777777777759</v>
      </c>
    </row>
    <row r="2447" spans="2:5">
      <c r="B2447" s="943">
        <v>45024</v>
      </c>
      <c r="C2447" s="195">
        <f t="shared" si="77"/>
        <v>4</v>
      </c>
      <c r="D2447" s="195">
        <v>43.5</v>
      </c>
      <c r="E2447" s="705">
        <f t="shared" si="78"/>
        <v>6.3888888888888884</v>
      </c>
    </row>
    <row r="2448" spans="2:5">
      <c r="B2448" s="943">
        <v>45024</v>
      </c>
      <c r="C2448" s="195">
        <f t="shared" si="77"/>
        <v>4</v>
      </c>
      <c r="D2448" s="195" t="s">
        <v>1430</v>
      </c>
      <c r="E2448" s="705">
        <f t="shared" si="78"/>
        <v>6.1111111111111107</v>
      </c>
    </row>
    <row r="2449" spans="2:5">
      <c r="B2449" s="943">
        <v>45024</v>
      </c>
      <c r="C2449" s="195">
        <f t="shared" si="77"/>
        <v>4</v>
      </c>
      <c r="D2449" s="195">
        <v>42.3</v>
      </c>
      <c r="E2449" s="705">
        <f t="shared" si="78"/>
        <v>5.7222222222222205</v>
      </c>
    </row>
    <row r="2450" spans="2:5">
      <c r="B2450" s="943">
        <v>45024</v>
      </c>
      <c r="C2450" s="195">
        <f t="shared" si="77"/>
        <v>4</v>
      </c>
      <c r="D2450" s="195">
        <v>42.3</v>
      </c>
      <c r="E2450" s="705">
        <f t="shared" si="78"/>
        <v>5.7222222222222205</v>
      </c>
    </row>
    <row r="2451" spans="2:5">
      <c r="B2451" s="943">
        <v>45024</v>
      </c>
      <c r="C2451" s="195">
        <f t="shared" si="77"/>
        <v>4</v>
      </c>
      <c r="D2451" s="195">
        <v>41.9</v>
      </c>
      <c r="E2451" s="705">
        <f t="shared" si="78"/>
        <v>5.4999999999999991</v>
      </c>
    </row>
    <row r="2452" spans="2:5">
      <c r="B2452" s="943">
        <v>45024</v>
      </c>
      <c r="C2452" s="195">
        <f t="shared" si="77"/>
        <v>4</v>
      </c>
      <c r="D2452" s="195">
        <v>41.7</v>
      </c>
      <c r="E2452" s="705">
        <f t="shared" si="78"/>
        <v>5.3888888888888902</v>
      </c>
    </row>
    <row r="2453" spans="2:5">
      <c r="B2453" s="943">
        <v>45024</v>
      </c>
      <c r="C2453" s="195">
        <f t="shared" si="77"/>
        <v>4</v>
      </c>
      <c r="D2453" s="195">
        <v>42.1</v>
      </c>
      <c r="E2453" s="705">
        <f t="shared" si="78"/>
        <v>5.6111111111111116</v>
      </c>
    </row>
    <row r="2454" spans="2:5">
      <c r="B2454" s="943">
        <v>45024</v>
      </c>
      <c r="C2454" s="195">
        <f t="shared" si="77"/>
        <v>4</v>
      </c>
      <c r="D2454" s="195">
        <v>42.1</v>
      </c>
      <c r="E2454" s="705">
        <f t="shared" si="78"/>
        <v>5.6111111111111116</v>
      </c>
    </row>
    <row r="2455" spans="2:5">
      <c r="B2455" s="943">
        <v>45024</v>
      </c>
      <c r="C2455" s="195">
        <f t="shared" si="77"/>
        <v>4</v>
      </c>
      <c r="D2455" s="195">
        <v>42.4</v>
      </c>
      <c r="E2455" s="705">
        <f t="shared" si="78"/>
        <v>5.7777777777777768</v>
      </c>
    </row>
    <row r="2456" spans="2:5">
      <c r="B2456" s="943">
        <v>45024</v>
      </c>
      <c r="C2456" s="195">
        <f t="shared" si="77"/>
        <v>4</v>
      </c>
      <c r="D2456" s="195">
        <v>43.2</v>
      </c>
      <c r="E2456" s="705">
        <f t="shared" si="78"/>
        <v>6.2222222222222232</v>
      </c>
    </row>
    <row r="2457" spans="2:5">
      <c r="B2457" s="943">
        <v>45025</v>
      </c>
      <c r="C2457" s="195">
        <f t="shared" si="77"/>
        <v>4</v>
      </c>
      <c r="D2457" s="195">
        <v>43.7</v>
      </c>
      <c r="E2457" s="705">
        <f t="shared" si="78"/>
        <v>6.5000000000000018</v>
      </c>
    </row>
    <row r="2458" spans="2:5">
      <c r="B2458" s="943">
        <v>45025</v>
      </c>
      <c r="C2458" s="195">
        <f t="shared" si="77"/>
        <v>4</v>
      </c>
      <c r="D2458" s="195">
        <v>43.9</v>
      </c>
      <c r="E2458" s="705">
        <f t="shared" si="78"/>
        <v>6.6111111111111098</v>
      </c>
    </row>
    <row r="2459" spans="2:5">
      <c r="B2459" s="943">
        <v>45025</v>
      </c>
      <c r="C2459" s="195">
        <f t="shared" si="77"/>
        <v>4</v>
      </c>
      <c r="D2459" s="195">
        <v>43.9</v>
      </c>
      <c r="E2459" s="705">
        <f t="shared" si="78"/>
        <v>6.6111111111111098</v>
      </c>
    </row>
    <row r="2460" spans="2:5">
      <c r="B2460" s="943">
        <v>45025</v>
      </c>
      <c r="C2460" s="195">
        <f t="shared" si="77"/>
        <v>4</v>
      </c>
      <c r="D2460" s="195">
        <v>43.5</v>
      </c>
      <c r="E2460" s="705">
        <f t="shared" si="78"/>
        <v>6.3888888888888884</v>
      </c>
    </row>
    <row r="2461" spans="2:5">
      <c r="B2461" s="943">
        <v>45025</v>
      </c>
      <c r="C2461" s="195">
        <f t="shared" si="77"/>
        <v>4</v>
      </c>
      <c r="D2461" s="195" t="s">
        <v>1430</v>
      </c>
      <c r="E2461" s="705">
        <f t="shared" si="78"/>
        <v>6.1111111111111107</v>
      </c>
    </row>
    <row r="2462" spans="2:5">
      <c r="B2462" s="943">
        <v>45025</v>
      </c>
      <c r="C2462" s="195">
        <f t="shared" si="77"/>
        <v>4</v>
      </c>
      <c r="D2462" s="195">
        <v>42.4</v>
      </c>
      <c r="E2462" s="705">
        <f t="shared" si="78"/>
        <v>5.7777777777777768</v>
      </c>
    </row>
    <row r="2463" spans="2:5">
      <c r="B2463" s="943">
        <v>45025</v>
      </c>
      <c r="C2463" s="195">
        <f t="shared" si="77"/>
        <v>4</v>
      </c>
      <c r="D2463" s="195">
        <v>41.9</v>
      </c>
      <c r="E2463" s="705">
        <f t="shared" si="78"/>
        <v>5.4999999999999991</v>
      </c>
    </row>
    <row r="2464" spans="2:5">
      <c r="B2464" s="943">
        <v>45025</v>
      </c>
      <c r="C2464" s="195">
        <f t="shared" si="77"/>
        <v>4</v>
      </c>
      <c r="D2464" s="195">
        <v>41.7</v>
      </c>
      <c r="E2464" s="705">
        <f t="shared" si="78"/>
        <v>5.3888888888888902</v>
      </c>
    </row>
    <row r="2465" spans="2:5">
      <c r="B2465" s="943">
        <v>45025</v>
      </c>
      <c r="C2465" s="195">
        <f t="shared" si="77"/>
        <v>4</v>
      </c>
      <c r="D2465" s="195">
        <v>41.7</v>
      </c>
      <c r="E2465" s="705">
        <f t="shared" si="78"/>
        <v>5.3888888888888902</v>
      </c>
    </row>
    <row r="2466" spans="2:5">
      <c r="B2466" s="943">
        <v>45025</v>
      </c>
      <c r="C2466" s="195">
        <f t="shared" si="77"/>
        <v>4</v>
      </c>
      <c r="D2466" s="195">
        <v>41.7</v>
      </c>
      <c r="E2466" s="705">
        <f t="shared" si="78"/>
        <v>5.3888888888888902</v>
      </c>
    </row>
    <row r="2467" spans="2:5">
      <c r="B2467" s="943">
        <v>45025</v>
      </c>
      <c r="C2467" s="195">
        <f t="shared" si="77"/>
        <v>4</v>
      </c>
      <c r="D2467" s="195">
        <v>41.9</v>
      </c>
      <c r="E2467" s="705">
        <f t="shared" si="78"/>
        <v>5.4999999999999991</v>
      </c>
    </row>
    <row r="2468" spans="2:5">
      <c r="B2468" s="943">
        <v>45025</v>
      </c>
      <c r="C2468" s="195">
        <f t="shared" si="77"/>
        <v>4</v>
      </c>
      <c r="D2468" s="195">
        <v>42.4</v>
      </c>
      <c r="E2468" s="705">
        <f t="shared" si="78"/>
        <v>5.7777777777777768</v>
      </c>
    </row>
    <row r="2469" spans="2:5">
      <c r="B2469" s="943">
        <v>45025</v>
      </c>
      <c r="C2469" s="195">
        <f t="shared" si="77"/>
        <v>4</v>
      </c>
      <c r="D2469" s="195" t="s">
        <v>1430</v>
      </c>
      <c r="E2469" s="705">
        <f t="shared" si="78"/>
        <v>6.1111111111111107</v>
      </c>
    </row>
    <row r="2470" spans="2:5">
      <c r="B2470" s="943">
        <v>45025</v>
      </c>
      <c r="C2470" s="195">
        <f t="shared" si="77"/>
        <v>4</v>
      </c>
      <c r="D2470" s="195">
        <v>43.3</v>
      </c>
      <c r="E2470" s="705">
        <f t="shared" si="78"/>
        <v>6.2777777777777759</v>
      </c>
    </row>
    <row r="2471" spans="2:5">
      <c r="B2471" s="943">
        <v>45025</v>
      </c>
      <c r="C2471" s="195">
        <f t="shared" si="77"/>
        <v>4</v>
      </c>
      <c r="D2471" s="195">
        <v>43.5</v>
      </c>
      <c r="E2471" s="705">
        <f t="shared" si="78"/>
        <v>6.3888888888888884</v>
      </c>
    </row>
    <row r="2472" spans="2:5">
      <c r="B2472" s="943">
        <v>45025</v>
      </c>
      <c r="C2472" s="195">
        <f t="shared" si="77"/>
        <v>4</v>
      </c>
      <c r="D2472" s="195">
        <v>43.5</v>
      </c>
      <c r="E2472" s="705">
        <f t="shared" si="78"/>
        <v>6.3888888888888884</v>
      </c>
    </row>
    <row r="2473" spans="2:5">
      <c r="B2473" s="943">
        <v>45025</v>
      </c>
      <c r="C2473" s="195">
        <f t="shared" si="77"/>
        <v>4</v>
      </c>
      <c r="D2473" s="195" t="s">
        <v>1430</v>
      </c>
      <c r="E2473" s="705">
        <f t="shared" si="78"/>
        <v>6.1111111111111107</v>
      </c>
    </row>
    <row r="2474" spans="2:5">
      <c r="B2474" s="943">
        <v>45025</v>
      </c>
      <c r="C2474" s="195">
        <f t="shared" si="77"/>
        <v>4</v>
      </c>
      <c r="D2474" s="195">
        <v>42.4</v>
      </c>
      <c r="E2474" s="705">
        <f t="shared" si="78"/>
        <v>5.7777777777777768</v>
      </c>
    </row>
    <row r="2475" spans="2:5">
      <c r="B2475" s="943">
        <v>45025</v>
      </c>
      <c r="C2475" s="195">
        <f t="shared" si="77"/>
        <v>4</v>
      </c>
      <c r="D2475" s="195">
        <v>42.3</v>
      </c>
      <c r="E2475" s="705">
        <f t="shared" si="78"/>
        <v>5.7222222222222205</v>
      </c>
    </row>
    <row r="2476" spans="2:5">
      <c r="B2476" s="943">
        <v>45025</v>
      </c>
      <c r="C2476" s="195">
        <f t="shared" si="77"/>
        <v>4</v>
      </c>
      <c r="D2476" s="195">
        <v>42.1</v>
      </c>
      <c r="E2476" s="705">
        <f t="shared" si="78"/>
        <v>5.6111111111111116</v>
      </c>
    </row>
    <row r="2477" spans="2:5">
      <c r="B2477" s="943">
        <v>45025</v>
      </c>
      <c r="C2477" s="195">
        <f t="shared" si="77"/>
        <v>4</v>
      </c>
      <c r="D2477" s="195">
        <v>42.1</v>
      </c>
      <c r="E2477" s="705">
        <f t="shared" si="78"/>
        <v>5.6111111111111116</v>
      </c>
    </row>
    <row r="2478" spans="2:5">
      <c r="B2478" s="943">
        <v>45025</v>
      </c>
      <c r="C2478" s="195">
        <f t="shared" si="77"/>
        <v>4</v>
      </c>
      <c r="D2478" s="195">
        <v>42.4</v>
      </c>
      <c r="E2478" s="705">
        <f t="shared" si="78"/>
        <v>5.7777777777777768</v>
      </c>
    </row>
    <row r="2479" spans="2:5">
      <c r="B2479" s="943">
        <v>45025</v>
      </c>
      <c r="C2479" s="195">
        <f t="shared" si="77"/>
        <v>4</v>
      </c>
      <c r="D2479" s="195">
        <v>42.4</v>
      </c>
      <c r="E2479" s="705">
        <f t="shared" si="78"/>
        <v>5.7777777777777768</v>
      </c>
    </row>
    <row r="2480" spans="2:5">
      <c r="B2480" s="943">
        <v>45025</v>
      </c>
      <c r="C2480" s="195">
        <f t="shared" si="77"/>
        <v>4</v>
      </c>
      <c r="D2480" s="195">
        <v>42.8</v>
      </c>
      <c r="E2480" s="705">
        <f t="shared" si="78"/>
        <v>5.9999999999999982</v>
      </c>
    </row>
    <row r="2481" spans="2:5">
      <c r="B2481" s="943">
        <v>45026</v>
      </c>
      <c r="C2481" s="195">
        <f t="shared" si="77"/>
        <v>4</v>
      </c>
      <c r="D2481" s="195">
        <v>43.5</v>
      </c>
      <c r="E2481" s="705">
        <f t="shared" si="78"/>
        <v>6.3888888888888884</v>
      </c>
    </row>
    <row r="2482" spans="2:5">
      <c r="B2482" s="943">
        <v>45026</v>
      </c>
      <c r="C2482" s="195">
        <f t="shared" si="77"/>
        <v>4</v>
      </c>
      <c r="D2482" s="195">
        <v>44.1</v>
      </c>
      <c r="E2482" s="705">
        <f t="shared" si="78"/>
        <v>6.7222222222222232</v>
      </c>
    </row>
    <row r="2483" spans="2:5">
      <c r="B2483" s="943">
        <v>45026</v>
      </c>
      <c r="C2483" s="195">
        <f t="shared" si="77"/>
        <v>4</v>
      </c>
      <c r="D2483" s="195">
        <v>44.2</v>
      </c>
      <c r="E2483" s="705">
        <f t="shared" si="78"/>
        <v>6.7777777777777795</v>
      </c>
    </row>
    <row r="2484" spans="2:5">
      <c r="B2484" s="943">
        <v>45026</v>
      </c>
      <c r="C2484" s="195">
        <f t="shared" si="77"/>
        <v>4</v>
      </c>
      <c r="D2484" s="195">
        <v>44.1</v>
      </c>
      <c r="E2484" s="705">
        <f t="shared" si="78"/>
        <v>6.7222222222222232</v>
      </c>
    </row>
    <row r="2485" spans="2:5">
      <c r="B2485" s="943">
        <v>45026</v>
      </c>
      <c r="C2485" s="195">
        <f t="shared" si="77"/>
        <v>4</v>
      </c>
      <c r="D2485" s="195">
        <v>43.5</v>
      </c>
      <c r="E2485" s="705">
        <f t="shared" si="78"/>
        <v>6.3888888888888884</v>
      </c>
    </row>
    <row r="2486" spans="2:5">
      <c r="B2486" s="943">
        <v>45026</v>
      </c>
      <c r="C2486" s="195">
        <f t="shared" si="77"/>
        <v>4</v>
      </c>
      <c r="D2486" s="195" t="s">
        <v>1430</v>
      </c>
      <c r="E2486" s="705">
        <f t="shared" si="78"/>
        <v>6.1111111111111107</v>
      </c>
    </row>
    <row r="2487" spans="2:5">
      <c r="B2487" s="943">
        <v>45026</v>
      </c>
      <c r="C2487" s="195">
        <f t="shared" si="77"/>
        <v>4</v>
      </c>
      <c r="D2487" s="195">
        <v>42.4</v>
      </c>
      <c r="E2487" s="705">
        <f t="shared" si="78"/>
        <v>5.7777777777777768</v>
      </c>
    </row>
    <row r="2488" spans="2:5">
      <c r="B2488" s="943">
        <v>45026</v>
      </c>
      <c r="C2488" s="195">
        <f t="shared" si="77"/>
        <v>4</v>
      </c>
      <c r="D2488" s="195">
        <v>42.3</v>
      </c>
      <c r="E2488" s="705">
        <f t="shared" si="78"/>
        <v>5.7222222222222205</v>
      </c>
    </row>
    <row r="2489" spans="2:5">
      <c r="B2489" s="943">
        <v>45026</v>
      </c>
      <c r="C2489" s="195">
        <f t="shared" si="77"/>
        <v>4</v>
      </c>
      <c r="D2489" s="195">
        <v>42.1</v>
      </c>
      <c r="E2489" s="705">
        <f t="shared" si="78"/>
        <v>5.6111111111111116</v>
      </c>
    </row>
    <row r="2490" spans="2:5">
      <c r="B2490" s="943">
        <v>45026</v>
      </c>
      <c r="C2490" s="195">
        <f t="shared" si="77"/>
        <v>4</v>
      </c>
      <c r="D2490" s="195">
        <v>42.1</v>
      </c>
      <c r="E2490" s="705">
        <f t="shared" si="78"/>
        <v>5.6111111111111116</v>
      </c>
    </row>
    <row r="2491" spans="2:5">
      <c r="B2491" s="943">
        <v>45026</v>
      </c>
      <c r="C2491" s="195">
        <f t="shared" si="77"/>
        <v>4</v>
      </c>
      <c r="D2491" s="195">
        <v>42.1</v>
      </c>
      <c r="E2491" s="705">
        <f t="shared" si="78"/>
        <v>5.6111111111111116</v>
      </c>
    </row>
    <row r="2492" spans="2:5">
      <c r="B2492" s="943">
        <v>45026</v>
      </c>
      <c r="C2492" s="195">
        <f t="shared" si="77"/>
        <v>4</v>
      </c>
      <c r="D2492" s="195">
        <v>42.4</v>
      </c>
      <c r="E2492" s="705">
        <f t="shared" si="78"/>
        <v>5.7777777777777768</v>
      </c>
    </row>
    <row r="2493" spans="2:5">
      <c r="B2493" s="943">
        <v>45026</v>
      </c>
      <c r="C2493" s="195">
        <f t="shared" si="77"/>
        <v>4</v>
      </c>
      <c r="D2493" s="195" t="s">
        <v>1430</v>
      </c>
      <c r="E2493" s="705">
        <f t="shared" si="78"/>
        <v>6.1111111111111107</v>
      </c>
    </row>
    <row r="2494" spans="2:5">
      <c r="B2494" s="943">
        <v>45026</v>
      </c>
      <c r="C2494" s="195">
        <f t="shared" si="77"/>
        <v>4</v>
      </c>
      <c r="D2494" s="195">
        <v>43.5</v>
      </c>
      <c r="E2494" s="705">
        <f t="shared" si="78"/>
        <v>6.3888888888888884</v>
      </c>
    </row>
    <row r="2495" spans="2:5">
      <c r="B2495" s="943">
        <v>45026</v>
      </c>
      <c r="C2495" s="195">
        <f t="shared" si="77"/>
        <v>4</v>
      </c>
      <c r="D2495" s="195">
        <v>43.9</v>
      </c>
      <c r="E2495" s="705">
        <f t="shared" si="78"/>
        <v>6.6111111111111098</v>
      </c>
    </row>
    <row r="2496" spans="2:5">
      <c r="B2496" s="943">
        <v>45026</v>
      </c>
      <c r="C2496" s="195">
        <f t="shared" si="77"/>
        <v>4</v>
      </c>
      <c r="D2496" s="195">
        <v>44.2</v>
      </c>
      <c r="E2496" s="705">
        <f t="shared" si="78"/>
        <v>6.7777777777777795</v>
      </c>
    </row>
    <row r="2497" spans="2:5">
      <c r="B2497" s="943">
        <v>45026</v>
      </c>
      <c r="C2497" s="195">
        <f t="shared" si="77"/>
        <v>4</v>
      </c>
      <c r="D2497" s="195">
        <v>43.9</v>
      </c>
      <c r="E2497" s="705">
        <f t="shared" si="78"/>
        <v>6.6111111111111098</v>
      </c>
    </row>
    <row r="2498" spans="2:5">
      <c r="B2498" s="943">
        <v>45026</v>
      </c>
      <c r="C2498" s="195">
        <f t="shared" si="77"/>
        <v>4</v>
      </c>
      <c r="D2498" s="195">
        <v>43.3</v>
      </c>
      <c r="E2498" s="705">
        <f t="shared" si="78"/>
        <v>6.2777777777777759</v>
      </c>
    </row>
    <row r="2499" spans="2:5">
      <c r="B2499" s="943">
        <v>45026</v>
      </c>
      <c r="C2499" s="195">
        <f t="shared" si="77"/>
        <v>4</v>
      </c>
      <c r="D2499" s="195">
        <v>42.8</v>
      </c>
      <c r="E2499" s="705">
        <f t="shared" si="78"/>
        <v>5.9999999999999982</v>
      </c>
    </row>
    <row r="2500" spans="2:5">
      <c r="B2500" s="943">
        <v>45026</v>
      </c>
      <c r="C2500" s="195">
        <f t="shared" si="77"/>
        <v>4</v>
      </c>
      <c r="D2500" s="195">
        <v>42.6</v>
      </c>
      <c r="E2500" s="705">
        <f t="shared" si="78"/>
        <v>5.8888888888888893</v>
      </c>
    </row>
    <row r="2501" spans="2:5">
      <c r="B2501" s="943">
        <v>45026</v>
      </c>
      <c r="C2501" s="195">
        <f t="shared" si="77"/>
        <v>4</v>
      </c>
      <c r="D2501" s="195">
        <v>42.6</v>
      </c>
      <c r="E2501" s="705">
        <f t="shared" si="78"/>
        <v>5.8888888888888893</v>
      </c>
    </row>
    <row r="2502" spans="2:5">
      <c r="B2502" s="943">
        <v>45026</v>
      </c>
      <c r="C2502" s="195">
        <f t="shared" si="77"/>
        <v>4</v>
      </c>
      <c r="D2502" s="195">
        <v>42.4</v>
      </c>
      <c r="E2502" s="705">
        <f t="shared" si="78"/>
        <v>5.7777777777777768</v>
      </c>
    </row>
    <row r="2503" spans="2:5">
      <c r="B2503" s="943">
        <v>45026</v>
      </c>
      <c r="C2503" s="195">
        <f t="shared" si="77"/>
        <v>4</v>
      </c>
      <c r="D2503" s="195">
        <v>42.8</v>
      </c>
      <c r="E2503" s="705">
        <f t="shared" si="78"/>
        <v>5.9999999999999982</v>
      </c>
    </row>
    <row r="2504" spans="2:5">
      <c r="B2504" s="943">
        <v>45026</v>
      </c>
      <c r="C2504" s="195">
        <f t="shared" si="77"/>
        <v>4</v>
      </c>
      <c r="D2504" s="195" t="s">
        <v>1430</v>
      </c>
      <c r="E2504" s="705">
        <f t="shared" si="78"/>
        <v>6.1111111111111107</v>
      </c>
    </row>
    <row r="2505" spans="2:5">
      <c r="B2505" s="943">
        <v>45027</v>
      </c>
      <c r="C2505" s="195">
        <f t="shared" si="77"/>
        <v>4</v>
      </c>
      <c r="D2505" s="195">
        <v>43.5</v>
      </c>
      <c r="E2505" s="705">
        <f t="shared" si="78"/>
        <v>6.3888888888888884</v>
      </c>
    </row>
    <row r="2506" spans="2:5">
      <c r="B2506" s="943">
        <v>45027</v>
      </c>
      <c r="C2506" s="195">
        <f t="shared" ref="C2506:C2569" si="79">MONTH(B2506)</f>
        <v>4</v>
      </c>
      <c r="D2506" s="195">
        <v>44.2</v>
      </c>
      <c r="E2506" s="705">
        <f t="shared" ref="E2506:E2569" si="80">CONVERT(D2506,"F","C")</f>
        <v>6.7777777777777795</v>
      </c>
    </row>
    <row r="2507" spans="2:5">
      <c r="B2507" s="943">
        <v>45027</v>
      </c>
      <c r="C2507" s="195">
        <f t="shared" si="79"/>
        <v>4</v>
      </c>
      <c r="D2507" s="195">
        <v>44.6</v>
      </c>
      <c r="E2507" s="705">
        <f t="shared" si="80"/>
        <v>7.0000000000000009</v>
      </c>
    </row>
    <row r="2508" spans="2:5">
      <c r="B2508" s="943">
        <v>45027</v>
      </c>
      <c r="C2508" s="195">
        <f t="shared" si="79"/>
        <v>4</v>
      </c>
      <c r="D2508" s="195">
        <v>44.8</v>
      </c>
      <c r="E2508" s="705">
        <f t="shared" si="80"/>
        <v>7.1111111111111089</v>
      </c>
    </row>
    <row r="2509" spans="2:5">
      <c r="B2509" s="943">
        <v>45027</v>
      </c>
      <c r="C2509" s="195">
        <f t="shared" si="79"/>
        <v>4</v>
      </c>
      <c r="D2509" s="195">
        <v>44.6</v>
      </c>
      <c r="E2509" s="705">
        <f t="shared" si="80"/>
        <v>7.0000000000000009</v>
      </c>
    </row>
    <row r="2510" spans="2:5">
      <c r="B2510" s="943">
        <v>45027</v>
      </c>
      <c r="C2510" s="195">
        <f t="shared" si="79"/>
        <v>4</v>
      </c>
      <c r="D2510" s="195">
        <v>43.9</v>
      </c>
      <c r="E2510" s="705">
        <f t="shared" si="80"/>
        <v>6.6111111111111098</v>
      </c>
    </row>
    <row r="2511" spans="2:5">
      <c r="B2511" s="943">
        <v>45027</v>
      </c>
      <c r="C2511" s="195">
        <f t="shared" si="79"/>
        <v>4</v>
      </c>
      <c r="D2511" s="195">
        <v>43.3</v>
      </c>
      <c r="E2511" s="705">
        <f t="shared" si="80"/>
        <v>6.2777777777777759</v>
      </c>
    </row>
    <row r="2512" spans="2:5">
      <c r="B2512" s="943">
        <v>45027</v>
      </c>
      <c r="C2512" s="195">
        <f t="shared" si="79"/>
        <v>4</v>
      </c>
      <c r="D2512" s="195">
        <v>42.8</v>
      </c>
      <c r="E2512" s="705">
        <f t="shared" si="80"/>
        <v>5.9999999999999982</v>
      </c>
    </row>
    <row r="2513" spans="2:5">
      <c r="B2513" s="943">
        <v>45027</v>
      </c>
      <c r="C2513" s="195">
        <f t="shared" si="79"/>
        <v>4</v>
      </c>
      <c r="D2513" s="195">
        <v>42.4</v>
      </c>
      <c r="E2513" s="705">
        <f t="shared" si="80"/>
        <v>5.7777777777777768</v>
      </c>
    </row>
    <row r="2514" spans="2:5">
      <c r="B2514" s="943">
        <v>45027</v>
      </c>
      <c r="C2514" s="195">
        <f t="shared" si="79"/>
        <v>4</v>
      </c>
      <c r="D2514" s="195">
        <v>42.3</v>
      </c>
      <c r="E2514" s="705">
        <f t="shared" si="80"/>
        <v>5.7222222222222205</v>
      </c>
    </row>
    <row r="2515" spans="2:5">
      <c r="B2515" s="943">
        <v>45027</v>
      </c>
      <c r="C2515" s="195">
        <f t="shared" si="79"/>
        <v>4</v>
      </c>
      <c r="D2515" s="195">
        <v>42.3</v>
      </c>
      <c r="E2515" s="705">
        <f t="shared" si="80"/>
        <v>5.7222222222222205</v>
      </c>
    </row>
    <row r="2516" spans="2:5">
      <c r="B2516" s="943">
        <v>45027</v>
      </c>
      <c r="C2516" s="195">
        <f t="shared" si="79"/>
        <v>4</v>
      </c>
      <c r="D2516" s="195">
        <v>42.4</v>
      </c>
      <c r="E2516" s="705">
        <f t="shared" si="80"/>
        <v>5.7777777777777768</v>
      </c>
    </row>
    <row r="2517" spans="2:5">
      <c r="B2517" s="943">
        <v>45027</v>
      </c>
      <c r="C2517" s="195">
        <f t="shared" si="79"/>
        <v>4</v>
      </c>
      <c r="D2517" s="195" t="s">
        <v>1430</v>
      </c>
      <c r="E2517" s="705">
        <f t="shared" si="80"/>
        <v>6.1111111111111107</v>
      </c>
    </row>
    <row r="2518" spans="2:5">
      <c r="B2518" s="943">
        <v>45027</v>
      </c>
      <c r="C2518" s="195">
        <f t="shared" si="79"/>
        <v>4</v>
      </c>
      <c r="D2518" s="195">
        <v>43.7</v>
      </c>
      <c r="E2518" s="705">
        <f t="shared" si="80"/>
        <v>6.5000000000000018</v>
      </c>
    </row>
    <row r="2519" spans="2:5">
      <c r="B2519" s="943">
        <v>45027</v>
      </c>
      <c r="C2519" s="195">
        <f t="shared" si="79"/>
        <v>4</v>
      </c>
      <c r="D2519" s="195">
        <v>44.4</v>
      </c>
      <c r="E2519" s="705">
        <f t="shared" si="80"/>
        <v>6.8888888888888875</v>
      </c>
    </row>
    <row r="2520" spans="2:5">
      <c r="B2520" s="943">
        <v>45027</v>
      </c>
      <c r="C2520" s="195">
        <f t="shared" si="79"/>
        <v>4</v>
      </c>
      <c r="D2520" s="195">
        <v>44.8</v>
      </c>
      <c r="E2520" s="705">
        <f t="shared" si="80"/>
        <v>7.1111111111111089</v>
      </c>
    </row>
    <row r="2521" spans="2:5">
      <c r="B2521" s="943">
        <v>45027</v>
      </c>
      <c r="C2521" s="195">
        <f t="shared" si="79"/>
        <v>4</v>
      </c>
      <c r="D2521" s="195">
        <v>45.1</v>
      </c>
      <c r="E2521" s="705">
        <f t="shared" si="80"/>
        <v>7.2777777777777786</v>
      </c>
    </row>
    <row r="2522" spans="2:5">
      <c r="B2522" s="943">
        <v>45027</v>
      </c>
      <c r="C2522" s="195">
        <f t="shared" si="79"/>
        <v>4</v>
      </c>
      <c r="D2522" s="195">
        <v>44.8</v>
      </c>
      <c r="E2522" s="705">
        <f t="shared" si="80"/>
        <v>7.1111111111111089</v>
      </c>
    </row>
    <row r="2523" spans="2:5">
      <c r="B2523" s="943">
        <v>45027</v>
      </c>
      <c r="C2523" s="195">
        <f t="shared" si="79"/>
        <v>4</v>
      </c>
      <c r="D2523" s="195">
        <v>43.9</v>
      </c>
      <c r="E2523" s="705">
        <f t="shared" si="80"/>
        <v>6.6111111111111098</v>
      </c>
    </row>
    <row r="2524" spans="2:5">
      <c r="B2524" s="943">
        <v>45027</v>
      </c>
      <c r="C2524" s="195">
        <f t="shared" si="79"/>
        <v>4</v>
      </c>
      <c r="D2524" s="195">
        <v>43.5</v>
      </c>
      <c r="E2524" s="705">
        <f t="shared" si="80"/>
        <v>6.3888888888888884</v>
      </c>
    </row>
    <row r="2525" spans="2:5">
      <c r="B2525" s="943">
        <v>45027</v>
      </c>
      <c r="C2525" s="195">
        <f t="shared" si="79"/>
        <v>4</v>
      </c>
      <c r="D2525" s="195">
        <v>43.2</v>
      </c>
      <c r="E2525" s="705">
        <f t="shared" si="80"/>
        <v>6.2222222222222232</v>
      </c>
    </row>
    <row r="2526" spans="2:5">
      <c r="B2526" s="943">
        <v>45027</v>
      </c>
      <c r="C2526" s="195">
        <f t="shared" si="79"/>
        <v>4</v>
      </c>
      <c r="D2526" s="195">
        <v>42.6</v>
      </c>
      <c r="E2526" s="705">
        <f t="shared" si="80"/>
        <v>5.8888888888888893</v>
      </c>
    </row>
    <row r="2527" spans="2:5">
      <c r="B2527" s="943">
        <v>45027</v>
      </c>
      <c r="C2527" s="195">
        <f t="shared" si="79"/>
        <v>4</v>
      </c>
      <c r="D2527" s="195">
        <v>42.4</v>
      </c>
      <c r="E2527" s="705">
        <f t="shared" si="80"/>
        <v>5.7777777777777768</v>
      </c>
    </row>
    <row r="2528" spans="2:5">
      <c r="B2528" s="943">
        <v>45027</v>
      </c>
      <c r="C2528" s="195">
        <f t="shared" si="79"/>
        <v>4</v>
      </c>
      <c r="D2528" s="195">
        <v>42.8</v>
      </c>
      <c r="E2528" s="705">
        <f t="shared" si="80"/>
        <v>5.9999999999999982</v>
      </c>
    </row>
    <row r="2529" spans="2:5">
      <c r="B2529" s="943">
        <v>45028</v>
      </c>
      <c r="C2529" s="195">
        <f t="shared" si="79"/>
        <v>4</v>
      </c>
      <c r="D2529" s="195">
        <v>43.2</v>
      </c>
      <c r="E2529" s="705">
        <f t="shared" si="80"/>
        <v>6.2222222222222232</v>
      </c>
    </row>
    <row r="2530" spans="2:5">
      <c r="B2530" s="943">
        <v>45028</v>
      </c>
      <c r="C2530" s="195">
        <f t="shared" si="79"/>
        <v>4</v>
      </c>
      <c r="D2530" s="195">
        <v>43.9</v>
      </c>
      <c r="E2530" s="705">
        <f t="shared" si="80"/>
        <v>6.6111111111111098</v>
      </c>
    </row>
    <row r="2531" spans="2:5">
      <c r="B2531" s="943">
        <v>45028</v>
      </c>
      <c r="C2531" s="195">
        <f t="shared" si="79"/>
        <v>4</v>
      </c>
      <c r="D2531" s="195">
        <v>44.8</v>
      </c>
      <c r="E2531" s="705">
        <f t="shared" si="80"/>
        <v>7.1111111111111089</v>
      </c>
    </row>
    <row r="2532" spans="2:5">
      <c r="B2532" s="943">
        <v>45028</v>
      </c>
      <c r="C2532" s="195">
        <f t="shared" si="79"/>
        <v>4</v>
      </c>
      <c r="D2532" s="195">
        <v>45.1</v>
      </c>
      <c r="E2532" s="705">
        <f t="shared" si="80"/>
        <v>7.2777777777777786</v>
      </c>
    </row>
    <row r="2533" spans="2:5">
      <c r="B2533" s="943">
        <v>45028</v>
      </c>
      <c r="C2533" s="195">
        <f t="shared" si="79"/>
        <v>4</v>
      </c>
      <c r="D2533" s="195">
        <v>45.5</v>
      </c>
      <c r="E2533" s="705">
        <f t="shared" si="80"/>
        <v>7.5</v>
      </c>
    </row>
    <row r="2534" spans="2:5">
      <c r="B2534" s="943">
        <v>45028</v>
      </c>
      <c r="C2534" s="195">
        <f t="shared" si="79"/>
        <v>4</v>
      </c>
      <c r="D2534" s="195">
        <v>45.1</v>
      </c>
      <c r="E2534" s="705">
        <f t="shared" si="80"/>
        <v>7.2777777777777786</v>
      </c>
    </row>
    <row r="2535" spans="2:5">
      <c r="B2535" s="943">
        <v>45028</v>
      </c>
      <c r="C2535" s="195">
        <f t="shared" si="79"/>
        <v>4</v>
      </c>
      <c r="D2535" s="195">
        <v>44.2</v>
      </c>
      <c r="E2535" s="705">
        <f t="shared" si="80"/>
        <v>6.7777777777777795</v>
      </c>
    </row>
    <row r="2536" spans="2:5">
      <c r="B2536" s="943">
        <v>45028</v>
      </c>
      <c r="C2536" s="195">
        <f t="shared" si="79"/>
        <v>4</v>
      </c>
      <c r="D2536" s="195">
        <v>43.5</v>
      </c>
      <c r="E2536" s="705">
        <f t="shared" si="80"/>
        <v>6.3888888888888884</v>
      </c>
    </row>
    <row r="2537" spans="2:5">
      <c r="B2537" s="943">
        <v>45028</v>
      </c>
      <c r="C2537" s="195">
        <f t="shared" si="79"/>
        <v>4</v>
      </c>
      <c r="D2537" s="195">
        <v>42.6</v>
      </c>
      <c r="E2537" s="705">
        <f t="shared" si="80"/>
        <v>5.8888888888888893</v>
      </c>
    </row>
    <row r="2538" spans="2:5">
      <c r="B2538" s="943">
        <v>45028</v>
      </c>
      <c r="C2538" s="195">
        <f t="shared" si="79"/>
        <v>4</v>
      </c>
      <c r="D2538" s="195">
        <v>42.3</v>
      </c>
      <c r="E2538" s="705">
        <f t="shared" si="80"/>
        <v>5.7222222222222205</v>
      </c>
    </row>
    <row r="2539" spans="2:5">
      <c r="B2539" s="943">
        <v>45028</v>
      </c>
      <c r="C2539" s="195">
        <f t="shared" si="79"/>
        <v>4</v>
      </c>
      <c r="D2539" s="195">
        <v>42.1</v>
      </c>
      <c r="E2539" s="705">
        <f t="shared" si="80"/>
        <v>5.6111111111111116</v>
      </c>
    </row>
    <row r="2540" spans="2:5">
      <c r="B2540" s="943">
        <v>45028</v>
      </c>
      <c r="C2540" s="195">
        <f t="shared" si="79"/>
        <v>4</v>
      </c>
      <c r="D2540" s="195">
        <v>42.3</v>
      </c>
      <c r="E2540" s="705">
        <f t="shared" si="80"/>
        <v>5.7222222222222205</v>
      </c>
    </row>
    <row r="2541" spans="2:5">
      <c r="B2541" s="943">
        <v>45028</v>
      </c>
      <c r="C2541" s="195">
        <f t="shared" si="79"/>
        <v>4</v>
      </c>
      <c r="D2541" s="195">
        <v>42.6</v>
      </c>
      <c r="E2541" s="705">
        <f t="shared" si="80"/>
        <v>5.8888888888888893</v>
      </c>
    </row>
    <row r="2542" spans="2:5">
      <c r="B2542" s="943">
        <v>45028</v>
      </c>
      <c r="C2542" s="195">
        <f t="shared" si="79"/>
        <v>4</v>
      </c>
      <c r="D2542" s="195">
        <v>43.5</v>
      </c>
      <c r="E2542" s="705">
        <f t="shared" si="80"/>
        <v>6.3888888888888884</v>
      </c>
    </row>
    <row r="2543" spans="2:5">
      <c r="B2543" s="943">
        <v>45028</v>
      </c>
      <c r="C2543" s="195">
        <f t="shared" si="79"/>
        <v>4</v>
      </c>
      <c r="D2543" s="195">
        <v>44.4</v>
      </c>
      <c r="E2543" s="705">
        <f t="shared" si="80"/>
        <v>6.8888888888888875</v>
      </c>
    </row>
    <row r="2544" spans="2:5">
      <c r="B2544" s="943">
        <v>45028</v>
      </c>
      <c r="C2544" s="195">
        <f t="shared" si="79"/>
        <v>4</v>
      </c>
      <c r="D2544" s="195">
        <v>45.1</v>
      </c>
      <c r="E2544" s="705">
        <f t="shared" si="80"/>
        <v>7.2777777777777786</v>
      </c>
    </row>
    <row r="2545" spans="2:5">
      <c r="B2545" s="943">
        <v>45028</v>
      </c>
      <c r="C2545" s="195">
        <f t="shared" si="79"/>
        <v>4</v>
      </c>
      <c r="D2545" s="195">
        <v>45.7</v>
      </c>
      <c r="E2545" s="705">
        <f t="shared" si="80"/>
        <v>7.6111111111111125</v>
      </c>
    </row>
    <row r="2546" spans="2:5">
      <c r="B2546" s="943">
        <v>45028</v>
      </c>
      <c r="C2546" s="195">
        <f t="shared" si="79"/>
        <v>4</v>
      </c>
      <c r="D2546" s="195" t="s">
        <v>1434</v>
      </c>
      <c r="E2546" s="705">
        <f t="shared" si="80"/>
        <v>7.7777777777777777</v>
      </c>
    </row>
    <row r="2547" spans="2:5">
      <c r="B2547" s="943">
        <v>45028</v>
      </c>
      <c r="C2547" s="195">
        <f t="shared" si="79"/>
        <v>4</v>
      </c>
      <c r="D2547" s="195">
        <v>45.7</v>
      </c>
      <c r="E2547" s="705">
        <f t="shared" si="80"/>
        <v>7.6111111111111125</v>
      </c>
    </row>
    <row r="2548" spans="2:5">
      <c r="B2548" s="943">
        <v>45028</v>
      </c>
      <c r="C2548" s="195">
        <f t="shared" si="79"/>
        <v>4</v>
      </c>
      <c r="D2548" s="195">
        <v>44.2</v>
      </c>
      <c r="E2548" s="705">
        <f t="shared" si="80"/>
        <v>6.7777777777777795</v>
      </c>
    </row>
    <row r="2549" spans="2:5">
      <c r="B2549" s="943">
        <v>45028</v>
      </c>
      <c r="C2549" s="195">
        <f t="shared" si="79"/>
        <v>4</v>
      </c>
      <c r="D2549" s="195">
        <v>43.9</v>
      </c>
      <c r="E2549" s="705">
        <f t="shared" si="80"/>
        <v>6.6111111111111098</v>
      </c>
    </row>
    <row r="2550" spans="2:5">
      <c r="B2550" s="943">
        <v>45028</v>
      </c>
      <c r="C2550" s="195">
        <f t="shared" si="79"/>
        <v>4</v>
      </c>
      <c r="D2550" s="195" t="s">
        <v>1430</v>
      </c>
      <c r="E2550" s="705">
        <f t="shared" si="80"/>
        <v>6.1111111111111107</v>
      </c>
    </row>
    <row r="2551" spans="2:5">
      <c r="B2551" s="943">
        <v>45028</v>
      </c>
      <c r="C2551" s="195">
        <f t="shared" si="79"/>
        <v>4</v>
      </c>
      <c r="D2551" s="195">
        <v>42.6</v>
      </c>
      <c r="E2551" s="705">
        <f t="shared" si="80"/>
        <v>5.8888888888888893</v>
      </c>
    </row>
    <row r="2552" spans="2:5">
      <c r="B2552" s="943">
        <v>45028</v>
      </c>
      <c r="C2552" s="195">
        <f t="shared" si="79"/>
        <v>4</v>
      </c>
      <c r="D2552" s="195">
        <v>42.4</v>
      </c>
      <c r="E2552" s="705">
        <f t="shared" si="80"/>
        <v>5.7777777777777768</v>
      </c>
    </row>
    <row r="2553" spans="2:5">
      <c r="B2553" s="943">
        <v>45029</v>
      </c>
      <c r="C2553" s="195">
        <f t="shared" si="79"/>
        <v>4</v>
      </c>
      <c r="D2553" s="195">
        <v>42.6</v>
      </c>
      <c r="E2553" s="705">
        <f t="shared" si="80"/>
        <v>5.8888888888888893</v>
      </c>
    </row>
    <row r="2554" spans="2:5">
      <c r="B2554" s="943">
        <v>45029</v>
      </c>
      <c r="C2554" s="195">
        <f t="shared" si="79"/>
        <v>4</v>
      </c>
      <c r="D2554" s="195">
        <v>43.2</v>
      </c>
      <c r="E2554" s="705">
        <f t="shared" si="80"/>
        <v>6.2222222222222232</v>
      </c>
    </row>
    <row r="2555" spans="2:5">
      <c r="B2555" s="943">
        <v>45029</v>
      </c>
      <c r="C2555" s="195">
        <f t="shared" si="79"/>
        <v>4</v>
      </c>
      <c r="D2555" s="195">
        <v>44.1</v>
      </c>
      <c r="E2555" s="705">
        <f t="shared" si="80"/>
        <v>6.7222222222222232</v>
      </c>
    </row>
    <row r="2556" spans="2:5">
      <c r="B2556" s="943">
        <v>45029</v>
      </c>
      <c r="C2556" s="195">
        <f t="shared" si="79"/>
        <v>4</v>
      </c>
      <c r="D2556" s="195">
        <v>45.1</v>
      </c>
      <c r="E2556" s="705">
        <f t="shared" si="80"/>
        <v>7.2777777777777786</v>
      </c>
    </row>
    <row r="2557" spans="2:5">
      <c r="B2557" s="943">
        <v>45029</v>
      </c>
      <c r="C2557" s="195">
        <f t="shared" si="79"/>
        <v>4</v>
      </c>
      <c r="D2557" s="195">
        <v>45.7</v>
      </c>
      <c r="E2557" s="705">
        <f t="shared" si="80"/>
        <v>7.6111111111111125</v>
      </c>
    </row>
    <row r="2558" spans="2:5">
      <c r="B2558" s="943">
        <v>45029</v>
      </c>
      <c r="C2558" s="195">
        <f t="shared" si="79"/>
        <v>4</v>
      </c>
      <c r="D2558" s="195">
        <v>45.9</v>
      </c>
      <c r="E2558" s="705">
        <f t="shared" si="80"/>
        <v>7.7222222222222214</v>
      </c>
    </row>
    <row r="2559" spans="2:5">
      <c r="B2559" s="943">
        <v>45029</v>
      </c>
      <c r="C2559" s="195">
        <f t="shared" si="79"/>
        <v>4</v>
      </c>
      <c r="D2559" s="195">
        <v>45.5</v>
      </c>
      <c r="E2559" s="705">
        <f t="shared" si="80"/>
        <v>7.5</v>
      </c>
    </row>
    <row r="2560" spans="2:5">
      <c r="B2560" s="943">
        <v>45029</v>
      </c>
      <c r="C2560" s="195">
        <f t="shared" si="79"/>
        <v>4</v>
      </c>
      <c r="D2560" s="195">
        <v>44.2</v>
      </c>
      <c r="E2560" s="705">
        <f t="shared" si="80"/>
        <v>6.7777777777777795</v>
      </c>
    </row>
    <row r="2561" spans="2:5">
      <c r="B2561" s="943">
        <v>45029</v>
      </c>
      <c r="C2561" s="195">
        <f t="shared" si="79"/>
        <v>4</v>
      </c>
      <c r="D2561" s="195">
        <v>43.3</v>
      </c>
      <c r="E2561" s="705">
        <f t="shared" si="80"/>
        <v>6.2777777777777759</v>
      </c>
    </row>
    <row r="2562" spans="2:5">
      <c r="B2562" s="943">
        <v>45029</v>
      </c>
      <c r="C2562" s="195">
        <f t="shared" si="79"/>
        <v>4</v>
      </c>
      <c r="D2562" s="195">
        <v>42.6</v>
      </c>
      <c r="E2562" s="705">
        <f t="shared" si="80"/>
        <v>5.8888888888888893</v>
      </c>
    </row>
    <row r="2563" spans="2:5">
      <c r="B2563" s="943">
        <v>45029</v>
      </c>
      <c r="C2563" s="195">
        <f t="shared" si="79"/>
        <v>4</v>
      </c>
      <c r="D2563" s="195">
        <v>42.3</v>
      </c>
      <c r="E2563" s="705">
        <f t="shared" si="80"/>
        <v>5.7222222222222205</v>
      </c>
    </row>
    <row r="2564" spans="2:5">
      <c r="B2564" s="943">
        <v>45029</v>
      </c>
      <c r="C2564" s="195">
        <f t="shared" si="79"/>
        <v>4</v>
      </c>
      <c r="D2564" s="195">
        <v>42.3</v>
      </c>
      <c r="E2564" s="705">
        <f t="shared" si="80"/>
        <v>5.7222222222222205</v>
      </c>
    </row>
    <row r="2565" spans="2:5">
      <c r="B2565" s="943">
        <v>45029</v>
      </c>
      <c r="C2565" s="195">
        <f t="shared" si="79"/>
        <v>4</v>
      </c>
      <c r="D2565" s="195">
        <v>42.4</v>
      </c>
      <c r="E2565" s="705">
        <f t="shared" si="80"/>
        <v>5.7777777777777768</v>
      </c>
    </row>
    <row r="2566" spans="2:5">
      <c r="B2566" s="943">
        <v>45029</v>
      </c>
      <c r="C2566" s="195">
        <f t="shared" si="79"/>
        <v>4</v>
      </c>
      <c r="D2566" s="195">
        <v>42.8</v>
      </c>
      <c r="E2566" s="705">
        <f t="shared" si="80"/>
        <v>5.9999999999999982</v>
      </c>
    </row>
    <row r="2567" spans="2:5">
      <c r="B2567" s="943">
        <v>45029</v>
      </c>
      <c r="C2567" s="195">
        <f t="shared" si="79"/>
        <v>4</v>
      </c>
      <c r="D2567" s="195">
        <v>43.3</v>
      </c>
      <c r="E2567" s="705">
        <f t="shared" si="80"/>
        <v>6.2777777777777759</v>
      </c>
    </row>
    <row r="2568" spans="2:5">
      <c r="B2568" s="943">
        <v>45029</v>
      </c>
      <c r="C2568" s="195">
        <f t="shared" si="79"/>
        <v>4</v>
      </c>
      <c r="D2568" s="195">
        <v>44.6</v>
      </c>
      <c r="E2568" s="705">
        <f t="shared" si="80"/>
        <v>7.0000000000000009</v>
      </c>
    </row>
    <row r="2569" spans="2:5">
      <c r="B2569" s="943">
        <v>45029</v>
      </c>
      <c r="C2569" s="195">
        <f t="shared" si="79"/>
        <v>4</v>
      </c>
      <c r="D2569" s="195">
        <v>45.7</v>
      </c>
      <c r="E2569" s="705">
        <f t="shared" si="80"/>
        <v>7.6111111111111125</v>
      </c>
    </row>
    <row r="2570" spans="2:5">
      <c r="B2570" s="943">
        <v>45029</v>
      </c>
      <c r="C2570" s="195">
        <f t="shared" ref="C2570:C2633" si="81">MONTH(B2570)</f>
        <v>4</v>
      </c>
      <c r="D2570" s="195">
        <v>46.2</v>
      </c>
      <c r="E2570" s="705">
        <f t="shared" ref="E2570:E2633" si="82">CONVERT(D2570,"F","C")</f>
        <v>7.8888888888888902</v>
      </c>
    </row>
    <row r="2571" spans="2:5">
      <c r="B2571" s="943">
        <v>45029</v>
      </c>
      <c r="C2571" s="195">
        <f t="shared" si="81"/>
        <v>4</v>
      </c>
      <c r="D2571" s="195">
        <v>46.8</v>
      </c>
      <c r="E2571" s="705">
        <f t="shared" si="82"/>
        <v>8.2222222222222197</v>
      </c>
    </row>
    <row r="2572" spans="2:5">
      <c r="B2572" s="943">
        <v>45029</v>
      </c>
      <c r="C2572" s="195">
        <f t="shared" si="81"/>
        <v>4</v>
      </c>
      <c r="D2572" s="195">
        <v>46.2</v>
      </c>
      <c r="E2572" s="705">
        <f t="shared" si="82"/>
        <v>7.8888888888888902</v>
      </c>
    </row>
    <row r="2573" spans="2:5">
      <c r="B2573" s="943">
        <v>45029</v>
      </c>
      <c r="C2573" s="195">
        <f t="shared" si="81"/>
        <v>4</v>
      </c>
      <c r="D2573" s="195">
        <v>45.1</v>
      </c>
      <c r="E2573" s="705">
        <f t="shared" si="82"/>
        <v>7.2777777777777786</v>
      </c>
    </row>
    <row r="2574" spans="2:5">
      <c r="B2574" s="943">
        <v>45029</v>
      </c>
      <c r="C2574" s="195">
        <f t="shared" si="81"/>
        <v>4</v>
      </c>
      <c r="D2574" s="195">
        <v>44.4</v>
      </c>
      <c r="E2574" s="705">
        <f t="shared" si="82"/>
        <v>6.8888888888888875</v>
      </c>
    </row>
    <row r="2575" spans="2:5">
      <c r="B2575" s="943">
        <v>45029</v>
      </c>
      <c r="C2575" s="195">
        <f t="shared" si="81"/>
        <v>4</v>
      </c>
      <c r="D2575" s="195">
        <v>43.9</v>
      </c>
      <c r="E2575" s="705">
        <f t="shared" si="82"/>
        <v>6.6111111111111098</v>
      </c>
    </row>
    <row r="2576" spans="2:5">
      <c r="B2576" s="943">
        <v>45029</v>
      </c>
      <c r="C2576" s="195">
        <f t="shared" si="81"/>
        <v>4</v>
      </c>
      <c r="D2576" s="195">
        <v>43.7</v>
      </c>
      <c r="E2576" s="705">
        <f t="shared" si="82"/>
        <v>6.5000000000000018</v>
      </c>
    </row>
    <row r="2577" spans="2:5">
      <c r="B2577" s="943">
        <v>45030</v>
      </c>
      <c r="C2577" s="195">
        <f t="shared" si="81"/>
        <v>4</v>
      </c>
      <c r="D2577" s="195">
        <v>43.5</v>
      </c>
      <c r="E2577" s="705">
        <f t="shared" si="82"/>
        <v>6.3888888888888884</v>
      </c>
    </row>
    <row r="2578" spans="2:5">
      <c r="B2578" s="943">
        <v>45030</v>
      </c>
      <c r="C2578" s="195">
        <f t="shared" si="81"/>
        <v>4</v>
      </c>
      <c r="D2578" s="195">
        <v>43.9</v>
      </c>
      <c r="E2578" s="705">
        <f t="shared" si="82"/>
        <v>6.6111111111111098</v>
      </c>
    </row>
    <row r="2579" spans="2:5">
      <c r="B2579" s="943">
        <v>45030</v>
      </c>
      <c r="C2579" s="195">
        <f t="shared" si="81"/>
        <v>4</v>
      </c>
      <c r="D2579" s="195">
        <v>44.2</v>
      </c>
      <c r="E2579" s="705">
        <f t="shared" si="82"/>
        <v>6.7777777777777795</v>
      </c>
    </row>
    <row r="2580" spans="2:5">
      <c r="B2580" s="943">
        <v>45030</v>
      </c>
      <c r="C2580" s="195">
        <f t="shared" si="81"/>
        <v>4</v>
      </c>
      <c r="D2580" s="195" t="s">
        <v>1425</v>
      </c>
      <c r="E2580" s="705">
        <f t="shared" si="82"/>
        <v>7.2222222222222223</v>
      </c>
    </row>
    <row r="2581" spans="2:5">
      <c r="B2581" s="943">
        <v>45030</v>
      </c>
      <c r="C2581" s="195">
        <f t="shared" si="81"/>
        <v>4</v>
      </c>
      <c r="D2581" s="195" t="s">
        <v>1434</v>
      </c>
      <c r="E2581" s="705">
        <f t="shared" si="82"/>
        <v>7.7777777777777777</v>
      </c>
    </row>
    <row r="2582" spans="2:5">
      <c r="B2582" s="943">
        <v>45030</v>
      </c>
      <c r="C2582" s="195">
        <f t="shared" si="81"/>
        <v>4</v>
      </c>
      <c r="D2582" s="195">
        <v>46.8</v>
      </c>
      <c r="E2582" s="705">
        <f t="shared" si="82"/>
        <v>8.2222222222222197</v>
      </c>
    </row>
    <row r="2583" spans="2:5">
      <c r="B2583" s="943">
        <v>45030</v>
      </c>
      <c r="C2583" s="195">
        <f t="shared" si="81"/>
        <v>4</v>
      </c>
      <c r="D2583" s="195">
        <v>46.9</v>
      </c>
      <c r="E2583" s="705">
        <f t="shared" si="82"/>
        <v>8.2777777777777768</v>
      </c>
    </row>
    <row r="2584" spans="2:5">
      <c r="B2584" s="943">
        <v>45030</v>
      </c>
      <c r="C2584" s="195">
        <f t="shared" si="81"/>
        <v>4</v>
      </c>
      <c r="D2584" s="195">
        <v>46.4</v>
      </c>
      <c r="E2584" s="705">
        <f t="shared" si="82"/>
        <v>7.9999999999999991</v>
      </c>
    </row>
    <row r="2585" spans="2:5">
      <c r="B2585" s="943">
        <v>45030</v>
      </c>
      <c r="C2585" s="195">
        <f t="shared" si="81"/>
        <v>4</v>
      </c>
      <c r="D2585" s="195">
        <v>45.3</v>
      </c>
      <c r="E2585" s="705">
        <f t="shared" si="82"/>
        <v>7.3888888888888875</v>
      </c>
    </row>
    <row r="2586" spans="2:5">
      <c r="B2586" s="943">
        <v>45030</v>
      </c>
      <c r="C2586" s="195">
        <f t="shared" si="81"/>
        <v>4</v>
      </c>
      <c r="D2586" s="195">
        <v>44.6</v>
      </c>
      <c r="E2586" s="705">
        <f t="shared" si="82"/>
        <v>7.0000000000000009</v>
      </c>
    </row>
    <row r="2587" spans="2:5">
      <c r="B2587" s="943">
        <v>45030</v>
      </c>
      <c r="C2587" s="195">
        <f t="shared" si="81"/>
        <v>4</v>
      </c>
      <c r="D2587" s="195">
        <v>43.9</v>
      </c>
      <c r="E2587" s="705">
        <f t="shared" si="82"/>
        <v>6.6111111111111098</v>
      </c>
    </row>
    <row r="2588" spans="2:5">
      <c r="B2588" s="943">
        <v>45030</v>
      </c>
      <c r="C2588" s="195">
        <f t="shared" si="81"/>
        <v>4</v>
      </c>
      <c r="D2588" s="195">
        <v>43.7</v>
      </c>
      <c r="E2588" s="705">
        <f t="shared" si="82"/>
        <v>6.5000000000000018</v>
      </c>
    </row>
    <row r="2589" spans="2:5">
      <c r="B2589" s="943">
        <v>45030</v>
      </c>
      <c r="C2589" s="195">
        <f t="shared" si="81"/>
        <v>4</v>
      </c>
      <c r="D2589" s="195">
        <v>43.5</v>
      </c>
      <c r="E2589" s="705">
        <f t="shared" si="82"/>
        <v>6.3888888888888884</v>
      </c>
    </row>
    <row r="2590" spans="2:5">
      <c r="B2590" s="943">
        <v>45030</v>
      </c>
      <c r="C2590" s="195">
        <f t="shared" si="81"/>
        <v>4</v>
      </c>
      <c r="D2590" s="195">
        <v>43.5</v>
      </c>
      <c r="E2590" s="705">
        <f t="shared" si="82"/>
        <v>6.3888888888888884</v>
      </c>
    </row>
    <row r="2591" spans="2:5">
      <c r="B2591" s="943">
        <v>45030</v>
      </c>
      <c r="C2591" s="195">
        <f t="shared" si="81"/>
        <v>4</v>
      </c>
      <c r="D2591" s="195">
        <v>44.1</v>
      </c>
      <c r="E2591" s="705">
        <f t="shared" si="82"/>
        <v>6.7222222222222232</v>
      </c>
    </row>
    <row r="2592" spans="2:5">
      <c r="B2592" s="943">
        <v>45030</v>
      </c>
      <c r="C2592" s="195">
        <f t="shared" si="81"/>
        <v>4</v>
      </c>
      <c r="D2592" s="195">
        <v>44.8</v>
      </c>
      <c r="E2592" s="705">
        <f t="shared" si="82"/>
        <v>7.1111111111111089</v>
      </c>
    </row>
    <row r="2593" spans="2:5">
      <c r="B2593" s="943">
        <v>45030</v>
      </c>
      <c r="C2593" s="195">
        <f t="shared" si="81"/>
        <v>4</v>
      </c>
      <c r="D2593" s="195" t="s">
        <v>1434</v>
      </c>
      <c r="E2593" s="705">
        <f t="shared" si="82"/>
        <v>7.7777777777777777</v>
      </c>
    </row>
    <row r="2594" spans="2:5">
      <c r="B2594" s="943">
        <v>45030</v>
      </c>
      <c r="C2594" s="195">
        <f t="shared" si="81"/>
        <v>4</v>
      </c>
      <c r="D2594" s="195">
        <v>47.1</v>
      </c>
      <c r="E2594" s="705">
        <f t="shared" si="82"/>
        <v>8.3888888888888893</v>
      </c>
    </row>
    <row r="2595" spans="2:5">
      <c r="B2595" s="943">
        <v>45030</v>
      </c>
      <c r="C2595" s="195">
        <f t="shared" si="81"/>
        <v>4</v>
      </c>
      <c r="D2595" s="195" t="s">
        <v>1435</v>
      </c>
      <c r="E2595" s="705">
        <f t="shared" si="82"/>
        <v>8.8888888888888893</v>
      </c>
    </row>
    <row r="2596" spans="2:5">
      <c r="B2596" s="943">
        <v>45030</v>
      </c>
      <c r="C2596" s="195">
        <f t="shared" si="81"/>
        <v>4</v>
      </c>
      <c r="D2596" s="195">
        <v>48.6</v>
      </c>
      <c r="E2596" s="705">
        <f t="shared" si="82"/>
        <v>9.2222222222222232</v>
      </c>
    </row>
    <row r="2597" spans="2:5">
      <c r="B2597" s="943">
        <v>45030</v>
      </c>
      <c r="C2597" s="195">
        <f t="shared" si="81"/>
        <v>4</v>
      </c>
      <c r="D2597" s="195">
        <v>47.8</v>
      </c>
      <c r="E2597" s="705">
        <f t="shared" si="82"/>
        <v>8.7777777777777768</v>
      </c>
    </row>
    <row r="2598" spans="2:5">
      <c r="B2598" s="943">
        <v>45030</v>
      </c>
      <c r="C2598" s="195">
        <f t="shared" si="81"/>
        <v>4</v>
      </c>
      <c r="D2598" s="195">
        <v>46.6</v>
      </c>
      <c r="E2598" s="705">
        <f t="shared" si="82"/>
        <v>8.1111111111111125</v>
      </c>
    </row>
    <row r="2599" spans="2:5">
      <c r="B2599" s="943">
        <v>45030</v>
      </c>
      <c r="C2599" s="195">
        <f t="shared" si="81"/>
        <v>4</v>
      </c>
      <c r="D2599" s="195">
        <v>45.7</v>
      </c>
      <c r="E2599" s="705">
        <f t="shared" si="82"/>
        <v>7.6111111111111125</v>
      </c>
    </row>
    <row r="2600" spans="2:5">
      <c r="B2600" s="943">
        <v>45030</v>
      </c>
      <c r="C2600" s="195">
        <f t="shared" si="81"/>
        <v>4</v>
      </c>
      <c r="D2600" s="195">
        <v>45.3</v>
      </c>
      <c r="E2600" s="705">
        <f t="shared" si="82"/>
        <v>7.3888888888888875</v>
      </c>
    </row>
    <row r="2601" spans="2:5">
      <c r="B2601" s="943">
        <v>45031</v>
      </c>
      <c r="C2601" s="195">
        <f t="shared" si="81"/>
        <v>4</v>
      </c>
      <c r="D2601" s="195" t="s">
        <v>1425</v>
      </c>
      <c r="E2601" s="705">
        <f t="shared" si="82"/>
        <v>7.2222222222222223</v>
      </c>
    </row>
    <row r="2602" spans="2:5">
      <c r="B2602" s="943">
        <v>45031</v>
      </c>
      <c r="C2602" s="195">
        <f t="shared" si="81"/>
        <v>4</v>
      </c>
      <c r="D2602" s="195">
        <v>44.8</v>
      </c>
      <c r="E2602" s="705">
        <f t="shared" si="82"/>
        <v>7.1111111111111089</v>
      </c>
    </row>
    <row r="2603" spans="2:5">
      <c r="B2603" s="943">
        <v>45031</v>
      </c>
      <c r="C2603" s="195">
        <f t="shared" si="81"/>
        <v>4</v>
      </c>
      <c r="D2603" s="195">
        <v>44.8</v>
      </c>
      <c r="E2603" s="705">
        <f t="shared" si="82"/>
        <v>7.1111111111111089</v>
      </c>
    </row>
    <row r="2604" spans="2:5">
      <c r="B2604" s="943">
        <v>45031</v>
      </c>
      <c r="C2604" s="195">
        <f t="shared" si="81"/>
        <v>4</v>
      </c>
      <c r="D2604" s="195">
        <v>45.1</v>
      </c>
      <c r="E2604" s="705">
        <f t="shared" si="82"/>
        <v>7.2777777777777786</v>
      </c>
    </row>
    <row r="2605" spans="2:5">
      <c r="B2605" s="943">
        <v>45031</v>
      </c>
      <c r="C2605" s="195">
        <f t="shared" si="81"/>
        <v>4</v>
      </c>
      <c r="D2605" s="195">
        <v>45.7</v>
      </c>
      <c r="E2605" s="705">
        <f t="shared" si="82"/>
        <v>7.6111111111111125</v>
      </c>
    </row>
    <row r="2606" spans="2:5">
      <c r="B2606" s="943">
        <v>45031</v>
      </c>
      <c r="C2606" s="195">
        <f t="shared" si="81"/>
        <v>4</v>
      </c>
      <c r="D2606" s="195">
        <v>46.9</v>
      </c>
      <c r="E2606" s="705">
        <f t="shared" si="82"/>
        <v>8.2777777777777768</v>
      </c>
    </row>
    <row r="2607" spans="2:5">
      <c r="B2607" s="943">
        <v>45031</v>
      </c>
      <c r="C2607" s="195">
        <f t="shared" si="81"/>
        <v>4</v>
      </c>
      <c r="D2607" s="195">
        <v>47.7</v>
      </c>
      <c r="E2607" s="705">
        <f t="shared" si="82"/>
        <v>8.7222222222222232</v>
      </c>
    </row>
    <row r="2608" spans="2:5">
      <c r="B2608" s="943">
        <v>45031</v>
      </c>
      <c r="C2608" s="195">
        <f t="shared" si="81"/>
        <v>4</v>
      </c>
      <c r="D2608" s="195">
        <v>48.2</v>
      </c>
      <c r="E2608" s="705">
        <f t="shared" si="82"/>
        <v>9.0000000000000018</v>
      </c>
    </row>
    <row r="2609" spans="2:5">
      <c r="B2609" s="943">
        <v>45031</v>
      </c>
      <c r="C2609" s="195">
        <f t="shared" si="81"/>
        <v>4</v>
      </c>
      <c r="D2609" s="195">
        <v>47.8</v>
      </c>
      <c r="E2609" s="705">
        <f t="shared" si="82"/>
        <v>8.7777777777777768</v>
      </c>
    </row>
    <row r="2610" spans="2:5">
      <c r="B2610" s="943">
        <v>45031</v>
      </c>
      <c r="C2610" s="195">
        <f t="shared" si="81"/>
        <v>4</v>
      </c>
      <c r="D2610" s="195">
        <v>46.6</v>
      </c>
      <c r="E2610" s="705">
        <f t="shared" si="82"/>
        <v>8.1111111111111125</v>
      </c>
    </row>
    <row r="2611" spans="2:5">
      <c r="B2611" s="943">
        <v>45031</v>
      </c>
      <c r="C2611" s="195">
        <f t="shared" si="81"/>
        <v>4</v>
      </c>
      <c r="D2611" s="195">
        <v>45.7</v>
      </c>
      <c r="E2611" s="705">
        <f t="shared" si="82"/>
        <v>7.6111111111111125</v>
      </c>
    </row>
    <row r="2612" spans="2:5">
      <c r="B2612" s="943">
        <v>45031</v>
      </c>
      <c r="C2612" s="195">
        <f t="shared" si="81"/>
        <v>4</v>
      </c>
      <c r="D2612" s="195" t="s">
        <v>1425</v>
      </c>
      <c r="E2612" s="705">
        <f t="shared" si="82"/>
        <v>7.2222222222222223</v>
      </c>
    </row>
    <row r="2613" spans="2:5">
      <c r="B2613" s="943">
        <v>45031</v>
      </c>
      <c r="C2613" s="195">
        <f t="shared" si="81"/>
        <v>4</v>
      </c>
      <c r="D2613" s="195">
        <v>44.4</v>
      </c>
      <c r="E2613" s="705">
        <f t="shared" si="82"/>
        <v>6.8888888888888875</v>
      </c>
    </row>
    <row r="2614" spans="2:5">
      <c r="B2614" s="943">
        <v>45031</v>
      </c>
      <c r="C2614" s="195">
        <f t="shared" si="81"/>
        <v>4</v>
      </c>
      <c r="D2614" s="195">
        <v>44.2</v>
      </c>
      <c r="E2614" s="705">
        <f t="shared" si="82"/>
        <v>6.7777777777777795</v>
      </c>
    </row>
    <row r="2615" spans="2:5">
      <c r="B2615" s="943">
        <v>45031</v>
      </c>
      <c r="C2615" s="195">
        <f t="shared" si="81"/>
        <v>4</v>
      </c>
      <c r="D2615" s="195">
        <v>44.6</v>
      </c>
      <c r="E2615" s="705">
        <f t="shared" si="82"/>
        <v>7.0000000000000009</v>
      </c>
    </row>
    <row r="2616" spans="2:5">
      <c r="B2616" s="943">
        <v>45031</v>
      </c>
      <c r="C2616" s="195">
        <f t="shared" si="81"/>
        <v>4</v>
      </c>
      <c r="D2616" s="195">
        <v>44.8</v>
      </c>
      <c r="E2616" s="705">
        <f t="shared" si="82"/>
        <v>7.1111111111111089</v>
      </c>
    </row>
    <row r="2617" spans="2:5">
      <c r="B2617" s="943">
        <v>45031</v>
      </c>
      <c r="C2617" s="195">
        <f t="shared" si="81"/>
        <v>4</v>
      </c>
      <c r="D2617" s="195">
        <v>45.5</v>
      </c>
      <c r="E2617" s="705">
        <f t="shared" si="82"/>
        <v>7.5</v>
      </c>
    </row>
    <row r="2618" spans="2:5">
      <c r="B2618" s="943">
        <v>45031</v>
      </c>
      <c r="C2618" s="195">
        <f t="shared" si="81"/>
        <v>4</v>
      </c>
      <c r="D2618" s="195">
        <v>46.9</v>
      </c>
      <c r="E2618" s="705">
        <f t="shared" si="82"/>
        <v>8.2777777777777768</v>
      </c>
    </row>
    <row r="2619" spans="2:5">
      <c r="B2619" s="943">
        <v>45031</v>
      </c>
      <c r="C2619" s="195">
        <f t="shared" si="81"/>
        <v>4</v>
      </c>
      <c r="D2619" s="195" t="s">
        <v>1435</v>
      </c>
      <c r="E2619" s="705">
        <f t="shared" si="82"/>
        <v>8.8888888888888893</v>
      </c>
    </row>
    <row r="2620" spans="2:5">
      <c r="B2620" s="943">
        <v>45031</v>
      </c>
      <c r="C2620" s="195">
        <f t="shared" si="81"/>
        <v>4</v>
      </c>
      <c r="D2620" s="195">
        <v>48.7</v>
      </c>
      <c r="E2620" s="705">
        <f t="shared" si="82"/>
        <v>9.2777777777777786</v>
      </c>
    </row>
    <row r="2621" spans="2:5">
      <c r="B2621" s="943">
        <v>45031</v>
      </c>
      <c r="C2621" s="195">
        <f t="shared" si="81"/>
        <v>4</v>
      </c>
      <c r="D2621" s="195">
        <v>49.5</v>
      </c>
      <c r="E2621" s="705">
        <f t="shared" si="82"/>
        <v>9.7222222222222214</v>
      </c>
    </row>
    <row r="2622" spans="2:5">
      <c r="B2622" s="943">
        <v>45031</v>
      </c>
      <c r="C2622" s="195">
        <f t="shared" si="81"/>
        <v>4</v>
      </c>
      <c r="D2622" s="195">
        <v>49.1</v>
      </c>
      <c r="E2622" s="705">
        <f t="shared" si="82"/>
        <v>9.5</v>
      </c>
    </row>
    <row r="2623" spans="2:5">
      <c r="B2623" s="943">
        <v>45031</v>
      </c>
      <c r="C2623" s="195">
        <f t="shared" si="81"/>
        <v>4</v>
      </c>
      <c r="D2623" s="195">
        <v>47.8</v>
      </c>
      <c r="E2623" s="705">
        <f t="shared" si="82"/>
        <v>8.7777777777777768</v>
      </c>
    </row>
    <row r="2624" spans="2:5">
      <c r="B2624" s="943">
        <v>45031</v>
      </c>
      <c r="C2624" s="195">
        <f t="shared" si="81"/>
        <v>4</v>
      </c>
      <c r="D2624" s="195">
        <v>46.9</v>
      </c>
      <c r="E2624" s="705">
        <f t="shared" si="82"/>
        <v>8.2777777777777768</v>
      </c>
    </row>
    <row r="2625" spans="2:5">
      <c r="B2625" s="943">
        <v>45032</v>
      </c>
      <c r="C2625" s="195">
        <f t="shared" si="81"/>
        <v>4</v>
      </c>
      <c r="D2625" s="195">
        <v>46.4</v>
      </c>
      <c r="E2625" s="705">
        <f t="shared" si="82"/>
        <v>7.9999999999999991</v>
      </c>
    </row>
    <row r="2626" spans="2:5">
      <c r="B2626" s="943">
        <v>45032</v>
      </c>
      <c r="C2626" s="195">
        <f t="shared" si="81"/>
        <v>4</v>
      </c>
      <c r="D2626" s="195" t="s">
        <v>1434</v>
      </c>
      <c r="E2626" s="705">
        <f t="shared" si="82"/>
        <v>7.7777777777777777</v>
      </c>
    </row>
    <row r="2627" spans="2:5">
      <c r="B2627" s="943">
        <v>45032</v>
      </c>
      <c r="C2627" s="195">
        <f t="shared" si="81"/>
        <v>4</v>
      </c>
      <c r="D2627" s="195">
        <v>45.9</v>
      </c>
      <c r="E2627" s="705">
        <f t="shared" si="82"/>
        <v>7.7222222222222214</v>
      </c>
    </row>
    <row r="2628" spans="2:5">
      <c r="B2628" s="943">
        <v>45032</v>
      </c>
      <c r="C2628" s="195">
        <f t="shared" si="81"/>
        <v>4</v>
      </c>
      <c r="D2628" s="195">
        <v>45.9</v>
      </c>
      <c r="E2628" s="705">
        <f t="shared" si="82"/>
        <v>7.7222222222222214</v>
      </c>
    </row>
    <row r="2629" spans="2:5">
      <c r="B2629" s="943">
        <v>45032</v>
      </c>
      <c r="C2629" s="195">
        <f t="shared" si="81"/>
        <v>4</v>
      </c>
      <c r="D2629" s="195">
        <v>46.2</v>
      </c>
      <c r="E2629" s="705">
        <f t="shared" si="82"/>
        <v>7.8888888888888902</v>
      </c>
    </row>
    <row r="2630" spans="2:5">
      <c r="B2630" s="943">
        <v>45032</v>
      </c>
      <c r="C2630" s="195">
        <f t="shared" si="81"/>
        <v>4</v>
      </c>
      <c r="D2630" s="195">
        <v>46.8</v>
      </c>
      <c r="E2630" s="705">
        <f t="shared" si="82"/>
        <v>8.2222222222222197</v>
      </c>
    </row>
    <row r="2631" spans="2:5">
      <c r="B2631" s="943">
        <v>45032</v>
      </c>
      <c r="C2631" s="195">
        <f t="shared" si="81"/>
        <v>4</v>
      </c>
      <c r="D2631" s="195">
        <v>47.8</v>
      </c>
      <c r="E2631" s="705">
        <f t="shared" si="82"/>
        <v>8.7777777777777768</v>
      </c>
    </row>
    <row r="2632" spans="2:5">
      <c r="B2632" s="943">
        <v>45032</v>
      </c>
      <c r="C2632" s="195">
        <f t="shared" si="81"/>
        <v>4</v>
      </c>
      <c r="D2632" s="195">
        <v>48.7</v>
      </c>
      <c r="E2632" s="705">
        <f t="shared" si="82"/>
        <v>9.2777777777777786</v>
      </c>
    </row>
    <row r="2633" spans="2:5">
      <c r="B2633" s="943">
        <v>45032</v>
      </c>
      <c r="C2633" s="195">
        <f t="shared" si="81"/>
        <v>4</v>
      </c>
      <c r="D2633" s="195">
        <v>49.1</v>
      </c>
      <c r="E2633" s="705">
        <f t="shared" si="82"/>
        <v>9.5</v>
      </c>
    </row>
    <row r="2634" spans="2:5">
      <c r="B2634" s="943">
        <v>45032</v>
      </c>
      <c r="C2634" s="195">
        <f t="shared" ref="C2634:C2697" si="83">MONTH(B2634)</f>
        <v>4</v>
      </c>
      <c r="D2634" s="195">
        <v>48.9</v>
      </c>
      <c r="E2634" s="705">
        <f t="shared" ref="E2634:E2697" si="84">CONVERT(D2634,"F","C")</f>
        <v>9.3888888888888875</v>
      </c>
    </row>
    <row r="2635" spans="2:5">
      <c r="B2635" s="943">
        <v>45032</v>
      </c>
      <c r="C2635" s="195">
        <f t="shared" si="83"/>
        <v>4</v>
      </c>
      <c r="D2635" s="195">
        <v>47.7</v>
      </c>
      <c r="E2635" s="705">
        <f t="shared" si="84"/>
        <v>8.7222222222222232</v>
      </c>
    </row>
    <row r="2636" spans="2:5">
      <c r="B2636" s="943">
        <v>45032</v>
      </c>
      <c r="C2636" s="195">
        <f t="shared" si="83"/>
        <v>4</v>
      </c>
      <c r="D2636" s="195">
        <v>46.9</v>
      </c>
      <c r="E2636" s="705">
        <f t="shared" si="84"/>
        <v>8.2777777777777768</v>
      </c>
    </row>
    <row r="2637" spans="2:5">
      <c r="B2637" s="943">
        <v>45032</v>
      </c>
      <c r="C2637" s="195">
        <f t="shared" si="83"/>
        <v>4</v>
      </c>
      <c r="D2637" s="195" t="s">
        <v>1434</v>
      </c>
      <c r="E2637" s="705">
        <f t="shared" si="84"/>
        <v>7.7777777777777777</v>
      </c>
    </row>
    <row r="2638" spans="2:5">
      <c r="B2638" s="943">
        <v>45032</v>
      </c>
      <c r="C2638" s="195">
        <f t="shared" si="83"/>
        <v>4</v>
      </c>
      <c r="D2638" s="195">
        <v>45.7</v>
      </c>
      <c r="E2638" s="705">
        <f t="shared" si="84"/>
        <v>7.6111111111111125</v>
      </c>
    </row>
    <row r="2639" spans="2:5">
      <c r="B2639" s="943">
        <v>45032</v>
      </c>
      <c r="C2639" s="195">
        <f t="shared" si="83"/>
        <v>4</v>
      </c>
      <c r="D2639" s="195">
        <v>45.5</v>
      </c>
      <c r="E2639" s="705">
        <f t="shared" si="84"/>
        <v>7.5</v>
      </c>
    </row>
    <row r="2640" spans="2:5">
      <c r="B2640" s="943">
        <v>45032</v>
      </c>
      <c r="C2640" s="195">
        <f t="shared" si="83"/>
        <v>4</v>
      </c>
      <c r="D2640" s="195">
        <v>45.7</v>
      </c>
      <c r="E2640" s="705">
        <f t="shared" si="84"/>
        <v>7.6111111111111125</v>
      </c>
    </row>
    <row r="2641" spans="2:5">
      <c r="B2641" s="943">
        <v>45032</v>
      </c>
      <c r="C2641" s="195">
        <f t="shared" si="83"/>
        <v>4</v>
      </c>
      <c r="D2641" s="195">
        <v>45.9</v>
      </c>
      <c r="E2641" s="705">
        <f t="shared" si="84"/>
        <v>7.7222222222222214</v>
      </c>
    </row>
    <row r="2642" spans="2:5">
      <c r="B2642" s="943">
        <v>45032</v>
      </c>
      <c r="C2642" s="195">
        <f t="shared" si="83"/>
        <v>4</v>
      </c>
      <c r="D2642" s="195">
        <v>46.4</v>
      </c>
      <c r="E2642" s="705">
        <f t="shared" si="84"/>
        <v>7.9999999999999991</v>
      </c>
    </row>
    <row r="2643" spans="2:5">
      <c r="B2643" s="943">
        <v>45032</v>
      </c>
      <c r="C2643" s="195">
        <f t="shared" si="83"/>
        <v>4</v>
      </c>
      <c r="D2643" s="195">
        <v>47.7</v>
      </c>
      <c r="E2643" s="705">
        <f t="shared" si="84"/>
        <v>8.7222222222222232</v>
      </c>
    </row>
    <row r="2644" spans="2:5">
      <c r="B2644" s="943">
        <v>45032</v>
      </c>
      <c r="C2644" s="195">
        <f t="shared" si="83"/>
        <v>4</v>
      </c>
      <c r="D2644" s="195">
        <v>48.6</v>
      </c>
      <c r="E2644" s="705">
        <f t="shared" si="84"/>
        <v>9.2222222222222232</v>
      </c>
    </row>
    <row r="2645" spans="2:5">
      <c r="B2645" s="943">
        <v>45032</v>
      </c>
      <c r="C2645" s="195">
        <f t="shared" si="83"/>
        <v>4</v>
      </c>
      <c r="D2645" s="195">
        <v>49.5</v>
      </c>
      <c r="E2645" s="705">
        <f t="shared" si="84"/>
        <v>9.7222222222222214</v>
      </c>
    </row>
    <row r="2646" spans="2:5">
      <c r="B2646" s="943">
        <v>45032</v>
      </c>
      <c r="C2646" s="195">
        <f t="shared" si="83"/>
        <v>4</v>
      </c>
      <c r="D2646" s="195" t="s">
        <v>1436</v>
      </c>
      <c r="E2646" s="705">
        <f t="shared" si="84"/>
        <v>10</v>
      </c>
    </row>
    <row r="2647" spans="2:5">
      <c r="B2647" s="943">
        <v>45032</v>
      </c>
      <c r="C2647" s="195">
        <f t="shared" si="83"/>
        <v>4</v>
      </c>
      <c r="D2647" s="195">
        <v>49.8</v>
      </c>
      <c r="E2647" s="705">
        <f t="shared" si="84"/>
        <v>9.8888888888888875</v>
      </c>
    </row>
    <row r="2648" spans="2:5">
      <c r="B2648" s="943">
        <v>45032</v>
      </c>
      <c r="C2648" s="195">
        <f t="shared" si="83"/>
        <v>4</v>
      </c>
      <c r="D2648" s="195">
        <v>48.2</v>
      </c>
      <c r="E2648" s="705">
        <f t="shared" si="84"/>
        <v>9.0000000000000018</v>
      </c>
    </row>
    <row r="2649" spans="2:5">
      <c r="B2649" s="943">
        <v>45033</v>
      </c>
      <c r="C2649" s="195">
        <f t="shared" si="83"/>
        <v>4</v>
      </c>
      <c r="D2649" s="195">
        <v>47.7</v>
      </c>
      <c r="E2649" s="705">
        <f t="shared" si="84"/>
        <v>8.7222222222222232</v>
      </c>
    </row>
    <row r="2650" spans="2:5">
      <c r="B2650" s="943">
        <v>45033</v>
      </c>
      <c r="C2650" s="195">
        <f t="shared" si="83"/>
        <v>4</v>
      </c>
      <c r="D2650" s="195">
        <v>46.6</v>
      </c>
      <c r="E2650" s="705">
        <f t="shared" si="84"/>
        <v>8.1111111111111125</v>
      </c>
    </row>
    <row r="2651" spans="2:5">
      <c r="B2651" s="943">
        <v>45033</v>
      </c>
      <c r="C2651" s="195">
        <f t="shared" si="83"/>
        <v>4</v>
      </c>
      <c r="D2651" s="195">
        <v>46.2</v>
      </c>
      <c r="E2651" s="705">
        <f t="shared" si="84"/>
        <v>7.8888888888888902</v>
      </c>
    </row>
    <row r="2652" spans="2:5">
      <c r="B2652" s="943">
        <v>45033</v>
      </c>
      <c r="C2652" s="195">
        <f t="shared" si="83"/>
        <v>4</v>
      </c>
      <c r="D2652" s="195">
        <v>46.2</v>
      </c>
      <c r="E2652" s="705">
        <f t="shared" si="84"/>
        <v>7.8888888888888902</v>
      </c>
    </row>
    <row r="2653" spans="2:5">
      <c r="B2653" s="943">
        <v>45033</v>
      </c>
      <c r="C2653" s="195">
        <f t="shared" si="83"/>
        <v>4</v>
      </c>
      <c r="D2653" s="195">
        <v>46.4</v>
      </c>
      <c r="E2653" s="705">
        <f t="shared" si="84"/>
        <v>7.9999999999999991</v>
      </c>
    </row>
    <row r="2654" spans="2:5">
      <c r="B2654" s="943">
        <v>45033</v>
      </c>
      <c r="C2654" s="195">
        <f t="shared" si="83"/>
        <v>4</v>
      </c>
      <c r="D2654" s="195">
        <v>46.6</v>
      </c>
      <c r="E2654" s="705">
        <f t="shared" si="84"/>
        <v>8.1111111111111125</v>
      </c>
    </row>
    <row r="2655" spans="2:5">
      <c r="B2655" s="943">
        <v>45033</v>
      </c>
      <c r="C2655" s="195">
        <f t="shared" si="83"/>
        <v>4</v>
      </c>
      <c r="D2655" s="195">
        <v>47.3</v>
      </c>
      <c r="E2655" s="705">
        <f t="shared" si="84"/>
        <v>8.4999999999999982</v>
      </c>
    </row>
    <row r="2656" spans="2:5">
      <c r="B2656" s="943">
        <v>45033</v>
      </c>
      <c r="C2656" s="195">
        <f t="shared" si="83"/>
        <v>4</v>
      </c>
      <c r="D2656" s="195">
        <v>48.2</v>
      </c>
      <c r="E2656" s="705">
        <f t="shared" si="84"/>
        <v>9.0000000000000018</v>
      </c>
    </row>
    <row r="2657" spans="2:5">
      <c r="B2657" s="943">
        <v>45033</v>
      </c>
      <c r="C2657" s="195">
        <f t="shared" si="83"/>
        <v>4</v>
      </c>
      <c r="D2657" s="195">
        <v>49.1</v>
      </c>
      <c r="E2657" s="705">
        <f t="shared" si="84"/>
        <v>9.5</v>
      </c>
    </row>
    <row r="2658" spans="2:5">
      <c r="B2658" s="943">
        <v>45033</v>
      </c>
      <c r="C2658" s="195">
        <f t="shared" si="83"/>
        <v>4</v>
      </c>
      <c r="D2658" s="195">
        <v>49.5</v>
      </c>
      <c r="E2658" s="705">
        <f t="shared" si="84"/>
        <v>9.7222222222222214</v>
      </c>
    </row>
    <row r="2659" spans="2:5">
      <c r="B2659" s="943">
        <v>45033</v>
      </c>
      <c r="C2659" s="195">
        <f t="shared" si="83"/>
        <v>4</v>
      </c>
      <c r="D2659" s="195">
        <v>49.6</v>
      </c>
      <c r="E2659" s="705">
        <f t="shared" si="84"/>
        <v>9.7777777777777786</v>
      </c>
    </row>
    <row r="2660" spans="2:5">
      <c r="B2660" s="943">
        <v>45033</v>
      </c>
      <c r="C2660" s="195">
        <f t="shared" si="83"/>
        <v>4</v>
      </c>
      <c r="D2660" s="195" t="s">
        <v>1435</v>
      </c>
      <c r="E2660" s="705">
        <f t="shared" si="84"/>
        <v>8.8888888888888893</v>
      </c>
    </row>
    <row r="2661" spans="2:5">
      <c r="B2661" s="943">
        <v>45033</v>
      </c>
      <c r="C2661" s="195">
        <f t="shared" si="83"/>
        <v>4</v>
      </c>
      <c r="D2661" s="195">
        <v>47.7</v>
      </c>
      <c r="E2661" s="705">
        <f t="shared" si="84"/>
        <v>8.7222222222222232</v>
      </c>
    </row>
    <row r="2662" spans="2:5">
      <c r="B2662" s="943">
        <v>45033</v>
      </c>
      <c r="C2662" s="195">
        <f t="shared" si="83"/>
        <v>4</v>
      </c>
      <c r="D2662" s="195">
        <v>46.8</v>
      </c>
      <c r="E2662" s="705">
        <f t="shared" si="84"/>
        <v>8.2222222222222197</v>
      </c>
    </row>
    <row r="2663" spans="2:5">
      <c r="B2663" s="943">
        <v>45033</v>
      </c>
      <c r="C2663" s="195">
        <f t="shared" si="83"/>
        <v>4</v>
      </c>
      <c r="D2663" s="195">
        <v>46.6</v>
      </c>
      <c r="E2663" s="705">
        <f t="shared" si="84"/>
        <v>8.1111111111111125</v>
      </c>
    </row>
    <row r="2664" spans="2:5">
      <c r="B2664" s="943">
        <v>45033</v>
      </c>
      <c r="C2664" s="195">
        <f t="shared" si="83"/>
        <v>4</v>
      </c>
      <c r="D2664" s="195">
        <v>46.6</v>
      </c>
      <c r="E2664" s="705">
        <f t="shared" si="84"/>
        <v>8.1111111111111125</v>
      </c>
    </row>
    <row r="2665" spans="2:5">
      <c r="B2665" s="943">
        <v>45033</v>
      </c>
      <c r="C2665" s="195">
        <f t="shared" si="83"/>
        <v>4</v>
      </c>
      <c r="D2665" s="195">
        <v>46.6</v>
      </c>
      <c r="E2665" s="705">
        <f t="shared" si="84"/>
        <v>8.1111111111111125</v>
      </c>
    </row>
    <row r="2666" spans="2:5">
      <c r="B2666" s="943">
        <v>45033</v>
      </c>
      <c r="C2666" s="195">
        <f t="shared" si="83"/>
        <v>4</v>
      </c>
      <c r="D2666" s="195">
        <v>46.8</v>
      </c>
      <c r="E2666" s="705">
        <f t="shared" si="84"/>
        <v>8.2222222222222197</v>
      </c>
    </row>
    <row r="2667" spans="2:5">
      <c r="B2667" s="943">
        <v>45033</v>
      </c>
      <c r="C2667" s="195">
        <f t="shared" si="83"/>
        <v>4</v>
      </c>
      <c r="D2667" s="195">
        <v>47.1</v>
      </c>
      <c r="E2667" s="705">
        <f t="shared" si="84"/>
        <v>8.3888888888888893</v>
      </c>
    </row>
    <row r="2668" spans="2:5">
      <c r="B2668" s="943">
        <v>45033</v>
      </c>
      <c r="C2668" s="195">
        <f t="shared" si="83"/>
        <v>4</v>
      </c>
      <c r="D2668" s="195" t="s">
        <v>1435</v>
      </c>
      <c r="E2668" s="705">
        <f t="shared" si="84"/>
        <v>8.8888888888888893</v>
      </c>
    </row>
    <row r="2669" spans="2:5">
      <c r="B2669" s="943">
        <v>45033</v>
      </c>
      <c r="C2669" s="195">
        <f t="shared" si="83"/>
        <v>4</v>
      </c>
      <c r="D2669" s="195">
        <v>48.7</v>
      </c>
      <c r="E2669" s="705">
        <f t="shared" si="84"/>
        <v>9.2777777777777786</v>
      </c>
    </row>
    <row r="2670" spans="2:5">
      <c r="B2670" s="943">
        <v>45033</v>
      </c>
      <c r="C2670" s="195">
        <f t="shared" si="83"/>
        <v>4</v>
      </c>
      <c r="D2670" s="195">
        <v>49.5</v>
      </c>
      <c r="E2670" s="705">
        <f t="shared" si="84"/>
        <v>9.7222222222222214</v>
      </c>
    </row>
    <row r="2671" spans="2:5">
      <c r="B2671" s="943">
        <v>45033</v>
      </c>
      <c r="C2671" s="195">
        <f t="shared" si="83"/>
        <v>4</v>
      </c>
      <c r="D2671" s="195">
        <v>49.8</v>
      </c>
      <c r="E2671" s="705">
        <f t="shared" si="84"/>
        <v>9.8888888888888875</v>
      </c>
    </row>
    <row r="2672" spans="2:5">
      <c r="B2672" s="943">
        <v>45033</v>
      </c>
      <c r="C2672" s="195">
        <f t="shared" si="83"/>
        <v>4</v>
      </c>
      <c r="D2672" s="195">
        <v>49.5</v>
      </c>
      <c r="E2672" s="705">
        <f t="shared" si="84"/>
        <v>9.7222222222222214</v>
      </c>
    </row>
    <row r="2673" spans="2:5">
      <c r="B2673" s="943">
        <v>45034</v>
      </c>
      <c r="C2673" s="195">
        <f t="shared" si="83"/>
        <v>4</v>
      </c>
      <c r="D2673" s="195">
        <v>48.2</v>
      </c>
      <c r="E2673" s="705">
        <f t="shared" si="84"/>
        <v>9.0000000000000018</v>
      </c>
    </row>
    <row r="2674" spans="2:5">
      <c r="B2674" s="943">
        <v>45034</v>
      </c>
      <c r="C2674" s="195">
        <f t="shared" si="83"/>
        <v>4</v>
      </c>
      <c r="D2674" s="195">
        <v>47.5</v>
      </c>
      <c r="E2674" s="705">
        <f t="shared" si="84"/>
        <v>8.6111111111111107</v>
      </c>
    </row>
    <row r="2675" spans="2:5">
      <c r="B2675" s="943">
        <v>45034</v>
      </c>
      <c r="C2675" s="195">
        <f t="shared" si="83"/>
        <v>4</v>
      </c>
      <c r="D2675" s="195">
        <v>46.9</v>
      </c>
      <c r="E2675" s="705">
        <f t="shared" si="84"/>
        <v>8.2777777777777768</v>
      </c>
    </row>
    <row r="2676" spans="2:5">
      <c r="B2676" s="943">
        <v>45034</v>
      </c>
      <c r="C2676" s="195">
        <f t="shared" si="83"/>
        <v>4</v>
      </c>
      <c r="D2676" s="195">
        <v>46.8</v>
      </c>
      <c r="E2676" s="705">
        <f t="shared" si="84"/>
        <v>8.2222222222222197</v>
      </c>
    </row>
    <row r="2677" spans="2:5">
      <c r="B2677" s="943">
        <v>45034</v>
      </c>
      <c r="C2677" s="195">
        <f t="shared" si="83"/>
        <v>4</v>
      </c>
      <c r="D2677" s="195">
        <v>46.8</v>
      </c>
      <c r="E2677" s="705">
        <f t="shared" si="84"/>
        <v>8.2222222222222197</v>
      </c>
    </row>
    <row r="2678" spans="2:5">
      <c r="B2678" s="943">
        <v>45034</v>
      </c>
      <c r="C2678" s="195">
        <f t="shared" si="83"/>
        <v>4</v>
      </c>
      <c r="D2678" s="195">
        <v>46.8</v>
      </c>
      <c r="E2678" s="705">
        <f t="shared" si="84"/>
        <v>8.2222222222222197</v>
      </c>
    </row>
    <row r="2679" spans="2:5">
      <c r="B2679" s="943">
        <v>45034</v>
      </c>
      <c r="C2679" s="195">
        <f t="shared" si="83"/>
        <v>4</v>
      </c>
      <c r="D2679" s="195">
        <v>46.9</v>
      </c>
      <c r="E2679" s="705">
        <f t="shared" si="84"/>
        <v>8.2777777777777768</v>
      </c>
    </row>
    <row r="2680" spans="2:5">
      <c r="B2680" s="943">
        <v>45034</v>
      </c>
      <c r="C2680" s="195">
        <f t="shared" si="83"/>
        <v>4</v>
      </c>
      <c r="D2680" s="195">
        <v>47.7</v>
      </c>
      <c r="E2680" s="705">
        <f t="shared" si="84"/>
        <v>8.7222222222222232</v>
      </c>
    </row>
    <row r="2681" spans="2:5">
      <c r="B2681" s="943">
        <v>45034</v>
      </c>
      <c r="C2681" s="195">
        <f t="shared" si="83"/>
        <v>4</v>
      </c>
      <c r="D2681" s="195">
        <v>48.4</v>
      </c>
      <c r="E2681" s="705">
        <f t="shared" si="84"/>
        <v>9.1111111111111107</v>
      </c>
    </row>
    <row r="2682" spans="2:5">
      <c r="B2682" s="943">
        <v>45034</v>
      </c>
      <c r="C2682" s="195">
        <f t="shared" si="83"/>
        <v>4</v>
      </c>
      <c r="D2682" s="195">
        <v>48.9</v>
      </c>
      <c r="E2682" s="705">
        <f t="shared" si="84"/>
        <v>9.3888888888888875</v>
      </c>
    </row>
    <row r="2683" spans="2:5">
      <c r="B2683" s="943">
        <v>45034</v>
      </c>
      <c r="C2683" s="195">
        <f t="shared" si="83"/>
        <v>4</v>
      </c>
      <c r="D2683" s="195">
        <v>49.5</v>
      </c>
      <c r="E2683" s="705">
        <f t="shared" si="84"/>
        <v>9.7222222222222214</v>
      </c>
    </row>
    <row r="2684" spans="2:5">
      <c r="B2684" s="943">
        <v>45034</v>
      </c>
      <c r="C2684" s="195">
        <f t="shared" si="83"/>
        <v>4</v>
      </c>
      <c r="D2684" s="195">
        <v>49.6</v>
      </c>
      <c r="E2684" s="705">
        <f t="shared" si="84"/>
        <v>9.7777777777777786</v>
      </c>
    </row>
    <row r="2685" spans="2:5">
      <c r="B2685" s="943">
        <v>45034</v>
      </c>
      <c r="C2685" s="195">
        <f t="shared" si="83"/>
        <v>4</v>
      </c>
      <c r="D2685" s="195">
        <v>48.7</v>
      </c>
      <c r="E2685" s="705">
        <f t="shared" si="84"/>
        <v>9.2777777777777786</v>
      </c>
    </row>
    <row r="2686" spans="2:5">
      <c r="B2686" s="943">
        <v>45034</v>
      </c>
      <c r="C2686" s="195">
        <f t="shared" si="83"/>
        <v>4</v>
      </c>
      <c r="D2686" s="195">
        <v>47.8</v>
      </c>
      <c r="E2686" s="705">
        <f t="shared" si="84"/>
        <v>8.7777777777777768</v>
      </c>
    </row>
    <row r="2687" spans="2:5">
      <c r="B2687" s="943">
        <v>45034</v>
      </c>
      <c r="C2687" s="195">
        <f t="shared" si="83"/>
        <v>4</v>
      </c>
      <c r="D2687" s="195">
        <v>47.1</v>
      </c>
      <c r="E2687" s="705">
        <f t="shared" si="84"/>
        <v>8.3888888888888893</v>
      </c>
    </row>
    <row r="2688" spans="2:5">
      <c r="B2688" s="943">
        <v>45034</v>
      </c>
      <c r="C2688" s="195">
        <f t="shared" si="83"/>
        <v>4</v>
      </c>
      <c r="D2688" s="195">
        <v>46.9</v>
      </c>
      <c r="E2688" s="705">
        <f t="shared" si="84"/>
        <v>8.2777777777777768</v>
      </c>
    </row>
    <row r="2689" spans="2:5">
      <c r="B2689" s="943">
        <v>45034</v>
      </c>
      <c r="C2689" s="195">
        <f t="shared" si="83"/>
        <v>4</v>
      </c>
      <c r="D2689" s="195">
        <v>46.9</v>
      </c>
      <c r="E2689" s="705">
        <f t="shared" si="84"/>
        <v>8.2777777777777768</v>
      </c>
    </row>
    <row r="2690" spans="2:5">
      <c r="B2690" s="943">
        <v>45034</v>
      </c>
      <c r="C2690" s="195">
        <f t="shared" si="83"/>
        <v>4</v>
      </c>
      <c r="D2690" s="195">
        <v>47.1</v>
      </c>
      <c r="E2690" s="705">
        <f t="shared" si="84"/>
        <v>8.3888888888888893</v>
      </c>
    </row>
    <row r="2691" spans="2:5">
      <c r="B2691" s="943">
        <v>45034</v>
      </c>
      <c r="C2691" s="195">
        <f t="shared" si="83"/>
        <v>4</v>
      </c>
      <c r="D2691" s="195">
        <v>47.1</v>
      </c>
      <c r="E2691" s="705">
        <f t="shared" si="84"/>
        <v>8.3888888888888893</v>
      </c>
    </row>
    <row r="2692" spans="2:5">
      <c r="B2692" s="943">
        <v>45034</v>
      </c>
      <c r="C2692" s="195">
        <f t="shared" si="83"/>
        <v>4</v>
      </c>
      <c r="D2692" s="195">
        <v>47.8</v>
      </c>
      <c r="E2692" s="705">
        <f t="shared" si="84"/>
        <v>8.7777777777777768</v>
      </c>
    </row>
    <row r="2693" spans="2:5">
      <c r="B2693" s="943">
        <v>45034</v>
      </c>
      <c r="C2693" s="195">
        <f t="shared" si="83"/>
        <v>4</v>
      </c>
      <c r="D2693" s="195">
        <v>48.6</v>
      </c>
      <c r="E2693" s="705">
        <f t="shared" si="84"/>
        <v>9.2222222222222232</v>
      </c>
    </row>
    <row r="2694" spans="2:5">
      <c r="B2694" s="943">
        <v>45034</v>
      </c>
      <c r="C2694" s="195">
        <f t="shared" si="83"/>
        <v>4</v>
      </c>
      <c r="D2694" s="195">
        <v>49.3</v>
      </c>
      <c r="E2694" s="705">
        <f t="shared" si="84"/>
        <v>9.6111111111111089</v>
      </c>
    </row>
    <row r="2695" spans="2:5">
      <c r="B2695" s="943">
        <v>45034</v>
      </c>
      <c r="C2695" s="195">
        <f t="shared" si="83"/>
        <v>4</v>
      </c>
      <c r="D2695" s="195">
        <v>49.8</v>
      </c>
      <c r="E2695" s="705">
        <f t="shared" si="84"/>
        <v>9.8888888888888875</v>
      </c>
    </row>
    <row r="2696" spans="2:5">
      <c r="B2696" s="943">
        <v>45034</v>
      </c>
      <c r="C2696" s="195">
        <f t="shared" si="83"/>
        <v>4</v>
      </c>
      <c r="D2696" s="195">
        <v>50.2</v>
      </c>
      <c r="E2696" s="705">
        <f t="shared" si="84"/>
        <v>10.111111111111112</v>
      </c>
    </row>
    <row r="2697" spans="2:5">
      <c r="B2697" s="943">
        <v>45035</v>
      </c>
      <c r="C2697" s="195">
        <f t="shared" si="83"/>
        <v>4</v>
      </c>
      <c r="D2697" s="195">
        <v>49.8</v>
      </c>
      <c r="E2697" s="705">
        <f t="shared" si="84"/>
        <v>9.8888888888888875</v>
      </c>
    </row>
    <row r="2698" spans="2:5">
      <c r="B2698" s="943">
        <v>45035</v>
      </c>
      <c r="C2698" s="195">
        <f t="shared" ref="C2698:C2761" si="85">MONTH(B2698)</f>
        <v>4</v>
      </c>
      <c r="D2698" s="195">
        <v>48.9</v>
      </c>
      <c r="E2698" s="705">
        <f t="shared" ref="E2698:E2761" si="86">CONVERT(D2698,"F","C")</f>
        <v>9.3888888888888875</v>
      </c>
    </row>
    <row r="2699" spans="2:5">
      <c r="B2699" s="943">
        <v>45035</v>
      </c>
      <c r="C2699" s="195">
        <f t="shared" si="85"/>
        <v>4</v>
      </c>
      <c r="D2699" s="195">
        <v>47.8</v>
      </c>
      <c r="E2699" s="705">
        <f t="shared" si="86"/>
        <v>8.7777777777777768</v>
      </c>
    </row>
    <row r="2700" spans="2:5">
      <c r="B2700" s="943">
        <v>45035</v>
      </c>
      <c r="C2700" s="195">
        <f t="shared" si="85"/>
        <v>4</v>
      </c>
      <c r="D2700" s="195">
        <v>46.8</v>
      </c>
      <c r="E2700" s="705">
        <f t="shared" si="86"/>
        <v>8.2222222222222197</v>
      </c>
    </row>
    <row r="2701" spans="2:5">
      <c r="B2701" s="943">
        <v>45035</v>
      </c>
      <c r="C2701" s="195">
        <f t="shared" si="85"/>
        <v>4</v>
      </c>
      <c r="D2701" s="195">
        <v>46.2</v>
      </c>
      <c r="E2701" s="705">
        <f t="shared" si="86"/>
        <v>7.8888888888888902</v>
      </c>
    </row>
    <row r="2702" spans="2:5">
      <c r="B2702" s="943">
        <v>45035</v>
      </c>
      <c r="C2702" s="195">
        <f t="shared" si="85"/>
        <v>4</v>
      </c>
      <c r="D2702" s="195">
        <v>46.2</v>
      </c>
      <c r="E2702" s="705">
        <f t="shared" si="86"/>
        <v>7.8888888888888902</v>
      </c>
    </row>
    <row r="2703" spans="2:5">
      <c r="B2703" s="943">
        <v>45035</v>
      </c>
      <c r="C2703" s="195">
        <f t="shared" si="85"/>
        <v>4</v>
      </c>
      <c r="D2703" s="195">
        <v>46.4</v>
      </c>
      <c r="E2703" s="705">
        <f t="shared" si="86"/>
        <v>7.9999999999999991</v>
      </c>
    </row>
    <row r="2704" spans="2:5">
      <c r="B2704" s="943">
        <v>45035</v>
      </c>
      <c r="C2704" s="195">
        <f t="shared" si="85"/>
        <v>4</v>
      </c>
      <c r="D2704" s="195">
        <v>46.8</v>
      </c>
      <c r="E2704" s="705">
        <f t="shared" si="86"/>
        <v>8.2222222222222197</v>
      </c>
    </row>
    <row r="2705" spans="2:5">
      <c r="B2705" s="943">
        <v>45035</v>
      </c>
      <c r="C2705" s="195">
        <f t="shared" si="85"/>
        <v>4</v>
      </c>
      <c r="D2705" s="195">
        <v>47.8</v>
      </c>
      <c r="E2705" s="705">
        <f t="shared" si="86"/>
        <v>8.7777777777777768</v>
      </c>
    </row>
    <row r="2706" spans="2:5">
      <c r="B2706" s="943">
        <v>45035</v>
      </c>
      <c r="C2706" s="195">
        <f t="shared" si="85"/>
        <v>4</v>
      </c>
      <c r="D2706" s="195">
        <v>48.7</v>
      </c>
      <c r="E2706" s="705">
        <f t="shared" si="86"/>
        <v>9.2777777777777786</v>
      </c>
    </row>
    <row r="2707" spans="2:5">
      <c r="B2707" s="943">
        <v>45035</v>
      </c>
      <c r="C2707" s="195">
        <f t="shared" si="85"/>
        <v>4</v>
      </c>
      <c r="D2707" s="195">
        <v>49.3</v>
      </c>
      <c r="E2707" s="705">
        <f t="shared" si="86"/>
        <v>9.6111111111111089</v>
      </c>
    </row>
    <row r="2708" spans="2:5">
      <c r="B2708" s="943">
        <v>45035</v>
      </c>
      <c r="C2708" s="195">
        <f t="shared" si="85"/>
        <v>4</v>
      </c>
      <c r="D2708" s="195">
        <v>49.8</v>
      </c>
      <c r="E2708" s="705">
        <f t="shared" si="86"/>
        <v>9.8888888888888875</v>
      </c>
    </row>
    <row r="2709" spans="2:5">
      <c r="B2709" s="943">
        <v>45035</v>
      </c>
      <c r="C2709" s="195">
        <f t="shared" si="85"/>
        <v>4</v>
      </c>
      <c r="D2709" s="195">
        <v>49.8</v>
      </c>
      <c r="E2709" s="705">
        <f t="shared" si="86"/>
        <v>9.8888888888888875</v>
      </c>
    </row>
    <row r="2710" spans="2:5">
      <c r="B2710" s="943">
        <v>45035</v>
      </c>
      <c r="C2710" s="195">
        <f t="shared" si="85"/>
        <v>4</v>
      </c>
      <c r="D2710" s="195">
        <v>48.7</v>
      </c>
      <c r="E2710" s="705">
        <f t="shared" si="86"/>
        <v>9.2777777777777786</v>
      </c>
    </row>
    <row r="2711" spans="2:5">
      <c r="B2711" s="943">
        <v>45035</v>
      </c>
      <c r="C2711" s="195">
        <f t="shared" si="85"/>
        <v>4</v>
      </c>
      <c r="D2711" s="195">
        <v>47.8</v>
      </c>
      <c r="E2711" s="705">
        <f t="shared" si="86"/>
        <v>8.7777777777777768</v>
      </c>
    </row>
    <row r="2712" spans="2:5">
      <c r="B2712" s="943">
        <v>45035</v>
      </c>
      <c r="C2712" s="195">
        <f t="shared" si="85"/>
        <v>4</v>
      </c>
      <c r="D2712" s="195">
        <v>46.6</v>
      </c>
      <c r="E2712" s="705">
        <f t="shared" si="86"/>
        <v>8.1111111111111125</v>
      </c>
    </row>
    <row r="2713" spans="2:5">
      <c r="B2713" s="943">
        <v>45035</v>
      </c>
      <c r="C2713" s="195">
        <f t="shared" si="85"/>
        <v>4</v>
      </c>
      <c r="D2713" s="195">
        <v>45.9</v>
      </c>
      <c r="E2713" s="705">
        <f t="shared" si="86"/>
        <v>7.7222222222222214</v>
      </c>
    </row>
    <row r="2714" spans="2:5">
      <c r="B2714" s="943">
        <v>45035</v>
      </c>
      <c r="C2714" s="195">
        <f t="shared" si="85"/>
        <v>4</v>
      </c>
      <c r="D2714" s="195">
        <v>45.5</v>
      </c>
      <c r="E2714" s="705">
        <f t="shared" si="86"/>
        <v>7.5</v>
      </c>
    </row>
    <row r="2715" spans="2:5">
      <c r="B2715" s="943">
        <v>45035</v>
      </c>
      <c r="C2715" s="195">
        <f t="shared" si="85"/>
        <v>4</v>
      </c>
      <c r="D2715" s="195">
        <v>45.7</v>
      </c>
      <c r="E2715" s="705">
        <f t="shared" si="86"/>
        <v>7.6111111111111125</v>
      </c>
    </row>
    <row r="2716" spans="2:5">
      <c r="B2716" s="943">
        <v>45035</v>
      </c>
      <c r="C2716" s="195">
        <f t="shared" si="85"/>
        <v>4</v>
      </c>
      <c r="D2716" s="195" t="s">
        <v>1434</v>
      </c>
      <c r="E2716" s="705">
        <f t="shared" si="86"/>
        <v>7.7777777777777777</v>
      </c>
    </row>
    <row r="2717" spans="2:5">
      <c r="B2717" s="943">
        <v>45035</v>
      </c>
      <c r="C2717" s="195">
        <f t="shared" si="85"/>
        <v>4</v>
      </c>
      <c r="D2717" s="195">
        <v>46.9</v>
      </c>
      <c r="E2717" s="705">
        <f t="shared" si="86"/>
        <v>8.2777777777777768</v>
      </c>
    </row>
    <row r="2718" spans="2:5">
      <c r="B2718" s="943">
        <v>45035</v>
      </c>
      <c r="C2718" s="195">
        <f t="shared" si="85"/>
        <v>4</v>
      </c>
      <c r="D2718" s="195">
        <v>48.4</v>
      </c>
      <c r="E2718" s="705">
        <f t="shared" si="86"/>
        <v>9.1111111111111107</v>
      </c>
    </row>
    <row r="2719" spans="2:5">
      <c r="B2719" s="943">
        <v>45035</v>
      </c>
      <c r="C2719" s="195">
        <f t="shared" si="85"/>
        <v>4</v>
      </c>
      <c r="D2719" s="195">
        <v>48.9</v>
      </c>
      <c r="E2719" s="705">
        <f t="shared" si="86"/>
        <v>9.3888888888888875</v>
      </c>
    </row>
    <row r="2720" spans="2:5">
      <c r="B2720" s="943">
        <v>45035</v>
      </c>
      <c r="C2720" s="195">
        <f t="shared" si="85"/>
        <v>4</v>
      </c>
      <c r="D2720" s="195">
        <v>49.6</v>
      </c>
      <c r="E2720" s="705">
        <f t="shared" si="86"/>
        <v>9.7777777777777786</v>
      </c>
    </row>
    <row r="2721" spans="2:5">
      <c r="B2721" s="943">
        <v>45036</v>
      </c>
      <c r="C2721" s="195">
        <f t="shared" si="85"/>
        <v>4</v>
      </c>
      <c r="D2721" s="195">
        <v>49.8</v>
      </c>
      <c r="E2721" s="705">
        <f t="shared" si="86"/>
        <v>9.8888888888888875</v>
      </c>
    </row>
    <row r="2722" spans="2:5">
      <c r="B2722" s="943">
        <v>45036</v>
      </c>
      <c r="C2722" s="195">
        <f t="shared" si="85"/>
        <v>4</v>
      </c>
      <c r="D2722" s="195">
        <v>49.1</v>
      </c>
      <c r="E2722" s="705">
        <f t="shared" si="86"/>
        <v>9.5</v>
      </c>
    </row>
    <row r="2723" spans="2:5">
      <c r="B2723" s="943">
        <v>45036</v>
      </c>
      <c r="C2723" s="195">
        <f t="shared" si="85"/>
        <v>4</v>
      </c>
      <c r="D2723" s="195" t="s">
        <v>1435</v>
      </c>
      <c r="E2723" s="705">
        <f t="shared" si="86"/>
        <v>8.8888888888888893</v>
      </c>
    </row>
    <row r="2724" spans="2:5">
      <c r="B2724" s="943">
        <v>45036</v>
      </c>
      <c r="C2724" s="195">
        <f t="shared" si="85"/>
        <v>4</v>
      </c>
      <c r="D2724" s="195">
        <v>46.4</v>
      </c>
      <c r="E2724" s="705">
        <f t="shared" si="86"/>
        <v>7.9999999999999991</v>
      </c>
    </row>
    <row r="2725" spans="2:5">
      <c r="B2725" s="943">
        <v>45036</v>
      </c>
      <c r="C2725" s="195">
        <f t="shared" si="85"/>
        <v>4</v>
      </c>
      <c r="D2725" s="195">
        <v>45.5</v>
      </c>
      <c r="E2725" s="705">
        <f t="shared" si="86"/>
        <v>7.5</v>
      </c>
    </row>
    <row r="2726" spans="2:5">
      <c r="B2726" s="943">
        <v>45036</v>
      </c>
      <c r="C2726" s="195">
        <f t="shared" si="85"/>
        <v>4</v>
      </c>
      <c r="D2726" s="195">
        <v>45.1</v>
      </c>
      <c r="E2726" s="705">
        <f t="shared" si="86"/>
        <v>7.2777777777777786</v>
      </c>
    </row>
    <row r="2727" spans="2:5">
      <c r="B2727" s="943">
        <v>45036</v>
      </c>
      <c r="C2727" s="195">
        <f t="shared" si="85"/>
        <v>4</v>
      </c>
      <c r="D2727" s="195">
        <v>45.1</v>
      </c>
      <c r="E2727" s="705">
        <f t="shared" si="86"/>
        <v>7.2777777777777786</v>
      </c>
    </row>
    <row r="2728" spans="2:5">
      <c r="B2728" s="943">
        <v>45036</v>
      </c>
      <c r="C2728" s="195">
        <f t="shared" si="85"/>
        <v>4</v>
      </c>
      <c r="D2728" s="195">
        <v>45.3</v>
      </c>
      <c r="E2728" s="705">
        <f t="shared" si="86"/>
        <v>7.3888888888888875</v>
      </c>
    </row>
    <row r="2729" spans="2:5">
      <c r="B2729" s="943">
        <v>45036</v>
      </c>
      <c r="C2729" s="195">
        <f t="shared" si="85"/>
        <v>4</v>
      </c>
      <c r="D2729" s="195" t="s">
        <v>1434</v>
      </c>
      <c r="E2729" s="705">
        <f t="shared" si="86"/>
        <v>7.7777777777777777</v>
      </c>
    </row>
    <row r="2730" spans="2:5">
      <c r="B2730" s="943">
        <v>45036</v>
      </c>
      <c r="C2730" s="195">
        <f t="shared" si="85"/>
        <v>4</v>
      </c>
      <c r="D2730" s="195">
        <v>47.3</v>
      </c>
      <c r="E2730" s="705">
        <f t="shared" si="86"/>
        <v>8.4999999999999982</v>
      </c>
    </row>
    <row r="2731" spans="2:5">
      <c r="B2731" s="943">
        <v>45036</v>
      </c>
      <c r="C2731" s="195">
        <f t="shared" si="85"/>
        <v>4</v>
      </c>
      <c r="D2731" s="195" t="s">
        <v>1435</v>
      </c>
      <c r="E2731" s="705">
        <f t="shared" si="86"/>
        <v>8.8888888888888893</v>
      </c>
    </row>
    <row r="2732" spans="2:5">
      <c r="B2732" s="943">
        <v>45036</v>
      </c>
      <c r="C2732" s="195">
        <f t="shared" si="85"/>
        <v>4</v>
      </c>
      <c r="D2732" s="195">
        <v>48.7</v>
      </c>
      <c r="E2732" s="705">
        <f t="shared" si="86"/>
        <v>9.2777777777777786</v>
      </c>
    </row>
    <row r="2733" spans="2:5">
      <c r="B2733" s="943">
        <v>45036</v>
      </c>
      <c r="C2733" s="195">
        <f t="shared" si="85"/>
        <v>4</v>
      </c>
      <c r="D2733" s="195">
        <v>49.1</v>
      </c>
      <c r="E2733" s="705">
        <f t="shared" si="86"/>
        <v>9.5</v>
      </c>
    </row>
    <row r="2734" spans="2:5">
      <c r="B2734" s="943">
        <v>45036</v>
      </c>
      <c r="C2734" s="195">
        <f t="shared" si="85"/>
        <v>4</v>
      </c>
      <c r="D2734" s="195">
        <v>49.1</v>
      </c>
      <c r="E2734" s="705">
        <f t="shared" si="86"/>
        <v>9.5</v>
      </c>
    </row>
    <row r="2735" spans="2:5">
      <c r="B2735" s="943">
        <v>45036</v>
      </c>
      <c r="C2735" s="195">
        <f t="shared" si="85"/>
        <v>4</v>
      </c>
      <c r="D2735" s="195">
        <v>47.8</v>
      </c>
      <c r="E2735" s="705">
        <f t="shared" si="86"/>
        <v>8.7777777777777768</v>
      </c>
    </row>
    <row r="2736" spans="2:5">
      <c r="B2736" s="943">
        <v>45036</v>
      </c>
      <c r="C2736" s="195">
        <f t="shared" si="85"/>
        <v>4</v>
      </c>
      <c r="D2736" s="195">
        <v>46.8</v>
      </c>
      <c r="E2736" s="705">
        <f t="shared" si="86"/>
        <v>8.2222222222222197</v>
      </c>
    </row>
    <row r="2737" spans="2:5">
      <c r="B2737" s="943">
        <v>45036</v>
      </c>
      <c r="C2737" s="195">
        <f t="shared" si="85"/>
        <v>4</v>
      </c>
      <c r="D2737" s="195">
        <v>45.5</v>
      </c>
      <c r="E2737" s="705">
        <f t="shared" si="86"/>
        <v>7.5</v>
      </c>
    </row>
    <row r="2738" spans="2:5">
      <c r="B2738" s="943">
        <v>45036</v>
      </c>
      <c r="C2738" s="195">
        <f t="shared" si="85"/>
        <v>4</v>
      </c>
      <c r="D2738" s="195">
        <v>45.3</v>
      </c>
      <c r="E2738" s="705">
        <f t="shared" si="86"/>
        <v>7.3888888888888875</v>
      </c>
    </row>
    <row r="2739" spans="2:5">
      <c r="B2739" s="943">
        <v>45036</v>
      </c>
      <c r="C2739" s="195">
        <f t="shared" si="85"/>
        <v>4</v>
      </c>
      <c r="D2739" s="195">
        <v>45.1</v>
      </c>
      <c r="E2739" s="705">
        <f t="shared" si="86"/>
        <v>7.2777777777777786</v>
      </c>
    </row>
    <row r="2740" spans="2:5">
      <c r="B2740" s="943">
        <v>45036</v>
      </c>
      <c r="C2740" s="195">
        <f t="shared" si="85"/>
        <v>4</v>
      </c>
      <c r="D2740" s="195">
        <v>45.7</v>
      </c>
      <c r="E2740" s="705">
        <f t="shared" si="86"/>
        <v>7.6111111111111125</v>
      </c>
    </row>
    <row r="2741" spans="2:5">
      <c r="B2741" s="943">
        <v>45036</v>
      </c>
      <c r="C2741" s="195">
        <f t="shared" si="85"/>
        <v>4</v>
      </c>
      <c r="D2741" s="195">
        <v>45.9</v>
      </c>
      <c r="E2741" s="705">
        <f t="shared" si="86"/>
        <v>7.7222222222222214</v>
      </c>
    </row>
    <row r="2742" spans="2:5">
      <c r="B2742" s="943">
        <v>45036</v>
      </c>
      <c r="C2742" s="195">
        <f t="shared" si="85"/>
        <v>4</v>
      </c>
      <c r="D2742" s="195">
        <v>46.9</v>
      </c>
      <c r="E2742" s="705">
        <f t="shared" si="86"/>
        <v>8.2777777777777768</v>
      </c>
    </row>
    <row r="2743" spans="2:5">
      <c r="B2743" s="943">
        <v>45036</v>
      </c>
      <c r="C2743" s="195">
        <f t="shared" si="85"/>
        <v>4</v>
      </c>
      <c r="D2743" s="195">
        <v>48.2</v>
      </c>
      <c r="E2743" s="705">
        <f t="shared" si="86"/>
        <v>9.0000000000000018</v>
      </c>
    </row>
    <row r="2744" spans="2:5">
      <c r="B2744" s="943">
        <v>45036</v>
      </c>
      <c r="C2744" s="195">
        <f t="shared" si="85"/>
        <v>4</v>
      </c>
      <c r="D2744" s="195">
        <v>48.9</v>
      </c>
      <c r="E2744" s="705">
        <f t="shared" si="86"/>
        <v>9.3888888888888875</v>
      </c>
    </row>
    <row r="2745" spans="2:5">
      <c r="B2745" s="943">
        <v>45037</v>
      </c>
      <c r="C2745" s="195">
        <f t="shared" si="85"/>
        <v>4</v>
      </c>
      <c r="D2745" s="195">
        <v>49.5</v>
      </c>
      <c r="E2745" s="705">
        <f t="shared" si="86"/>
        <v>9.7222222222222214</v>
      </c>
    </row>
    <row r="2746" spans="2:5">
      <c r="B2746" s="943">
        <v>45037</v>
      </c>
      <c r="C2746" s="195">
        <f t="shared" si="85"/>
        <v>4</v>
      </c>
      <c r="D2746" s="195">
        <v>49.5</v>
      </c>
      <c r="E2746" s="705">
        <f t="shared" si="86"/>
        <v>9.7222222222222214</v>
      </c>
    </row>
    <row r="2747" spans="2:5">
      <c r="B2747" s="943">
        <v>45037</v>
      </c>
      <c r="C2747" s="195">
        <f t="shared" si="85"/>
        <v>4</v>
      </c>
      <c r="D2747" s="195">
        <v>48.2</v>
      </c>
      <c r="E2747" s="705">
        <f t="shared" si="86"/>
        <v>9.0000000000000018</v>
      </c>
    </row>
    <row r="2748" spans="2:5">
      <c r="B2748" s="943">
        <v>45037</v>
      </c>
      <c r="C2748" s="195">
        <f t="shared" si="85"/>
        <v>4</v>
      </c>
      <c r="D2748" s="195">
        <v>46.9</v>
      </c>
      <c r="E2748" s="705">
        <f t="shared" si="86"/>
        <v>8.2777777777777768</v>
      </c>
    </row>
    <row r="2749" spans="2:5">
      <c r="B2749" s="943">
        <v>45037</v>
      </c>
      <c r="C2749" s="195">
        <f t="shared" si="85"/>
        <v>4</v>
      </c>
      <c r="D2749" s="195">
        <v>45.7</v>
      </c>
      <c r="E2749" s="705">
        <f t="shared" si="86"/>
        <v>7.6111111111111125</v>
      </c>
    </row>
    <row r="2750" spans="2:5">
      <c r="B2750" s="943">
        <v>45037</v>
      </c>
      <c r="C2750" s="195">
        <f t="shared" si="85"/>
        <v>4</v>
      </c>
      <c r="D2750" s="195">
        <v>45.3</v>
      </c>
      <c r="E2750" s="705">
        <f t="shared" si="86"/>
        <v>7.3888888888888875</v>
      </c>
    </row>
    <row r="2751" spans="2:5">
      <c r="B2751" s="943">
        <v>45037</v>
      </c>
      <c r="C2751" s="195">
        <f t="shared" si="85"/>
        <v>4</v>
      </c>
      <c r="D2751" s="195">
        <v>45.3</v>
      </c>
      <c r="E2751" s="705">
        <f t="shared" si="86"/>
        <v>7.3888888888888875</v>
      </c>
    </row>
    <row r="2752" spans="2:5">
      <c r="B2752" s="943">
        <v>45037</v>
      </c>
      <c r="C2752" s="195">
        <f t="shared" si="85"/>
        <v>4</v>
      </c>
      <c r="D2752" s="195">
        <v>45.5</v>
      </c>
      <c r="E2752" s="705">
        <f t="shared" si="86"/>
        <v>7.5</v>
      </c>
    </row>
    <row r="2753" spans="2:5">
      <c r="B2753" s="943">
        <v>45037</v>
      </c>
      <c r="C2753" s="195">
        <f t="shared" si="85"/>
        <v>4</v>
      </c>
      <c r="D2753" s="195">
        <v>45.7</v>
      </c>
      <c r="E2753" s="705">
        <f t="shared" si="86"/>
        <v>7.6111111111111125</v>
      </c>
    </row>
    <row r="2754" spans="2:5">
      <c r="B2754" s="943">
        <v>45037</v>
      </c>
      <c r="C2754" s="195">
        <f t="shared" si="85"/>
        <v>4</v>
      </c>
      <c r="D2754" s="195">
        <v>46.2</v>
      </c>
      <c r="E2754" s="705">
        <f t="shared" si="86"/>
        <v>7.8888888888888902</v>
      </c>
    </row>
    <row r="2755" spans="2:5">
      <c r="B2755" s="943">
        <v>45037</v>
      </c>
      <c r="C2755" s="195">
        <f t="shared" si="85"/>
        <v>4</v>
      </c>
      <c r="D2755" s="195">
        <v>47.3</v>
      </c>
      <c r="E2755" s="705">
        <f t="shared" si="86"/>
        <v>8.4999999999999982</v>
      </c>
    </row>
    <row r="2756" spans="2:5">
      <c r="B2756" s="943">
        <v>45037</v>
      </c>
      <c r="C2756" s="195">
        <f t="shared" si="85"/>
        <v>4</v>
      </c>
      <c r="D2756" s="195" t="s">
        <v>1435</v>
      </c>
      <c r="E2756" s="705">
        <f t="shared" si="86"/>
        <v>8.8888888888888893</v>
      </c>
    </row>
    <row r="2757" spans="2:5">
      <c r="B2757" s="943">
        <v>45037</v>
      </c>
      <c r="C2757" s="195">
        <f t="shared" si="85"/>
        <v>4</v>
      </c>
      <c r="D2757" s="195">
        <v>48.7</v>
      </c>
      <c r="E2757" s="705">
        <f t="shared" si="86"/>
        <v>9.2777777777777786</v>
      </c>
    </row>
    <row r="2758" spans="2:5">
      <c r="B2758" s="943">
        <v>45037</v>
      </c>
      <c r="C2758" s="195">
        <f t="shared" si="85"/>
        <v>4</v>
      </c>
      <c r="D2758" s="195">
        <v>49.1</v>
      </c>
      <c r="E2758" s="705">
        <f t="shared" si="86"/>
        <v>9.5</v>
      </c>
    </row>
    <row r="2759" spans="2:5">
      <c r="B2759" s="943">
        <v>45037</v>
      </c>
      <c r="C2759" s="195">
        <f t="shared" si="85"/>
        <v>4</v>
      </c>
      <c r="D2759" s="195">
        <v>48.9</v>
      </c>
      <c r="E2759" s="705">
        <f t="shared" si="86"/>
        <v>9.3888888888888875</v>
      </c>
    </row>
    <row r="2760" spans="2:5">
      <c r="B2760" s="943">
        <v>45037</v>
      </c>
      <c r="C2760" s="195">
        <f t="shared" si="85"/>
        <v>4</v>
      </c>
      <c r="D2760" s="195">
        <v>47.5</v>
      </c>
      <c r="E2760" s="705">
        <f t="shared" si="86"/>
        <v>8.6111111111111107</v>
      </c>
    </row>
    <row r="2761" spans="2:5">
      <c r="B2761" s="943">
        <v>45037</v>
      </c>
      <c r="C2761" s="195">
        <f t="shared" si="85"/>
        <v>4</v>
      </c>
      <c r="D2761" s="195">
        <v>46.6</v>
      </c>
      <c r="E2761" s="705">
        <f t="shared" si="86"/>
        <v>8.1111111111111125</v>
      </c>
    </row>
    <row r="2762" spans="2:5">
      <c r="B2762" s="943">
        <v>45037</v>
      </c>
      <c r="C2762" s="195">
        <f t="shared" ref="C2762:C2825" si="87">MONTH(B2762)</f>
        <v>4</v>
      </c>
      <c r="D2762" s="195">
        <v>46.2</v>
      </c>
      <c r="E2762" s="705">
        <f t="shared" ref="E2762:E2825" si="88">CONVERT(D2762,"F","C")</f>
        <v>7.8888888888888902</v>
      </c>
    </row>
    <row r="2763" spans="2:5">
      <c r="B2763" s="943">
        <v>45037</v>
      </c>
      <c r="C2763" s="195">
        <f t="shared" si="87"/>
        <v>4</v>
      </c>
      <c r="D2763" s="195">
        <v>46.2</v>
      </c>
      <c r="E2763" s="705">
        <f t="shared" si="88"/>
        <v>7.8888888888888902</v>
      </c>
    </row>
    <row r="2764" spans="2:5">
      <c r="B2764" s="943">
        <v>45037</v>
      </c>
      <c r="C2764" s="195">
        <f t="shared" si="87"/>
        <v>4</v>
      </c>
      <c r="D2764" s="195" t="s">
        <v>1434</v>
      </c>
      <c r="E2764" s="705">
        <f t="shared" si="88"/>
        <v>7.7777777777777777</v>
      </c>
    </row>
    <row r="2765" spans="2:5">
      <c r="B2765" s="943">
        <v>45037</v>
      </c>
      <c r="C2765" s="195">
        <f t="shared" si="87"/>
        <v>4</v>
      </c>
      <c r="D2765" s="195">
        <v>46.4</v>
      </c>
      <c r="E2765" s="705">
        <f t="shared" si="88"/>
        <v>7.9999999999999991</v>
      </c>
    </row>
    <row r="2766" spans="2:5">
      <c r="B2766" s="943">
        <v>45037</v>
      </c>
      <c r="C2766" s="195">
        <f t="shared" si="87"/>
        <v>4</v>
      </c>
      <c r="D2766" s="195">
        <v>46.8</v>
      </c>
      <c r="E2766" s="705">
        <f t="shared" si="88"/>
        <v>8.2222222222222197</v>
      </c>
    </row>
    <row r="2767" spans="2:5">
      <c r="B2767" s="943">
        <v>45037</v>
      </c>
      <c r="C2767" s="195">
        <f t="shared" si="87"/>
        <v>4</v>
      </c>
      <c r="D2767" s="195">
        <v>47.5</v>
      </c>
      <c r="E2767" s="705">
        <f t="shared" si="88"/>
        <v>8.6111111111111107</v>
      </c>
    </row>
    <row r="2768" spans="2:5">
      <c r="B2768" s="943">
        <v>45037</v>
      </c>
      <c r="C2768" s="195">
        <f t="shared" si="87"/>
        <v>4</v>
      </c>
      <c r="D2768" s="195">
        <v>48.4</v>
      </c>
      <c r="E2768" s="705">
        <f t="shared" si="88"/>
        <v>9.1111111111111107</v>
      </c>
    </row>
    <row r="2769" spans="2:5">
      <c r="B2769" s="943">
        <v>45038</v>
      </c>
      <c r="C2769" s="195">
        <f t="shared" si="87"/>
        <v>4</v>
      </c>
      <c r="D2769" s="195">
        <v>49.1</v>
      </c>
      <c r="E2769" s="705">
        <f t="shared" si="88"/>
        <v>9.5</v>
      </c>
    </row>
    <row r="2770" spans="2:5">
      <c r="B2770" s="943">
        <v>45038</v>
      </c>
      <c r="C2770" s="195">
        <f t="shared" si="87"/>
        <v>4</v>
      </c>
      <c r="D2770" s="195">
        <v>49.5</v>
      </c>
      <c r="E2770" s="705">
        <f t="shared" si="88"/>
        <v>9.7222222222222214</v>
      </c>
    </row>
    <row r="2771" spans="2:5">
      <c r="B2771" s="943">
        <v>45038</v>
      </c>
      <c r="C2771" s="195">
        <f t="shared" si="87"/>
        <v>4</v>
      </c>
      <c r="D2771" s="195">
        <v>49.1</v>
      </c>
      <c r="E2771" s="705">
        <f t="shared" si="88"/>
        <v>9.5</v>
      </c>
    </row>
    <row r="2772" spans="2:5">
      <c r="B2772" s="943">
        <v>45038</v>
      </c>
      <c r="C2772" s="195">
        <f t="shared" si="87"/>
        <v>4</v>
      </c>
      <c r="D2772" s="195" t="s">
        <v>1435</v>
      </c>
      <c r="E2772" s="705">
        <f t="shared" si="88"/>
        <v>8.8888888888888893</v>
      </c>
    </row>
    <row r="2773" spans="2:5">
      <c r="B2773" s="943">
        <v>45038</v>
      </c>
      <c r="C2773" s="195">
        <f t="shared" si="87"/>
        <v>4</v>
      </c>
      <c r="D2773" s="195">
        <v>46.9</v>
      </c>
      <c r="E2773" s="705">
        <f t="shared" si="88"/>
        <v>8.2777777777777768</v>
      </c>
    </row>
    <row r="2774" spans="2:5">
      <c r="B2774" s="943">
        <v>45038</v>
      </c>
      <c r="C2774" s="195">
        <f t="shared" si="87"/>
        <v>4</v>
      </c>
      <c r="D2774" s="195">
        <v>46.4</v>
      </c>
      <c r="E2774" s="705">
        <f t="shared" si="88"/>
        <v>7.9999999999999991</v>
      </c>
    </row>
    <row r="2775" spans="2:5">
      <c r="B2775" s="943">
        <v>45038</v>
      </c>
      <c r="C2775" s="195">
        <f t="shared" si="87"/>
        <v>4</v>
      </c>
      <c r="D2775" s="195" t="s">
        <v>1434</v>
      </c>
      <c r="E2775" s="705">
        <f t="shared" si="88"/>
        <v>7.7777777777777777</v>
      </c>
    </row>
    <row r="2776" spans="2:5">
      <c r="B2776" s="943">
        <v>45038</v>
      </c>
      <c r="C2776" s="195">
        <f t="shared" si="87"/>
        <v>4</v>
      </c>
      <c r="D2776" s="195" t="s">
        <v>1434</v>
      </c>
      <c r="E2776" s="705">
        <f t="shared" si="88"/>
        <v>7.7777777777777777</v>
      </c>
    </row>
    <row r="2777" spans="2:5">
      <c r="B2777" s="943">
        <v>45038</v>
      </c>
      <c r="C2777" s="195">
        <f t="shared" si="87"/>
        <v>4</v>
      </c>
      <c r="D2777" s="195">
        <v>46.2</v>
      </c>
      <c r="E2777" s="705">
        <f t="shared" si="88"/>
        <v>7.8888888888888902</v>
      </c>
    </row>
    <row r="2778" spans="2:5">
      <c r="B2778" s="943">
        <v>45038</v>
      </c>
      <c r="C2778" s="195">
        <f t="shared" si="87"/>
        <v>4</v>
      </c>
      <c r="D2778" s="195">
        <v>46.4</v>
      </c>
      <c r="E2778" s="705">
        <f t="shared" si="88"/>
        <v>7.9999999999999991</v>
      </c>
    </row>
    <row r="2779" spans="2:5">
      <c r="B2779" s="943">
        <v>45038</v>
      </c>
      <c r="C2779" s="195">
        <f t="shared" si="87"/>
        <v>4</v>
      </c>
      <c r="D2779" s="195">
        <v>46.9</v>
      </c>
      <c r="E2779" s="705">
        <f t="shared" si="88"/>
        <v>8.2777777777777768</v>
      </c>
    </row>
    <row r="2780" spans="2:5">
      <c r="B2780" s="943">
        <v>45038</v>
      </c>
      <c r="C2780" s="195">
        <f t="shared" si="87"/>
        <v>4</v>
      </c>
      <c r="D2780" s="195">
        <v>47.8</v>
      </c>
      <c r="E2780" s="705">
        <f t="shared" si="88"/>
        <v>8.7777777777777768</v>
      </c>
    </row>
    <row r="2781" spans="2:5">
      <c r="B2781" s="943">
        <v>45038</v>
      </c>
      <c r="C2781" s="195">
        <f t="shared" si="87"/>
        <v>4</v>
      </c>
      <c r="D2781" s="195">
        <v>48.4</v>
      </c>
      <c r="E2781" s="705">
        <f t="shared" si="88"/>
        <v>9.1111111111111107</v>
      </c>
    </row>
    <row r="2782" spans="2:5">
      <c r="B2782" s="943">
        <v>45038</v>
      </c>
      <c r="C2782" s="195">
        <f t="shared" si="87"/>
        <v>4</v>
      </c>
      <c r="D2782" s="195">
        <v>49.1</v>
      </c>
      <c r="E2782" s="705">
        <f t="shared" si="88"/>
        <v>9.5</v>
      </c>
    </row>
    <row r="2783" spans="2:5">
      <c r="B2783" s="943">
        <v>45038</v>
      </c>
      <c r="C2783" s="195">
        <f t="shared" si="87"/>
        <v>4</v>
      </c>
      <c r="D2783" s="195">
        <v>49.5</v>
      </c>
      <c r="E2783" s="705">
        <f t="shared" si="88"/>
        <v>9.7222222222222214</v>
      </c>
    </row>
    <row r="2784" spans="2:5">
      <c r="B2784" s="943">
        <v>45038</v>
      </c>
      <c r="C2784" s="195">
        <f t="shared" si="87"/>
        <v>4</v>
      </c>
      <c r="D2784" s="195">
        <v>49.1</v>
      </c>
      <c r="E2784" s="705">
        <f t="shared" si="88"/>
        <v>9.5</v>
      </c>
    </row>
    <row r="2785" spans="2:5">
      <c r="B2785" s="943">
        <v>45038</v>
      </c>
      <c r="C2785" s="195">
        <f t="shared" si="87"/>
        <v>4</v>
      </c>
      <c r="D2785" s="195">
        <v>47.8</v>
      </c>
      <c r="E2785" s="705">
        <f t="shared" si="88"/>
        <v>8.7777777777777768</v>
      </c>
    </row>
    <row r="2786" spans="2:5">
      <c r="B2786" s="943">
        <v>45038</v>
      </c>
      <c r="C2786" s="195">
        <f t="shared" si="87"/>
        <v>4</v>
      </c>
      <c r="D2786" s="195">
        <v>46.9</v>
      </c>
      <c r="E2786" s="705">
        <f t="shared" si="88"/>
        <v>8.2777777777777768</v>
      </c>
    </row>
    <row r="2787" spans="2:5">
      <c r="B2787" s="943">
        <v>45038</v>
      </c>
      <c r="C2787" s="195">
        <f t="shared" si="87"/>
        <v>4</v>
      </c>
      <c r="D2787" s="195">
        <v>46.4</v>
      </c>
      <c r="E2787" s="705">
        <f t="shared" si="88"/>
        <v>7.9999999999999991</v>
      </c>
    </row>
    <row r="2788" spans="2:5">
      <c r="B2788" s="943">
        <v>45038</v>
      </c>
      <c r="C2788" s="195">
        <f t="shared" si="87"/>
        <v>4</v>
      </c>
      <c r="D2788" s="195">
        <v>46.4</v>
      </c>
      <c r="E2788" s="705">
        <f t="shared" si="88"/>
        <v>7.9999999999999991</v>
      </c>
    </row>
    <row r="2789" spans="2:5">
      <c r="B2789" s="943">
        <v>45038</v>
      </c>
      <c r="C2789" s="195">
        <f t="shared" si="87"/>
        <v>4</v>
      </c>
      <c r="D2789" s="195">
        <v>46.4</v>
      </c>
      <c r="E2789" s="705">
        <f t="shared" si="88"/>
        <v>7.9999999999999991</v>
      </c>
    </row>
    <row r="2790" spans="2:5">
      <c r="B2790" s="943">
        <v>45038</v>
      </c>
      <c r="C2790" s="195">
        <f t="shared" si="87"/>
        <v>4</v>
      </c>
      <c r="D2790" s="195">
        <v>46.8</v>
      </c>
      <c r="E2790" s="705">
        <f t="shared" si="88"/>
        <v>8.2222222222222197</v>
      </c>
    </row>
    <row r="2791" spans="2:5">
      <c r="B2791" s="943">
        <v>45038</v>
      </c>
      <c r="C2791" s="195">
        <f t="shared" si="87"/>
        <v>4</v>
      </c>
      <c r="D2791" s="195">
        <v>47.1</v>
      </c>
      <c r="E2791" s="705">
        <f t="shared" si="88"/>
        <v>8.3888888888888893</v>
      </c>
    </row>
    <row r="2792" spans="2:5">
      <c r="B2792" s="943">
        <v>45038</v>
      </c>
      <c r="C2792" s="195">
        <f t="shared" si="87"/>
        <v>4</v>
      </c>
      <c r="D2792" s="195">
        <v>47.8</v>
      </c>
      <c r="E2792" s="705">
        <f t="shared" si="88"/>
        <v>8.7777777777777768</v>
      </c>
    </row>
    <row r="2793" spans="2:5">
      <c r="B2793" s="943">
        <v>45039</v>
      </c>
      <c r="C2793" s="195">
        <f t="shared" si="87"/>
        <v>4</v>
      </c>
      <c r="D2793" s="195">
        <v>48.7</v>
      </c>
      <c r="E2793" s="705">
        <f t="shared" si="88"/>
        <v>9.2777777777777786</v>
      </c>
    </row>
    <row r="2794" spans="2:5">
      <c r="B2794" s="943">
        <v>45039</v>
      </c>
      <c r="C2794" s="195">
        <f t="shared" si="87"/>
        <v>4</v>
      </c>
      <c r="D2794" s="195">
        <v>49.3</v>
      </c>
      <c r="E2794" s="705">
        <f t="shared" si="88"/>
        <v>9.6111111111111089</v>
      </c>
    </row>
    <row r="2795" spans="2:5">
      <c r="B2795" s="943">
        <v>45039</v>
      </c>
      <c r="C2795" s="195">
        <f t="shared" si="87"/>
        <v>4</v>
      </c>
      <c r="D2795" s="195">
        <v>49.5</v>
      </c>
      <c r="E2795" s="705">
        <f t="shared" si="88"/>
        <v>9.7222222222222214</v>
      </c>
    </row>
    <row r="2796" spans="2:5">
      <c r="B2796" s="943">
        <v>45039</v>
      </c>
      <c r="C2796" s="195">
        <f t="shared" si="87"/>
        <v>4</v>
      </c>
      <c r="D2796" s="195">
        <v>48.7</v>
      </c>
      <c r="E2796" s="705">
        <f t="shared" si="88"/>
        <v>9.2777777777777786</v>
      </c>
    </row>
    <row r="2797" spans="2:5">
      <c r="B2797" s="943">
        <v>45039</v>
      </c>
      <c r="C2797" s="195">
        <f t="shared" si="87"/>
        <v>4</v>
      </c>
      <c r="D2797" s="195" t="s">
        <v>1435</v>
      </c>
      <c r="E2797" s="705">
        <f t="shared" si="88"/>
        <v>8.8888888888888893</v>
      </c>
    </row>
    <row r="2798" spans="2:5">
      <c r="B2798" s="943">
        <v>45039</v>
      </c>
      <c r="C2798" s="195">
        <f t="shared" si="87"/>
        <v>4</v>
      </c>
      <c r="D2798" s="195">
        <v>47.1</v>
      </c>
      <c r="E2798" s="705">
        <f t="shared" si="88"/>
        <v>8.3888888888888893</v>
      </c>
    </row>
    <row r="2799" spans="2:5">
      <c r="B2799" s="943">
        <v>45039</v>
      </c>
      <c r="C2799" s="195">
        <f t="shared" si="87"/>
        <v>4</v>
      </c>
      <c r="D2799" s="195">
        <v>46.8</v>
      </c>
      <c r="E2799" s="705">
        <f t="shared" si="88"/>
        <v>8.2222222222222197</v>
      </c>
    </row>
    <row r="2800" spans="2:5">
      <c r="B2800" s="943">
        <v>45039</v>
      </c>
      <c r="C2800" s="195">
        <f t="shared" si="87"/>
        <v>4</v>
      </c>
      <c r="D2800" s="195">
        <v>46.4</v>
      </c>
      <c r="E2800" s="705">
        <f t="shared" si="88"/>
        <v>7.9999999999999991</v>
      </c>
    </row>
    <row r="2801" spans="2:5">
      <c r="B2801" s="943">
        <v>45039</v>
      </c>
      <c r="C2801" s="195">
        <f t="shared" si="87"/>
        <v>4</v>
      </c>
      <c r="D2801" s="195">
        <v>46.4</v>
      </c>
      <c r="E2801" s="705">
        <f t="shared" si="88"/>
        <v>7.9999999999999991</v>
      </c>
    </row>
    <row r="2802" spans="2:5">
      <c r="B2802" s="943">
        <v>45039</v>
      </c>
      <c r="C2802" s="195">
        <f t="shared" si="87"/>
        <v>4</v>
      </c>
      <c r="D2802" s="195">
        <v>46.6</v>
      </c>
      <c r="E2802" s="705">
        <f t="shared" si="88"/>
        <v>8.1111111111111125</v>
      </c>
    </row>
    <row r="2803" spans="2:5">
      <c r="B2803" s="943">
        <v>45039</v>
      </c>
      <c r="C2803" s="195">
        <f t="shared" si="87"/>
        <v>4</v>
      </c>
      <c r="D2803" s="195">
        <v>46.8</v>
      </c>
      <c r="E2803" s="705">
        <f t="shared" si="88"/>
        <v>8.2222222222222197</v>
      </c>
    </row>
    <row r="2804" spans="2:5">
      <c r="B2804" s="943">
        <v>45039</v>
      </c>
      <c r="C2804" s="195">
        <f t="shared" si="87"/>
        <v>4</v>
      </c>
      <c r="D2804" s="195">
        <v>47.7</v>
      </c>
      <c r="E2804" s="705">
        <f t="shared" si="88"/>
        <v>8.7222222222222232</v>
      </c>
    </row>
    <row r="2805" spans="2:5">
      <c r="B2805" s="943">
        <v>45039</v>
      </c>
      <c r="C2805" s="195">
        <f t="shared" si="87"/>
        <v>4</v>
      </c>
      <c r="D2805" s="195">
        <v>48.2</v>
      </c>
      <c r="E2805" s="705">
        <f t="shared" si="88"/>
        <v>9.0000000000000018</v>
      </c>
    </row>
    <row r="2806" spans="2:5">
      <c r="B2806" s="943">
        <v>45039</v>
      </c>
      <c r="C2806" s="195">
        <f t="shared" si="87"/>
        <v>4</v>
      </c>
      <c r="D2806" s="195">
        <v>48.7</v>
      </c>
      <c r="E2806" s="705">
        <f t="shared" si="88"/>
        <v>9.2777777777777786</v>
      </c>
    </row>
    <row r="2807" spans="2:5">
      <c r="B2807" s="943">
        <v>45039</v>
      </c>
      <c r="C2807" s="195">
        <f t="shared" si="87"/>
        <v>4</v>
      </c>
      <c r="D2807" s="195">
        <v>49.1</v>
      </c>
      <c r="E2807" s="705">
        <f t="shared" si="88"/>
        <v>9.5</v>
      </c>
    </row>
    <row r="2808" spans="2:5">
      <c r="B2808" s="943">
        <v>45039</v>
      </c>
      <c r="C2808" s="195">
        <f t="shared" si="87"/>
        <v>4</v>
      </c>
      <c r="D2808" s="195">
        <v>49.3</v>
      </c>
      <c r="E2808" s="705">
        <f t="shared" si="88"/>
        <v>9.6111111111111089</v>
      </c>
    </row>
    <row r="2809" spans="2:5">
      <c r="B2809" s="943">
        <v>45039</v>
      </c>
      <c r="C2809" s="195">
        <f t="shared" si="87"/>
        <v>4</v>
      </c>
      <c r="D2809" s="195">
        <v>48.6</v>
      </c>
      <c r="E2809" s="705">
        <f t="shared" si="88"/>
        <v>9.2222222222222232</v>
      </c>
    </row>
    <row r="2810" spans="2:5">
      <c r="B2810" s="943">
        <v>45039</v>
      </c>
      <c r="C2810" s="195">
        <f t="shared" si="87"/>
        <v>4</v>
      </c>
      <c r="D2810" s="195">
        <v>47.8</v>
      </c>
      <c r="E2810" s="705">
        <f t="shared" si="88"/>
        <v>8.7777777777777768</v>
      </c>
    </row>
    <row r="2811" spans="2:5">
      <c r="B2811" s="943">
        <v>45039</v>
      </c>
      <c r="C2811" s="195">
        <f t="shared" si="87"/>
        <v>4</v>
      </c>
      <c r="D2811" s="195">
        <v>46.9</v>
      </c>
      <c r="E2811" s="705">
        <f t="shared" si="88"/>
        <v>8.2777777777777768</v>
      </c>
    </row>
    <row r="2812" spans="2:5">
      <c r="B2812" s="943">
        <v>45039</v>
      </c>
      <c r="C2812" s="195">
        <f t="shared" si="87"/>
        <v>4</v>
      </c>
      <c r="D2812" s="195">
        <v>46.6</v>
      </c>
      <c r="E2812" s="705">
        <f t="shared" si="88"/>
        <v>8.1111111111111125</v>
      </c>
    </row>
    <row r="2813" spans="2:5">
      <c r="B2813" s="943">
        <v>45039</v>
      </c>
      <c r="C2813" s="195">
        <f t="shared" si="87"/>
        <v>4</v>
      </c>
      <c r="D2813" s="195">
        <v>46.4</v>
      </c>
      <c r="E2813" s="705">
        <f t="shared" si="88"/>
        <v>7.9999999999999991</v>
      </c>
    </row>
    <row r="2814" spans="2:5">
      <c r="B2814" s="943">
        <v>45039</v>
      </c>
      <c r="C2814" s="195">
        <f t="shared" si="87"/>
        <v>4</v>
      </c>
      <c r="D2814" s="195">
        <v>46.4</v>
      </c>
      <c r="E2814" s="705">
        <f t="shared" si="88"/>
        <v>7.9999999999999991</v>
      </c>
    </row>
    <row r="2815" spans="2:5">
      <c r="B2815" s="943">
        <v>45039</v>
      </c>
      <c r="C2815" s="195">
        <f t="shared" si="87"/>
        <v>4</v>
      </c>
      <c r="D2815" s="195">
        <v>46.6</v>
      </c>
      <c r="E2815" s="705">
        <f t="shared" si="88"/>
        <v>8.1111111111111125</v>
      </c>
    </row>
    <row r="2816" spans="2:5">
      <c r="B2816" s="943">
        <v>45039</v>
      </c>
      <c r="C2816" s="195">
        <f t="shared" si="87"/>
        <v>4</v>
      </c>
      <c r="D2816" s="195">
        <v>46.9</v>
      </c>
      <c r="E2816" s="705">
        <f t="shared" si="88"/>
        <v>8.2777777777777768</v>
      </c>
    </row>
    <row r="2817" spans="2:5">
      <c r="B2817" s="943">
        <v>45040</v>
      </c>
      <c r="C2817" s="195">
        <f t="shared" si="87"/>
        <v>4</v>
      </c>
      <c r="D2817" s="195">
        <v>47.7</v>
      </c>
      <c r="E2817" s="705">
        <f t="shared" si="88"/>
        <v>8.7222222222222232</v>
      </c>
    </row>
    <row r="2818" spans="2:5">
      <c r="B2818" s="943">
        <v>45040</v>
      </c>
      <c r="C2818" s="195">
        <f t="shared" si="87"/>
        <v>4</v>
      </c>
      <c r="D2818" s="195">
        <v>48.2</v>
      </c>
      <c r="E2818" s="705">
        <f t="shared" si="88"/>
        <v>9.0000000000000018</v>
      </c>
    </row>
    <row r="2819" spans="2:5">
      <c r="B2819" s="943">
        <v>45040</v>
      </c>
      <c r="C2819" s="195">
        <f t="shared" si="87"/>
        <v>4</v>
      </c>
      <c r="D2819" s="195">
        <v>48.6</v>
      </c>
      <c r="E2819" s="705">
        <f t="shared" si="88"/>
        <v>9.2222222222222232</v>
      </c>
    </row>
    <row r="2820" spans="2:5">
      <c r="B2820" s="943">
        <v>45040</v>
      </c>
      <c r="C2820" s="195">
        <f t="shared" si="87"/>
        <v>4</v>
      </c>
      <c r="D2820" s="195">
        <v>48.6</v>
      </c>
      <c r="E2820" s="705">
        <f t="shared" si="88"/>
        <v>9.2222222222222232</v>
      </c>
    </row>
    <row r="2821" spans="2:5">
      <c r="B2821" s="943">
        <v>45040</v>
      </c>
      <c r="C2821" s="195">
        <f t="shared" si="87"/>
        <v>4</v>
      </c>
      <c r="D2821" s="195">
        <v>47.8</v>
      </c>
      <c r="E2821" s="705">
        <f t="shared" si="88"/>
        <v>8.7777777777777768</v>
      </c>
    </row>
    <row r="2822" spans="2:5">
      <c r="B2822" s="943">
        <v>45040</v>
      </c>
      <c r="C2822" s="195">
        <f t="shared" si="87"/>
        <v>4</v>
      </c>
      <c r="D2822" s="195">
        <v>47.3</v>
      </c>
      <c r="E2822" s="705">
        <f t="shared" si="88"/>
        <v>8.4999999999999982</v>
      </c>
    </row>
    <row r="2823" spans="2:5">
      <c r="B2823" s="943">
        <v>45040</v>
      </c>
      <c r="C2823" s="195">
        <f t="shared" si="87"/>
        <v>4</v>
      </c>
      <c r="D2823" s="195">
        <v>46.8</v>
      </c>
      <c r="E2823" s="705">
        <f t="shared" si="88"/>
        <v>8.2222222222222197</v>
      </c>
    </row>
    <row r="2824" spans="2:5">
      <c r="B2824" s="943">
        <v>45040</v>
      </c>
      <c r="C2824" s="195">
        <f t="shared" si="87"/>
        <v>4</v>
      </c>
      <c r="D2824" s="195">
        <v>46.4</v>
      </c>
      <c r="E2824" s="705">
        <f t="shared" si="88"/>
        <v>7.9999999999999991</v>
      </c>
    </row>
    <row r="2825" spans="2:5">
      <c r="B2825" s="943">
        <v>45040</v>
      </c>
      <c r="C2825" s="195">
        <f t="shared" si="87"/>
        <v>4</v>
      </c>
      <c r="D2825" s="195">
        <v>46.4</v>
      </c>
      <c r="E2825" s="705">
        <f t="shared" si="88"/>
        <v>7.9999999999999991</v>
      </c>
    </row>
    <row r="2826" spans="2:5">
      <c r="B2826" s="943">
        <v>45040</v>
      </c>
      <c r="C2826" s="195">
        <f t="shared" ref="C2826:C2889" si="89">MONTH(B2826)</f>
        <v>4</v>
      </c>
      <c r="D2826" s="195">
        <v>46.4</v>
      </c>
      <c r="E2826" s="705">
        <f t="shared" ref="E2826:E2889" si="90">CONVERT(D2826,"F","C")</f>
        <v>7.9999999999999991</v>
      </c>
    </row>
    <row r="2827" spans="2:5">
      <c r="B2827" s="943">
        <v>45040</v>
      </c>
      <c r="C2827" s="195">
        <f t="shared" si="89"/>
        <v>4</v>
      </c>
      <c r="D2827" s="195">
        <v>46.4</v>
      </c>
      <c r="E2827" s="705">
        <f t="shared" si="90"/>
        <v>7.9999999999999991</v>
      </c>
    </row>
    <row r="2828" spans="2:5">
      <c r="B2828" s="943">
        <v>45040</v>
      </c>
      <c r="C2828" s="195">
        <f t="shared" si="89"/>
        <v>4</v>
      </c>
      <c r="D2828" s="195">
        <v>46.9</v>
      </c>
      <c r="E2828" s="705">
        <f t="shared" si="90"/>
        <v>8.2777777777777768</v>
      </c>
    </row>
    <row r="2829" spans="2:5">
      <c r="B2829" s="943">
        <v>45040</v>
      </c>
      <c r="C2829" s="195">
        <f t="shared" si="89"/>
        <v>4</v>
      </c>
      <c r="D2829" s="195">
        <v>47.5</v>
      </c>
      <c r="E2829" s="705">
        <f t="shared" si="90"/>
        <v>8.6111111111111107</v>
      </c>
    </row>
    <row r="2830" spans="2:5">
      <c r="B2830" s="943">
        <v>45040</v>
      </c>
      <c r="C2830" s="195">
        <f t="shared" si="89"/>
        <v>4</v>
      </c>
      <c r="D2830" s="195" t="s">
        <v>1435</v>
      </c>
      <c r="E2830" s="705">
        <f t="shared" si="90"/>
        <v>8.8888888888888893</v>
      </c>
    </row>
    <row r="2831" spans="2:5">
      <c r="B2831" s="943">
        <v>45040</v>
      </c>
      <c r="C2831" s="195">
        <f t="shared" si="89"/>
        <v>4</v>
      </c>
      <c r="D2831" s="195">
        <v>48.6</v>
      </c>
      <c r="E2831" s="705">
        <f t="shared" si="90"/>
        <v>9.2222222222222232</v>
      </c>
    </row>
    <row r="2832" spans="2:5">
      <c r="B2832" s="943">
        <v>45040</v>
      </c>
      <c r="C2832" s="195">
        <f t="shared" si="89"/>
        <v>4</v>
      </c>
      <c r="D2832" s="195">
        <v>48.7</v>
      </c>
      <c r="E2832" s="705">
        <f t="shared" si="90"/>
        <v>9.2777777777777786</v>
      </c>
    </row>
    <row r="2833" spans="2:5">
      <c r="B2833" s="943">
        <v>45040</v>
      </c>
      <c r="C2833" s="195">
        <f t="shared" si="89"/>
        <v>4</v>
      </c>
      <c r="D2833" s="195">
        <v>48.9</v>
      </c>
      <c r="E2833" s="705">
        <f t="shared" si="90"/>
        <v>9.3888888888888875</v>
      </c>
    </row>
    <row r="2834" spans="2:5">
      <c r="B2834" s="943">
        <v>45040</v>
      </c>
      <c r="C2834" s="195">
        <f t="shared" si="89"/>
        <v>4</v>
      </c>
      <c r="D2834" s="195">
        <v>48.2</v>
      </c>
      <c r="E2834" s="705">
        <f t="shared" si="90"/>
        <v>9.0000000000000018</v>
      </c>
    </row>
    <row r="2835" spans="2:5">
      <c r="B2835" s="943">
        <v>45040</v>
      </c>
      <c r="C2835" s="195">
        <f t="shared" si="89"/>
        <v>4</v>
      </c>
      <c r="D2835" s="195">
        <v>47.7</v>
      </c>
      <c r="E2835" s="705">
        <f t="shared" si="90"/>
        <v>8.7222222222222232</v>
      </c>
    </row>
    <row r="2836" spans="2:5">
      <c r="B2836" s="943">
        <v>45040</v>
      </c>
      <c r="C2836" s="195">
        <f t="shared" si="89"/>
        <v>4</v>
      </c>
      <c r="D2836" s="195">
        <v>46.9</v>
      </c>
      <c r="E2836" s="705">
        <f t="shared" si="90"/>
        <v>8.2777777777777768</v>
      </c>
    </row>
    <row r="2837" spans="2:5">
      <c r="B2837" s="943">
        <v>45040</v>
      </c>
      <c r="C2837" s="195">
        <f t="shared" si="89"/>
        <v>4</v>
      </c>
      <c r="D2837" s="195">
        <v>46.9</v>
      </c>
      <c r="E2837" s="705">
        <f t="shared" si="90"/>
        <v>8.2777777777777768</v>
      </c>
    </row>
    <row r="2838" spans="2:5">
      <c r="B2838" s="943">
        <v>45040</v>
      </c>
      <c r="C2838" s="195">
        <f t="shared" si="89"/>
        <v>4</v>
      </c>
      <c r="D2838" s="195">
        <v>46.9</v>
      </c>
      <c r="E2838" s="705">
        <f t="shared" si="90"/>
        <v>8.2777777777777768</v>
      </c>
    </row>
    <row r="2839" spans="2:5">
      <c r="B2839" s="943">
        <v>45040</v>
      </c>
      <c r="C2839" s="195">
        <f t="shared" si="89"/>
        <v>4</v>
      </c>
      <c r="D2839" s="195">
        <v>47.3</v>
      </c>
      <c r="E2839" s="705">
        <f t="shared" si="90"/>
        <v>8.4999999999999982</v>
      </c>
    </row>
    <row r="2840" spans="2:5">
      <c r="B2840" s="943">
        <v>45040</v>
      </c>
      <c r="C2840" s="195">
        <f t="shared" si="89"/>
        <v>4</v>
      </c>
      <c r="D2840" s="195">
        <v>47.5</v>
      </c>
      <c r="E2840" s="705">
        <f t="shared" si="90"/>
        <v>8.6111111111111107</v>
      </c>
    </row>
    <row r="2841" spans="2:5">
      <c r="B2841" s="943">
        <v>45041</v>
      </c>
      <c r="C2841" s="195">
        <f t="shared" si="89"/>
        <v>4</v>
      </c>
      <c r="D2841" s="195">
        <v>47.8</v>
      </c>
      <c r="E2841" s="705">
        <f t="shared" si="90"/>
        <v>8.7777777777777768</v>
      </c>
    </row>
    <row r="2842" spans="2:5">
      <c r="B2842" s="943">
        <v>45041</v>
      </c>
      <c r="C2842" s="195">
        <f t="shared" si="89"/>
        <v>4</v>
      </c>
      <c r="D2842" s="195">
        <v>48.4</v>
      </c>
      <c r="E2842" s="705">
        <f t="shared" si="90"/>
        <v>9.1111111111111107</v>
      </c>
    </row>
    <row r="2843" spans="2:5">
      <c r="B2843" s="943">
        <v>45041</v>
      </c>
      <c r="C2843" s="195">
        <f t="shared" si="89"/>
        <v>4</v>
      </c>
      <c r="D2843" s="195">
        <v>48.9</v>
      </c>
      <c r="E2843" s="705">
        <f t="shared" si="90"/>
        <v>9.3888888888888875</v>
      </c>
    </row>
    <row r="2844" spans="2:5">
      <c r="B2844" s="943">
        <v>45041</v>
      </c>
      <c r="C2844" s="195">
        <f t="shared" si="89"/>
        <v>4</v>
      </c>
      <c r="D2844" s="195">
        <v>49.1</v>
      </c>
      <c r="E2844" s="705">
        <f t="shared" si="90"/>
        <v>9.5</v>
      </c>
    </row>
    <row r="2845" spans="2:5">
      <c r="B2845" s="943">
        <v>45041</v>
      </c>
      <c r="C2845" s="195">
        <f t="shared" si="89"/>
        <v>4</v>
      </c>
      <c r="D2845" s="195">
        <v>49.1</v>
      </c>
      <c r="E2845" s="705">
        <f t="shared" si="90"/>
        <v>9.5</v>
      </c>
    </row>
    <row r="2846" spans="2:5">
      <c r="B2846" s="943">
        <v>45041</v>
      </c>
      <c r="C2846" s="195">
        <f t="shared" si="89"/>
        <v>4</v>
      </c>
      <c r="D2846" s="195">
        <v>48.4</v>
      </c>
      <c r="E2846" s="705">
        <f t="shared" si="90"/>
        <v>9.1111111111111107</v>
      </c>
    </row>
    <row r="2847" spans="2:5">
      <c r="B2847" s="943">
        <v>45041</v>
      </c>
      <c r="C2847" s="195">
        <f t="shared" si="89"/>
        <v>4</v>
      </c>
      <c r="D2847" s="195">
        <v>47.8</v>
      </c>
      <c r="E2847" s="705">
        <f t="shared" si="90"/>
        <v>8.7777777777777768</v>
      </c>
    </row>
    <row r="2848" spans="2:5">
      <c r="B2848" s="943">
        <v>45041</v>
      </c>
      <c r="C2848" s="195">
        <f t="shared" si="89"/>
        <v>4</v>
      </c>
      <c r="D2848" s="195">
        <v>47.5</v>
      </c>
      <c r="E2848" s="705">
        <f t="shared" si="90"/>
        <v>8.6111111111111107</v>
      </c>
    </row>
    <row r="2849" spans="2:5">
      <c r="B2849" s="943">
        <v>45041</v>
      </c>
      <c r="C2849" s="195">
        <f t="shared" si="89"/>
        <v>4</v>
      </c>
      <c r="D2849" s="195">
        <v>47.1</v>
      </c>
      <c r="E2849" s="705">
        <f t="shared" si="90"/>
        <v>8.3888888888888893</v>
      </c>
    </row>
    <row r="2850" spans="2:5">
      <c r="B2850" s="943">
        <v>45041</v>
      </c>
      <c r="C2850" s="195">
        <f t="shared" si="89"/>
        <v>4</v>
      </c>
      <c r="D2850" s="195">
        <v>47.1</v>
      </c>
      <c r="E2850" s="705">
        <f t="shared" si="90"/>
        <v>8.3888888888888893</v>
      </c>
    </row>
    <row r="2851" spans="2:5">
      <c r="B2851" s="943">
        <v>45041</v>
      </c>
      <c r="C2851" s="195">
        <f t="shared" si="89"/>
        <v>4</v>
      </c>
      <c r="D2851" s="195">
        <v>47.3</v>
      </c>
      <c r="E2851" s="705">
        <f t="shared" si="90"/>
        <v>8.4999999999999982</v>
      </c>
    </row>
    <row r="2852" spans="2:5">
      <c r="B2852" s="943">
        <v>45041</v>
      </c>
      <c r="C2852" s="195">
        <f t="shared" si="89"/>
        <v>4</v>
      </c>
      <c r="D2852" s="195">
        <v>47.3</v>
      </c>
      <c r="E2852" s="705">
        <f t="shared" si="90"/>
        <v>8.4999999999999982</v>
      </c>
    </row>
    <row r="2853" spans="2:5">
      <c r="B2853" s="943">
        <v>45041</v>
      </c>
      <c r="C2853" s="195">
        <f t="shared" si="89"/>
        <v>4</v>
      </c>
      <c r="D2853" s="195">
        <v>47.7</v>
      </c>
      <c r="E2853" s="705">
        <f t="shared" si="90"/>
        <v>8.7222222222222232</v>
      </c>
    </row>
    <row r="2854" spans="2:5">
      <c r="B2854" s="943">
        <v>45041</v>
      </c>
      <c r="C2854" s="195">
        <f t="shared" si="89"/>
        <v>4</v>
      </c>
      <c r="D2854" s="195">
        <v>48.4</v>
      </c>
      <c r="E2854" s="705">
        <f t="shared" si="90"/>
        <v>9.1111111111111107</v>
      </c>
    </row>
    <row r="2855" spans="2:5">
      <c r="B2855" s="943">
        <v>45041</v>
      </c>
      <c r="C2855" s="195">
        <f t="shared" si="89"/>
        <v>4</v>
      </c>
      <c r="D2855" s="195">
        <v>48.9</v>
      </c>
      <c r="E2855" s="705">
        <f t="shared" si="90"/>
        <v>9.3888888888888875</v>
      </c>
    </row>
    <row r="2856" spans="2:5">
      <c r="B2856" s="943">
        <v>45041</v>
      </c>
      <c r="C2856" s="195">
        <f t="shared" si="89"/>
        <v>4</v>
      </c>
      <c r="D2856" s="195">
        <v>49.3</v>
      </c>
      <c r="E2856" s="705">
        <f t="shared" si="90"/>
        <v>9.6111111111111089</v>
      </c>
    </row>
    <row r="2857" spans="2:5">
      <c r="B2857" s="943">
        <v>45041</v>
      </c>
      <c r="C2857" s="195">
        <f t="shared" si="89"/>
        <v>4</v>
      </c>
      <c r="D2857" s="195">
        <v>49.6</v>
      </c>
      <c r="E2857" s="705">
        <f t="shared" si="90"/>
        <v>9.7777777777777786</v>
      </c>
    </row>
    <row r="2858" spans="2:5">
      <c r="B2858" s="943">
        <v>45041</v>
      </c>
      <c r="C2858" s="195">
        <f t="shared" si="89"/>
        <v>4</v>
      </c>
      <c r="D2858" s="195">
        <v>49.6</v>
      </c>
      <c r="E2858" s="705">
        <f t="shared" si="90"/>
        <v>9.7777777777777786</v>
      </c>
    </row>
    <row r="2859" spans="2:5">
      <c r="B2859" s="943">
        <v>45041</v>
      </c>
      <c r="C2859" s="195">
        <f t="shared" si="89"/>
        <v>4</v>
      </c>
      <c r="D2859" s="195">
        <v>48.9</v>
      </c>
      <c r="E2859" s="705">
        <f t="shared" si="90"/>
        <v>9.3888888888888875</v>
      </c>
    </row>
    <row r="2860" spans="2:5">
      <c r="B2860" s="943">
        <v>45041</v>
      </c>
      <c r="C2860" s="195">
        <f t="shared" si="89"/>
        <v>4</v>
      </c>
      <c r="D2860" s="195">
        <v>48.6</v>
      </c>
      <c r="E2860" s="705">
        <f t="shared" si="90"/>
        <v>9.2222222222222232</v>
      </c>
    </row>
    <row r="2861" spans="2:5">
      <c r="B2861" s="943">
        <v>45041</v>
      </c>
      <c r="C2861" s="195">
        <f t="shared" si="89"/>
        <v>4</v>
      </c>
      <c r="D2861" s="195">
        <v>48.2</v>
      </c>
      <c r="E2861" s="705">
        <f t="shared" si="90"/>
        <v>9.0000000000000018</v>
      </c>
    </row>
    <row r="2862" spans="2:5">
      <c r="B2862" s="943">
        <v>45041</v>
      </c>
      <c r="C2862" s="195">
        <f t="shared" si="89"/>
        <v>4</v>
      </c>
      <c r="D2862" s="195">
        <v>47.8</v>
      </c>
      <c r="E2862" s="705">
        <f t="shared" si="90"/>
        <v>8.7777777777777768</v>
      </c>
    </row>
    <row r="2863" spans="2:5">
      <c r="B2863" s="943">
        <v>45041</v>
      </c>
      <c r="C2863" s="195">
        <f t="shared" si="89"/>
        <v>4</v>
      </c>
      <c r="D2863" s="195">
        <v>47.7</v>
      </c>
      <c r="E2863" s="705">
        <f t="shared" si="90"/>
        <v>8.7222222222222232</v>
      </c>
    </row>
    <row r="2864" spans="2:5">
      <c r="B2864" s="943">
        <v>45041</v>
      </c>
      <c r="C2864" s="195">
        <f t="shared" si="89"/>
        <v>4</v>
      </c>
      <c r="D2864" s="195" t="s">
        <v>1435</v>
      </c>
      <c r="E2864" s="705">
        <f t="shared" si="90"/>
        <v>8.8888888888888893</v>
      </c>
    </row>
    <row r="2865" spans="2:5">
      <c r="B2865" s="943">
        <v>45042</v>
      </c>
      <c r="C2865" s="195">
        <f t="shared" si="89"/>
        <v>4</v>
      </c>
      <c r="D2865" s="195">
        <v>48.2</v>
      </c>
      <c r="E2865" s="705">
        <f t="shared" si="90"/>
        <v>9.0000000000000018</v>
      </c>
    </row>
    <row r="2866" spans="2:5">
      <c r="B2866" s="943">
        <v>45042</v>
      </c>
      <c r="C2866" s="195">
        <f t="shared" si="89"/>
        <v>4</v>
      </c>
      <c r="D2866" s="195">
        <v>48.7</v>
      </c>
      <c r="E2866" s="705">
        <f t="shared" si="90"/>
        <v>9.2777777777777786</v>
      </c>
    </row>
    <row r="2867" spans="2:5">
      <c r="B2867" s="943">
        <v>45042</v>
      </c>
      <c r="C2867" s="195">
        <f t="shared" si="89"/>
        <v>4</v>
      </c>
      <c r="D2867" s="195">
        <v>49.5</v>
      </c>
      <c r="E2867" s="705">
        <f t="shared" si="90"/>
        <v>9.7222222222222214</v>
      </c>
    </row>
    <row r="2868" spans="2:5">
      <c r="B2868" s="943">
        <v>45042</v>
      </c>
      <c r="C2868" s="195">
        <f t="shared" si="89"/>
        <v>4</v>
      </c>
      <c r="D2868" s="195">
        <v>49.8</v>
      </c>
      <c r="E2868" s="705">
        <f t="shared" si="90"/>
        <v>9.8888888888888875</v>
      </c>
    </row>
    <row r="2869" spans="2:5">
      <c r="B2869" s="943">
        <v>45042</v>
      </c>
      <c r="C2869" s="195">
        <f t="shared" si="89"/>
        <v>4</v>
      </c>
      <c r="D2869" s="195" t="s">
        <v>1436</v>
      </c>
      <c r="E2869" s="705">
        <f t="shared" si="90"/>
        <v>10</v>
      </c>
    </row>
    <row r="2870" spans="2:5">
      <c r="B2870" s="943">
        <v>45042</v>
      </c>
      <c r="C2870" s="195">
        <f t="shared" si="89"/>
        <v>4</v>
      </c>
      <c r="D2870" s="195">
        <v>49.6</v>
      </c>
      <c r="E2870" s="705">
        <f t="shared" si="90"/>
        <v>9.7777777777777786</v>
      </c>
    </row>
    <row r="2871" spans="2:5">
      <c r="B2871" s="943">
        <v>45042</v>
      </c>
      <c r="C2871" s="195">
        <f t="shared" si="89"/>
        <v>4</v>
      </c>
      <c r="D2871" s="195">
        <v>49.1</v>
      </c>
      <c r="E2871" s="705">
        <f t="shared" si="90"/>
        <v>9.5</v>
      </c>
    </row>
    <row r="2872" spans="2:5">
      <c r="B2872" s="943">
        <v>45042</v>
      </c>
      <c r="C2872" s="195">
        <f t="shared" si="89"/>
        <v>4</v>
      </c>
      <c r="D2872" s="195">
        <v>48.7</v>
      </c>
      <c r="E2872" s="705">
        <f t="shared" si="90"/>
        <v>9.2777777777777786</v>
      </c>
    </row>
    <row r="2873" spans="2:5">
      <c r="B2873" s="943">
        <v>45042</v>
      </c>
      <c r="C2873" s="195">
        <f t="shared" si="89"/>
        <v>4</v>
      </c>
      <c r="D2873" s="195">
        <v>48.2</v>
      </c>
      <c r="E2873" s="705">
        <f t="shared" si="90"/>
        <v>9.0000000000000018</v>
      </c>
    </row>
    <row r="2874" spans="2:5">
      <c r="B2874" s="943">
        <v>45042</v>
      </c>
      <c r="C2874" s="195">
        <f t="shared" si="89"/>
        <v>4</v>
      </c>
      <c r="D2874" s="195">
        <v>47.7</v>
      </c>
      <c r="E2874" s="705">
        <f t="shared" si="90"/>
        <v>8.7222222222222232</v>
      </c>
    </row>
    <row r="2875" spans="2:5">
      <c r="B2875" s="943">
        <v>45042</v>
      </c>
      <c r="C2875" s="195">
        <f t="shared" si="89"/>
        <v>4</v>
      </c>
      <c r="D2875" s="195">
        <v>47.5</v>
      </c>
      <c r="E2875" s="705">
        <f t="shared" si="90"/>
        <v>8.6111111111111107</v>
      </c>
    </row>
    <row r="2876" spans="2:5">
      <c r="B2876" s="943">
        <v>45042</v>
      </c>
      <c r="C2876" s="195">
        <f t="shared" si="89"/>
        <v>4</v>
      </c>
      <c r="D2876" s="195">
        <v>47.7</v>
      </c>
      <c r="E2876" s="705">
        <f t="shared" si="90"/>
        <v>8.7222222222222232</v>
      </c>
    </row>
    <row r="2877" spans="2:5">
      <c r="B2877" s="943">
        <v>45042</v>
      </c>
      <c r="C2877" s="195">
        <f t="shared" si="89"/>
        <v>4</v>
      </c>
      <c r="D2877" s="195" t="s">
        <v>1435</v>
      </c>
      <c r="E2877" s="705">
        <f t="shared" si="90"/>
        <v>8.8888888888888893</v>
      </c>
    </row>
    <row r="2878" spans="2:5">
      <c r="B2878" s="943">
        <v>45042</v>
      </c>
      <c r="C2878" s="195">
        <f t="shared" si="89"/>
        <v>4</v>
      </c>
      <c r="D2878" s="195">
        <v>48.6</v>
      </c>
      <c r="E2878" s="705">
        <f t="shared" si="90"/>
        <v>9.2222222222222232</v>
      </c>
    </row>
    <row r="2879" spans="2:5">
      <c r="B2879" s="943">
        <v>45042</v>
      </c>
      <c r="C2879" s="195">
        <f t="shared" si="89"/>
        <v>4</v>
      </c>
      <c r="D2879" s="195">
        <v>49.3</v>
      </c>
      <c r="E2879" s="705">
        <f t="shared" si="90"/>
        <v>9.6111111111111089</v>
      </c>
    </row>
    <row r="2880" spans="2:5">
      <c r="B2880" s="943">
        <v>45042</v>
      </c>
      <c r="C2880" s="195">
        <f t="shared" si="89"/>
        <v>4</v>
      </c>
      <c r="D2880" s="195">
        <v>49.6</v>
      </c>
      <c r="E2880" s="705">
        <f t="shared" si="90"/>
        <v>9.7777777777777786</v>
      </c>
    </row>
    <row r="2881" spans="2:5">
      <c r="B2881" s="943">
        <v>45042</v>
      </c>
      <c r="C2881" s="195">
        <f t="shared" si="89"/>
        <v>4</v>
      </c>
      <c r="D2881" s="195" t="s">
        <v>1436</v>
      </c>
      <c r="E2881" s="705">
        <f t="shared" si="90"/>
        <v>10</v>
      </c>
    </row>
    <row r="2882" spans="2:5">
      <c r="B2882" s="943">
        <v>45042</v>
      </c>
      <c r="C2882" s="195">
        <f t="shared" si="89"/>
        <v>4</v>
      </c>
      <c r="D2882" s="195">
        <v>50.2</v>
      </c>
      <c r="E2882" s="705">
        <f t="shared" si="90"/>
        <v>10.111111111111112</v>
      </c>
    </row>
    <row r="2883" spans="2:5">
      <c r="B2883" s="943">
        <v>45042</v>
      </c>
      <c r="C2883" s="195">
        <f t="shared" si="89"/>
        <v>4</v>
      </c>
      <c r="D2883" s="195" t="s">
        <v>1436</v>
      </c>
      <c r="E2883" s="705">
        <f t="shared" si="90"/>
        <v>10</v>
      </c>
    </row>
    <row r="2884" spans="2:5">
      <c r="B2884" s="943">
        <v>45042</v>
      </c>
      <c r="C2884" s="195">
        <f t="shared" si="89"/>
        <v>4</v>
      </c>
      <c r="D2884" s="195">
        <v>49.3</v>
      </c>
      <c r="E2884" s="705">
        <f t="shared" si="90"/>
        <v>9.6111111111111089</v>
      </c>
    </row>
    <row r="2885" spans="2:5">
      <c r="B2885" s="943">
        <v>45042</v>
      </c>
      <c r="C2885" s="195">
        <f t="shared" si="89"/>
        <v>4</v>
      </c>
      <c r="D2885" s="195">
        <v>49.1</v>
      </c>
      <c r="E2885" s="705">
        <f t="shared" si="90"/>
        <v>9.5</v>
      </c>
    </row>
    <row r="2886" spans="2:5">
      <c r="B2886" s="943">
        <v>45042</v>
      </c>
      <c r="C2886" s="195">
        <f t="shared" si="89"/>
        <v>4</v>
      </c>
      <c r="D2886" s="195">
        <v>48.6</v>
      </c>
      <c r="E2886" s="705">
        <f t="shared" si="90"/>
        <v>9.2222222222222232</v>
      </c>
    </row>
    <row r="2887" spans="2:5">
      <c r="B2887" s="943">
        <v>45042</v>
      </c>
      <c r="C2887" s="195">
        <f t="shared" si="89"/>
        <v>4</v>
      </c>
      <c r="D2887" s="195">
        <v>48.2</v>
      </c>
      <c r="E2887" s="705">
        <f t="shared" si="90"/>
        <v>9.0000000000000018</v>
      </c>
    </row>
    <row r="2888" spans="2:5">
      <c r="B2888" s="943">
        <v>45042</v>
      </c>
      <c r="C2888" s="195">
        <f t="shared" si="89"/>
        <v>4</v>
      </c>
      <c r="D2888" s="195">
        <v>47.8</v>
      </c>
      <c r="E2888" s="705">
        <f t="shared" si="90"/>
        <v>8.7777777777777768</v>
      </c>
    </row>
    <row r="2889" spans="2:5">
      <c r="B2889" s="943">
        <v>45043</v>
      </c>
      <c r="C2889" s="195">
        <f t="shared" si="89"/>
        <v>4</v>
      </c>
      <c r="D2889" s="195">
        <v>48.4</v>
      </c>
      <c r="E2889" s="705">
        <f t="shared" si="90"/>
        <v>9.1111111111111107</v>
      </c>
    </row>
    <row r="2890" spans="2:5">
      <c r="B2890" s="943">
        <v>45043</v>
      </c>
      <c r="C2890" s="195">
        <f t="shared" ref="C2890:C2953" si="91">MONTH(B2890)</f>
        <v>4</v>
      </c>
      <c r="D2890" s="195">
        <v>48.7</v>
      </c>
      <c r="E2890" s="705">
        <f t="shared" ref="E2890:E2953" si="92">CONVERT(D2890,"F","C")</f>
        <v>9.2777777777777786</v>
      </c>
    </row>
    <row r="2891" spans="2:5">
      <c r="B2891" s="943">
        <v>45043</v>
      </c>
      <c r="C2891" s="195">
        <f t="shared" si="91"/>
        <v>4</v>
      </c>
      <c r="D2891" s="195">
        <v>49.1</v>
      </c>
      <c r="E2891" s="705">
        <f t="shared" si="92"/>
        <v>9.5</v>
      </c>
    </row>
    <row r="2892" spans="2:5">
      <c r="B2892" s="943">
        <v>45043</v>
      </c>
      <c r="C2892" s="195">
        <f t="shared" si="91"/>
        <v>4</v>
      </c>
      <c r="D2892" s="195">
        <v>49.6</v>
      </c>
      <c r="E2892" s="705">
        <f t="shared" si="92"/>
        <v>9.7777777777777786</v>
      </c>
    </row>
    <row r="2893" spans="2:5">
      <c r="B2893" s="943">
        <v>45043</v>
      </c>
      <c r="C2893" s="195">
        <f t="shared" si="91"/>
        <v>4</v>
      </c>
      <c r="D2893" s="195" t="s">
        <v>1436</v>
      </c>
      <c r="E2893" s="705">
        <f t="shared" si="92"/>
        <v>10</v>
      </c>
    </row>
    <row r="2894" spans="2:5">
      <c r="B2894" s="943">
        <v>45043</v>
      </c>
      <c r="C2894" s="195">
        <f t="shared" si="91"/>
        <v>4</v>
      </c>
      <c r="D2894" s="195">
        <v>50.2</v>
      </c>
      <c r="E2894" s="705">
        <f t="shared" si="92"/>
        <v>10.111111111111112</v>
      </c>
    </row>
    <row r="2895" spans="2:5">
      <c r="B2895" s="943">
        <v>45043</v>
      </c>
      <c r="C2895" s="195">
        <f t="shared" si="91"/>
        <v>4</v>
      </c>
      <c r="D2895" s="195">
        <v>49.8</v>
      </c>
      <c r="E2895" s="705">
        <f t="shared" si="92"/>
        <v>9.8888888888888875</v>
      </c>
    </row>
    <row r="2896" spans="2:5">
      <c r="B2896" s="943">
        <v>45043</v>
      </c>
      <c r="C2896" s="195">
        <f t="shared" si="91"/>
        <v>4</v>
      </c>
      <c r="D2896" s="195">
        <v>49.3</v>
      </c>
      <c r="E2896" s="705">
        <f t="shared" si="92"/>
        <v>9.6111111111111089</v>
      </c>
    </row>
    <row r="2897" spans="2:5">
      <c r="B2897" s="943">
        <v>45043</v>
      </c>
      <c r="C2897" s="195">
        <f t="shared" si="91"/>
        <v>4</v>
      </c>
      <c r="D2897" s="195">
        <v>48.7</v>
      </c>
      <c r="E2897" s="705">
        <f t="shared" si="92"/>
        <v>9.2777777777777786</v>
      </c>
    </row>
    <row r="2898" spans="2:5">
      <c r="B2898" s="943">
        <v>45043</v>
      </c>
      <c r="C2898" s="195">
        <f t="shared" si="91"/>
        <v>4</v>
      </c>
      <c r="D2898" s="195">
        <v>48.4</v>
      </c>
      <c r="E2898" s="705">
        <f t="shared" si="92"/>
        <v>9.1111111111111107</v>
      </c>
    </row>
    <row r="2899" spans="2:5">
      <c r="B2899" s="943">
        <v>45043</v>
      </c>
      <c r="C2899" s="195">
        <f t="shared" si="91"/>
        <v>4</v>
      </c>
      <c r="D2899" s="195">
        <v>47.8</v>
      </c>
      <c r="E2899" s="705">
        <f t="shared" si="92"/>
        <v>8.7777777777777768</v>
      </c>
    </row>
    <row r="2900" spans="2:5">
      <c r="B2900" s="943">
        <v>45043</v>
      </c>
      <c r="C2900" s="195">
        <f t="shared" si="91"/>
        <v>4</v>
      </c>
      <c r="D2900" s="195">
        <v>47.7</v>
      </c>
      <c r="E2900" s="705">
        <f t="shared" si="92"/>
        <v>8.7222222222222232</v>
      </c>
    </row>
    <row r="2901" spans="2:5">
      <c r="B2901" s="943">
        <v>45043</v>
      </c>
      <c r="C2901" s="195">
        <f t="shared" si="91"/>
        <v>4</v>
      </c>
      <c r="D2901" s="195">
        <v>47.8</v>
      </c>
      <c r="E2901" s="705">
        <f t="shared" si="92"/>
        <v>8.7777777777777768</v>
      </c>
    </row>
    <row r="2902" spans="2:5">
      <c r="B2902" s="943">
        <v>45043</v>
      </c>
      <c r="C2902" s="195">
        <f t="shared" si="91"/>
        <v>4</v>
      </c>
      <c r="D2902" s="195">
        <v>48.2</v>
      </c>
      <c r="E2902" s="705">
        <f t="shared" si="92"/>
        <v>9.0000000000000018</v>
      </c>
    </row>
    <row r="2903" spans="2:5">
      <c r="B2903" s="943">
        <v>45043</v>
      </c>
      <c r="C2903" s="195">
        <f t="shared" si="91"/>
        <v>4</v>
      </c>
      <c r="D2903" s="195">
        <v>48.7</v>
      </c>
      <c r="E2903" s="705">
        <f t="shared" si="92"/>
        <v>9.2777777777777786</v>
      </c>
    </row>
    <row r="2904" spans="2:5">
      <c r="B2904" s="943">
        <v>45043</v>
      </c>
      <c r="C2904" s="195">
        <f t="shared" si="91"/>
        <v>4</v>
      </c>
      <c r="D2904" s="195">
        <v>49.5</v>
      </c>
      <c r="E2904" s="705">
        <f t="shared" si="92"/>
        <v>9.7222222222222214</v>
      </c>
    </row>
    <row r="2905" spans="2:5">
      <c r="B2905" s="943">
        <v>45043</v>
      </c>
      <c r="C2905" s="195">
        <f t="shared" si="91"/>
        <v>4</v>
      </c>
      <c r="D2905" s="195" t="s">
        <v>1436</v>
      </c>
      <c r="E2905" s="705">
        <f t="shared" si="92"/>
        <v>10</v>
      </c>
    </row>
    <row r="2906" spans="2:5">
      <c r="B2906" s="943">
        <v>45043</v>
      </c>
      <c r="C2906" s="195">
        <f t="shared" si="91"/>
        <v>4</v>
      </c>
      <c r="D2906" s="195">
        <v>50.4</v>
      </c>
      <c r="E2906" s="705">
        <f t="shared" si="92"/>
        <v>10.222222222222221</v>
      </c>
    </row>
    <row r="2907" spans="2:5">
      <c r="B2907" s="943">
        <v>45043</v>
      </c>
      <c r="C2907" s="195">
        <f t="shared" si="91"/>
        <v>4</v>
      </c>
      <c r="D2907" s="195">
        <v>50.5</v>
      </c>
      <c r="E2907" s="705">
        <f t="shared" si="92"/>
        <v>10.277777777777777</v>
      </c>
    </row>
    <row r="2908" spans="2:5">
      <c r="B2908" s="943">
        <v>45043</v>
      </c>
      <c r="C2908" s="195">
        <f t="shared" si="91"/>
        <v>4</v>
      </c>
      <c r="D2908" s="195">
        <v>50.4</v>
      </c>
      <c r="E2908" s="705">
        <f t="shared" si="92"/>
        <v>10.222222222222221</v>
      </c>
    </row>
    <row r="2909" spans="2:5">
      <c r="B2909" s="943">
        <v>45043</v>
      </c>
      <c r="C2909" s="195">
        <f t="shared" si="91"/>
        <v>4</v>
      </c>
      <c r="D2909" s="195">
        <v>49.3</v>
      </c>
      <c r="E2909" s="705">
        <f t="shared" si="92"/>
        <v>9.6111111111111089</v>
      </c>
    </row>
    <row r="2910" spans="2:5">
      <c r="B2910" s="943">
        <v>45043</v>
      </c>
      <c r="C2910" s="195">
        <f t="shared" si="91"/>
        <v>4</v>
      </c>
      <c r="D2910" s="195">
        <v>48.7</v>
      </c>
      <c r="E2910" s="705">
        <f t="shared" si="92"/>
        <v>9.2777777777777786</v>
      </c>
    </row>
    <row r="2911" spans="2:5">
      <c r="B2911" s="943">
        <v>45043</v>
      </c>
      <c r="C2911" s="195">
        <f t="shared" si="91"/>
        <v>4</v>
      </c>
      <c r="D2911" s="195">
        <v>47.8</v>
      </c>
      <c r="E2911" s="705">
        <f t="shared" si="92"/>
        <v>8.7777777777777768</v>
      </c>
    </row>
    <row r="2912" spans="2:5">
      <c r="B2912" s="943">
        <v>45043</v>
      </c>
      <c r="C2912" s="195">
        <f t="shared" si="91"/>
        <v>4</v>
      </c>
      <c r="D2912" s="195">
        <v>47.8</v>
      </c>
      <c r="E2912" s="705">
        <f t="shared" si="92"/>
        <v>8.7777777777777768</v>
      </c>
    </row>
    <row r="2913" spans="2:5">
      <c r="B2913" s="943">
        <v>45044</v>
      </c>
      <c r="C2913" s="195">
        <f t="shared" si="91"/>
        <v>4</v>
      </c>
      <c r="D2913" s="195">
        <v>47.5</v>
      </c>
      <c r="E2913" s="705">
        <f t="shared" si="92"/>
        <v>8.6111111111111107</v>
      </c>
    </row>
    <row r="2914" spans="2:5">
      <c r="B2914" s="943">
        <v>45044</v>
      </c>
      <c r="C2914" s="195">
        <f t="shared" si="91"/>
        <v>4</v>
      </c>
      <c r="D2914" s="195">
        <v>48.2</v>
      </c>
      <c r="E2914" s="705">
        <f t="shared" si="92"/>
        <v>9.0000000000000018</v>
      </c>
    </row>
    <row r="2915" spans="2:5">
      <c r="B2915" s="943">
        <v>45044</v>
      </c>
      <c r="C2915" s="195">
        <f t="shared" si="91"/>
        <v>4</v>
      </c>
      <c r="D2915" s="195">
        <v>48.4</v>
      </c>
      <c r="E2915" s="705">
        <f t="shared" si="92"/>
        <v>9.1111111111111107</v>
      </c>
    </row>
    <row r="2916" spans="2:5">
      <c r="B2916" s="943">
        <v>45044</v>
      </c>
      <c r="C2916" s="195">
        <f t="shared" si="91"/>
        <v>4</v>
      </c>
      <c r="D2916" s="195">
        <v>49.1</v>
      </c>
      <c r="E2916" s="705">
        <f t="shared" si="92"/>
        <v>9.5</v>
      </c>
    </row>
    <row r="2917" spans="2:5">
      <c r="B2917" s="943">
        <v>45044</v>
      </c>
      <c r="C2917" s="195">
        <f t="shared" si="91"/>
        <v>4</v>
      </c>
      <c r="D2917" s="195">
        <v>49.8</v>
      </c>
      <c r="E2917" s="705">
        <f t="shared" si="92"/>
        <v>9.8888888888888875</v>
      </c>
    </row>
    <row r="2918" spans="2:5">
      <c r="B2918" s="943">
        <v>45044</v>
      </c>
      <c r="C2918" s="195">
        <f t="shared" si="91"/>
        <v>4</v>
      </c>
      <c r="D2918" s="195">
        <v>50.4</v>
      </c>
      <c r="E2918" s="705">
        <f t="shared" si="92"/>
        <v>10.222222222222221</v>
      </c>
    </row>
    <row r="2919" spans="2:5">
      <c r="B2919" s="943">
        <v>45044</v>
      </c>
      <c r="C2919" s="195">
        <f t="shared" si="91"/>
        <v>4</v>
      </c>
      <c r="D2919" s="195">
        <v>50.4</v>
      </c>
      <c r="E2919" s="705">
        <f t="shared" si="92"/>
        <v>10.222222222222221</v>
      </c>
    </row>
    <row r="2920" spans="2:5">
      <c r="B2920" s="943">
        <v>45044</v>
      </c>
      <c r="C2920" s="195">
        <f t="shared" si="91"/>
        <v>4</v>
      </c>
      <c r="D2920" s="195" t="s">
        <v>1436</v>
      </c>
      <c r="E2920" s="705">
        <f t="shared" si="92"/>
        <v>10</v>
      </c>
    </row>
    <row r="2921" spans="2:5">
      <c r="B2921" s="943">
        <v>45044</v>
      </c>
      <c r="C2921" s="195">
        <f t="shared" si="91"/>
        <v>4</v>
      </c>
      <c r="D2921" s="195">
        <v>48.9</v>
      </c>
      <c r="E2921" s="705">
        <f t="shared" si="92"/>
        <v>9.3888888888888875</v>
      </c>
    </row>
    <row r="2922" spans="2:5">
      <c r="B2922" s="943">
        <v>45044</v>
      </c>
      <c r="C2922" s="195">
        <f t="shared" si="91"/>
        <v>4</v>
      </c>
      <c r="D2922" s="195">
        <v>48.4</v>
      </c>
      <c r="E2922" s="705">
        <f t="shared" si="92"/>
        <v>9.1111111111111107</v>
      </c>
    </row>
    <row r="2923" spans="2:5">
      <c r="B2923" s="943">
        <v>45044</v>
      </c>
      <c r="C2923" s="195">
        <f t="shared" si="91"/>
        <v>4</v>
      </c>
      <c r="D2923" s="195">
        <v>47.7</v>
      </c>
      <c r="E2923" s="705">
        <f t="shared" si="92"/>
        <v>8.7222222222222232</v>
      </c>
    </row>
    <row r="2924" spans="2:5">
      <c r="B2924" s="943">
        <v>45044</v>
      </c>
      <c r="C2924" s="195">
        <f t="shared" si="91"/>
        <v>4</v>
      </c>
      <c r="D2924" s="195">
        <v>47.3</v>
      </c>
      <c r="E2924" s="705">
        <f t="shared" si="92"/>
        <v>8.4999999999999982</v>
      </c>
    </row>
    <row r="2925" spans="2:5">
      <c r="B2925" s="943">
        <v>45044</v>
      </c>
      <c r="C2925" s="195">
        <f t="shared" si="91"/>
        <v>4</v>
      </c>
      <c r="D2925" s="195">
        <v>46.6</v>
      </c>
      <c r="E2925" s="705">
        <f t="shared" si="92"/>
        <v>8.1111111111111125</v>
      </c>
    </row>
    <row r="2926" spans="2:5">
      <c r="B2926" s="943">
        <v>45044</v>
      </c>
      <c r="C2926" s="195">
        <f t="shared" si="91"/>
        <v>4</v>
      </c>
      <c r="D2926" s="195">
        <v>47.3</v>
      </c>
      <c r="E2926" s="705">
        <f t="shared" si="92"/>
        <v>8.4999999999999982</v>
      </c>
    </row>
    <row r="2927" spans="2:5">
      <c r="B2927" s="943">
        <v>45044</v>
      </c>
      <c r="C2927" s="195">
        <f t="shared" si="91"/>
        <v>4</v>
      </c>
      <c r="D2927" s="195">
        <v>47.7</v>
      </c>
      <c r="E2927" s="705">
        <f t="shared" si="92"/>
        <v>8.7222222222222232</v>
      </c>
    </row>
    <row r="2928" spans="2:5">
      <c r="B2928" s="943">
        <v>45044</v>
      </c>
      <c r="C2928" s="195">
        <f t="shared" si="91"/>
        <v>4</v>
      </c>
      <c r="D2928" s="195">
        <v>48.6</v>
      </c>
      <c r="E2928" s="705">
        <f t="shared" si="92"/>
        <v>9.2222222222222232</v>
      </c>
    </row>
    <row r="2929" spans="2:5">
      <c r="B2929" s="943">
        <v>45044</v>
      </c>
      <c r="C2929" s="195">
        <f t="shared" si="91"/>
        <v>4</v>
      </c>
      <c r="D2929" s="195">
        <v>49.6</v>
      </c>
      <c r="E2929" s="705">
        <f t="shared" si="92"/>
        <v>9.7777777777777786</v>
      </c>
    </row>
    <row r="2930" spans="2:5">
      <c r="B2930" s="943">
        <v>45044</v>
      </c>
      <c r="C2930" s="195">
        <f t="shared" si="91"/>
        <v>4</v>
      </c>
      <c r="D2930" s="195">
        <v>50.5</v>
      </c>
      <c r="E2930" s="705">
        <f t="shared" si="92"/>
        <v>10.277777777777777</v>
      </c>
    </row>
    <row r="2931" spans="2:5">
      <c r="B2931" s="943">
        <v>45044</v>
      </c>
      <c r="C2931" s="195">
        <f t="shared" si="91"/>
        <v>4</v>
      </c>
      <c r="D2931" s="195">
        <v>51.1</v>
      </c>
      <c r="E2931" s="705">
        <f t="shared" si="92"/>
        <v>10.611111111111112</v>
      </c>
    </row>
    <row r="2932" spans="2:5">
      <c r="B2932" s="943">
        <v>45044</v>
      </c>
      <c r="C2932" s="195">
        <f t="shared" si="91"/>
        <v>4</v>
      </c>
      <c r="D2932" s="195">
        <v>51.4</v>
      </c>
      <c r="E2932" s="705">
        <f t="shared" si="92"/>
        <v>10.777777777777777</v>
      </c>
    </row>
    <row r="2933" spans="2:5">
      <c r="B2933" s="943">
        <v>45044</v>
      </c>
      <c r="C2933" s="195">
        <f t="shared" si="91"/>
        <v>4</v>
      </c>
      <c r="D2933" s="195">
        <v>50.9</v>
      </c>
      <c r="E2933" s="705">
        <f t="shared" si="92"/>
        <v>10.499999999999998</v>
      </c>
    </row>
    <row r="2934" spans="2:5">
      <c r="B2934" s="943">
        <v>45044</v>
      </c>
      <c r="C2934" s="195">
        <f t="shared" si="91"/>
        <v>4</v>
      </c>
      <c r="D2934" s="195">
        <v>49.6</v>
      </c>
      <c r="E2934" s="705">
        <f t="shared" si="92"/>
        <v>9.7777777777777786</v>
      </c>
    </row>
    <row r="2935" spans="2:5">
      <c r="B2935" s="943">
        <v>45044</v>
      </c>
      <c r="C2935" s="195">
        <f t="shared" si="91"/>
        <v>4</v>
      </c>
      <c r="D2935" s="195">
        <v>48.9</v>
      </c>
      <c r="E2935" s="705">
        <f t="shared" si="92"/>
        <v>9.3888888888888875</v>
      </c>
    </row>
    <row r="2936" spans="2:5">
      <c r="B2936" s="943">
        <v>45044</v>
      </c>
      <c r="C2936" s="195">
        <f t="shared" si="91"/>
        <v>4</v>
      </c>
      <c r="D2936" s="195">
        <v>48.6</v>
      </c>
      <c r="E2936" s="705">
        <f t="shared" si="92"/>
        <v>9.2222222222222232</v>
      </c>
    </row>
    <row r="2937" spans="2:5">
      <c r="B2937" s="943">
        <v>45045</v>
      </c>
      <c r="C2937" s="195">
        <f t="shared" si="91"/>
        <v>4</v>
      </c>
      <c r="D2937" s="195">
        <v>48.2</v>
      </c>
      <c r="E2937" s="705">
        <f t="shared" si="92"/>
        <v>9.0000000000000018</v>
      </c>
    </row>
    <row r="2938" spans="2:5">
      <c r="B2938" s="943">
        <v>45045</v>
      </c>
      <c r="C2938" s="195">
        <f t="shared" si="91"/>
        <v>4</v>
      </c>
      <c r="D2938" s="195">
        <v>48.2</v>
      </c>
      <c r="E2938" s="705">
        <f t="shared" si="92"/>
        <v>9.0000000000000018</v>
      </c>
    </row>
    <row r="2939" spans="2:5">
      <c r="B2939" s="943">
        <v>45045</v>
      </c>
      <c r="C2939" s="195">
        <f t="shared" si="91"/>
        <v>4</v>
      </c>
      <c r="D2939" s="195">
        <v>48.6</v>
      </c>
      <c r="E2939" s="705">
        <f t="shared" si="92"/>
        <v>9.2222222222222232</v>
      </c>
    </row>
    <row r="2940" spans="2:5">
      <c r="B2940" s="943">
        <v>45045</v>
      </c>
      <c r="C2940" s="195">
        <f t="shared" si="91"/>
        <v>4</v>
      </c>
      <c r="D2940" s="195">
        <v>48.9</v>
      </c>
      <c r="E2940" s="705">
        <f t="shared" si="92"/>
        <v>9.3888888888888875</v>
      </c>
    </row>
    <row r="2941" spans="2:5">
      <c r="B2941" s="943">
        <v>45045</v>
      </c>
      <c r="C2941" s="195">
        <f t="shared" si="91"/>
        <v>4</v>
      </c>
      <c r="D2941" s="195">
        <v>49.5</v>
      </c>
      <c r="E2941" s="705">
        <f t="shared" si="92"/>
        <v>9.7222222222222214</v>
      </c>
    </row>
    <row r="2942" spans="2:5">
      <c r="B2942" s="943">
        <v>45045</v>
      </c>
      <c r="C2942" s="195">
        <f t="shared" si="91"/>
        <v>4</v>
      </c>
      <c r="D2942" s="195">
        <v>50.2</v>
      </c>
      <c r="E2942" s="705">
        <f t="shared" si="92"/>
        <v>10.111111111111112</v>
      </c>
    </row>
    <row r="2943" spans="2:5">
      <c r="B2943" s="943">
        <v>45045</v>
      </c>
      <c r="C2943" s="195">
        <f t="shared" si="91"/>
        <v>4</v>
      </c>
      <c r="D2943" s="195">
        <v>50.7</v>
      </c>
      <c r="E2943" s="705">
        <f t="shared" si="92"/>
        <v>10.388888888888891</v>
      </c>
    </row>
    <row r="2944" spans="2:5">
      <c r="B2944" s="943">
        <v>45045</v>
      </c>
      <c r="C2944" s="195">
        <f t="shared" si="91"/>
        <v>4</v>
      </c>
      <c r="D2944" s="195">
        <v>50.9</v>
      </c>
      <c r="E2944" s="705">
        <f t="shared" si="92"/>
        <v>10.499999999999998</v>
      </c>
    </row>
    <row r="2945" spans="2:5">
      <c r="B2945" s="943">
        <v>45045</v>
      </c>
      <c r="C2945" s="195">
        <f t="shared" si="91"/>
        <v>4</v>
      </c>
      <c r="D2945" s="195">
        <v>50.4</v>
      </c>
      <c r="E2945" s="705">
        <f t="shared" si="92"/>
        <v>10.222222222222221</v>
      </c>
    </row>
    <row r="2946" spans="2:5">
      <c r="B2946" s="943">
        <v>45045</v>
      </c>
      <c r="C2946" s="195">
        <f t="shared" si="91"/>
        <v>4</v>
      </c>
      <c r="D2946" s="195">
        <v>49.3</v>
      </c>
      <c r="E2946" s="705">
        <f t="shared" si="92"/>
        <v>9.6111111111111089</v>
      </c>
    </row>
    <row r="2947" spans="2:5">
      <c r="B2947" s="943">
        <v>45045</v>
      </c>
      <c r="C2947" s="195">
        <f t="shared" si="91"/>
        <v>4</v>
      </c>
      <c r="D2947" s="195">
        <v>48.6</v>
      </c>
      <c r="E2947" s="705">
        <f t="shared" si="92"/>
        <v>9.2222222222222232</v>
      </c>
    </row>
    <row r="2948" spans="2:5">
      <c r="B2948" s="943">
        <v>45045</v>
      </c>
      <c r="C2948" s="195">
        <f t="shared" si="91"/>
        <v>4</v>
      </c>
      <c r="D2948" s="195">
        <v>47.8</v>
      </c>
      <c r="E2948" s="705">
        <f t="shared" si="92"/>
        <v>8.7777777777777768</v>
      </c>
    </row>
    <row r="2949" spans="2:5">
      <c r="B2949" s="943">
        <v>45045</v>
      </c>
      <c r="C2949" s="195">
        <f t="shared" si="91"/>
        <v>4</v>
      </c>
      <c r="D2949" s="195">
        <v>47.5</v>
      </c>
      <c r="E2949" s="705">
        <f t="shared" si="92"/>
        <v>8.6111111111111107</v>
      </c>
    </row>
    <row r="2950" spans="2:5">
      <c r="B2950" s="943">
        <v>45045</v>
      </c>
      <c r="C2950" s="195">
        <f t="shared" si="91"/>
        <v>4</v>
      </c>
      <c r="D2950" s="195">
        <v>47.5</v>
      </c>
      <c r="E2950" s="705">
        <f t="shared" si="92"/>
        <v>8.6111111111111107</v>
      </c>
    </row>
    <row r="2951" spans="2:5">
      <c r="B2951" s="943">
        <v>45045</v>
      </c>
      <c r="C2951" s="195">
        <f t="shared" si="91"/>
        <v>4</v>
      </c>
      <c r="D2951" s="195">
        <v>47.8</v>
      </c>
      <c r="E2951" s="705">
        <f t="shared" si="92"/>
        <v>8.7777777777777768</v>
      </c>
    </row>
    <row r="2952" spans="2:5">
      <c r="B2952" s="943">
        <v>45045</v>
      </c>
      <c r="C2952" s="195">
        <f t="shared" si="91"/>
        <v>4</v>
      </c>
      <c r="D2952" s="195">
        <v>48.2</v>
      </c>
      <c r="E2952" s="705">
        <f t="shared" si="92"/>
        <v>9.0000000000000018</v>
      </c>
    </row>
    <row r="2953" spans="2:5">
      <c r="B2953" s="943">
        <v>45045</v>
      </c>
      <c r="C2953" s="195">
        <f t="shared" si="91"/>
        <v>4</v>
      </c>
      <c r="D2953" s="195">
        <v>49.1</v>
      </c>
      <c r="E2953" s="705">
        <f t="shared" si="92"/>
        <v>9.5</v>
      </c>
    </row>
    <row r="2954" spans="2:5">
      <c r="B2954" s="943">
        <v>45045</v>
      </c>
      <c r="C2954" s="195">
        <f t="shared" ref="C2954:C3017" si="93">MONTH(B2954)</f>
        <v>4</v>
      </c>
      <c r="D2954" s="195">
        <v>50.2</v>
      </c>
      <c r="E2954" s="705">
        <f t="shared" ref="E2954:E3017" si="94">CONVERT(D2954,"F","C")</f>
        <v>10.111111111111112</v>
      </c>
    </row>
    <row r="2955" spans="2:5">
      <c r="B2955" s="943">
        <v>45045</v>
      </c>
      <c r="C2955" s="195">
        <f t="shared" si="93"/>
        <v>4</v>
      </c>
      <c r="D2955" s="195">
        <v>51.1</v>
      </c>
      <c r="E2955" s="705">
        <f t="shared" si="94"/>
        <v>10.611111111111112</v>
      </c>
    </row>
    <row r="2956" spans="2:5">
      <c r="B2956" s="943">
        <v>45045</v>
      </c>
      <c r="C2956" s="195">
        <f t="shared" si="93"/>
        <v>4</v>
      </c>
      <c r="D2956" s="195">
        <v>51.4</v>
      </c>
      <c r="E2956" s="705">
        <f t="shared" si="94"/>
        <v>10.777777777777777</v>
      </c>
    </row>
    <row r="2957" spans="2:5">
      <c r="B2957" s="943">
        <v>45045</v>
      </c>
      <c r="C2957" s="195">
        <f t="shared" si="93"/>
        <v>4</v>
      </c>
      <c r="D2957" s="195">
        <v>51.4</v>
      </c>
      <c r="E2957" s="705">
        <f t="shared" si="94"/>
        <v>10.777777777777777</v>
      </c>
    </row>
    <row r="2958" spans="2:5">
      <c r="B2958" s="943">
        <v>45045</v>
      </c>
      <c r="C2958" s="195">
        <f t="shared" si="93"/>
        <v>4</v>
      </c>
      <c r="D2958" s="195">
        <v>51.1</v>
      </c>
      <c r="E2958" s="705">
        <f t="shared" si="94"/>
        <v>10.611111111111112</v>
      </c>
    </row>
    <row r="2959" spans="2:5">
      <c r="B2959" s="943">
        <v>45045</v>
      </c>
      <c r="C2959" s="195">
        <f t="shared" si="93"/>
        <v>4</v>
      </c>
      <c r="D2959" s="195">
        <v>49.6</v>
      </c>
      <c r="E2959" s="705">
        <f t="shared" si="94"/>
        <v>9.7777777777777786</v>
      </c>
    </row>
    <row r="2960" spans="2:5">
      <c r="B2960" s="943">
        <v>45045</v>
      </c>
      <c r="C2960" s="195">
        <f t="shared" si="93"/>
        <v>4</v>
      </c>
      <c r="D2960" s="195">
        <v>49.3</v>
      </c>
      <c r="E2960" s="705">
        <f t="shared" si="94"/>
        <v>9.6111111111111089</v>
      </c>
    </row>
    <row r="2961" spans="2:5">
      <c r="B2961" s="943">
        <v>45046</v>
      </c>
      <c r="C2961" s="195">
        <f t="shared" si="93"/>
        <v>4</v>
      </c>
      <c r="D2961" s="195">
        <v>49.1</v>
      </c>
      <c r="E2961" s="705">
        <f t="shared" si="94"/>
        <v>9.5</v>
      </c>
    </row>
    <row r="2962" spans="2:5">
      <c r="B2962" s="943">
        <v>45046</v>
      </c>
      <c r="C2962" s="195">
        <f t="shared" si="93"/>
        <v>4</v>
      </c>
      <c r="D2962" s="195">
        <v>48.7</v>
      </c>
      <c r="E2962" s="705">
        <f t="shared" si="94"/>
        <v>9.2777777777777786</v>
      </c>
    </row>
    <row r="2963" spans="2:5">
      <c r="B2963" s="943">
        <v>45046</v>
      </c>
      <c r="C2963" s="195">
        <f t="shared" si="93"/>
        <v>4</v>
      </c>
      <c r="D2963" s="195">
        <v>48.6</v>
      </c>
      <c r="E2963" s="705">
        <f t="shared" si="94"/>
        <v>9.2222222222222232</v>
      </c>
    </row>
    <row r="2964" spans="2:5">
      <c r="B2964" s="943">
        <v>45046</v>
      </c>
      <c r="C2964" s="195">
        <f t="shared" si="93"/>
        <v>4</v>
      </c>
      <c r="D2964" s="195">
        <v>48.7</v>
      </c>
      <c r="E2964" s="705">
        <f t="shared" si="94"/>
        <v>9.2777777777777786</v>
      </c>
    </row>
    <row r="2965" spans="2:5">
      <c r="B2965" s="943">
        <v>45046</v>
      </c>
      <c r="C2965" s="195">
        <f t="shared" si="93"/>
        <v>4</v>
      </c>
      <c r="D2965" s="195">
        <v>49.1</v>
      </c>
      <c r="E2965" s="705">
        <f t="shared" si="94"/>
        <v>9.5</v>
      </c>
    </row>
    <row r="2966" spans="2:5">
      <c r="B2966" s="943">
        <v>45046</v>
      </c>
      <c r="C2966" s="195">
        <f t="shared" si="93"/>
        <v>4</v>
      </c>
      <c r="D2966" s="195">
        <v>49.6</v>
      </c>
      <c r="E2966" s="705">
        <f t="shared" si="94"/>
        <v>9.7777777777777786</v>
      </c>
    </row>
    <row r="2967" spans="2:5">
      <c r="B2967" s="943">
        <v>45046</v>
      </c>
      <c r="C2967" s="195">
        <f t="shared" si="93"/>
        <v>4</v>
      </c>
      <c r="D2967" s="195">
        <v>50.4</v>
      </c>
      <c r="E2967" s="705">
        <f t="shared" si="94"/>
        <v>10.222222222222221</v>
      </c>
    </row>
    <row r="2968" spans="2:5">
      <c r="B2968" s="943">
        <v>45046</v>
      </c>
      <c r="C2968" s="195">
        <f t="shared" si="93"/>
        <v>4</v>
      </c>
      <c r="D2968" s="195">
        <v>50.9</v>
      </c>
      <c r="E2968" s="705">
        <f t="shared" si="94"/>
        <v>10.499999999999998</v>
      </c>
    </row>
    <row r="2969" spans="2:5">
      <c r="B2969" s="943">
        <v>45046</v>
      </c>
      <c r="C2969" s="195">
        <f t="shared" si="93"/>
        <v>4</v>
      </c>
      <c r="D2969" s="195">
        <v>50.9</v>
      </c>
      <c r="E2969" s="705">
        <f t="shared" si="94"/>
        <v>10.499999999999998</v>
      </c>
    </row>
    <row r="2970" spans="2:5">
      <c r="B2970" s="943">
        <v>45046</v>
      </c>
      <c r="C2970" s="195">
        <f t="shared" si="93"/>
        <v>4</v>
      </c>
      <c r="D2970" s="195">
        <v>50.5</v>
      </c>
      <c r="E2970" s="705">
        <f t="shared" si="94"/>
        <v>10.277777777777777</v>
      </c>
    </row>
    <row r="2971" spans="2:5">
      <c r="B2971" s="943">
        <v>45046</v>
      </c>
      <c r="C2971" s="195">
        <f t="shared" si="93"/>
        <v>4</v>
      </c>
      <c r="D2971" s="195">
        <v>49.5</v>
      </c>
      <c r="E2971" s="705">
        <f t="shared" si="94"/>
        <v>9.7222222222222214</v>
      </c>
    </row>
    <row r="2972" spans="2:5">
      <c r="B2972" s="943">
        <v>45046</v>
      </c>
      <c r="C2972" s="195">
        <f t="shared" si="93"/>
        <v>4</v>
      </c>
      <c r="D2972" s="195">
        <v>48.9</v>
      </c>
      <c r="E2972" s="705">
        <f t="shared" si="94"/>
        <v>9.3888888888888875</v>
      </c>
    </row>
    <row r="2973" spans="2:5">
      <c r="B2973" s="943">
        <v>45046</v>
      </c>
      <c r="C2973" s="195">
        <f t="shared" si="93"/>
        <v>4</v>
      </c>
      <c r="D2973" s="195">
        <v>48.9</v>
      </c>
      <c r="E2973" s="705">
        <f t="shared" si="94"/>
        <v>9.3888888888888875</v>
      </c>
    </row>
    <row r="2974" spans="2:5">
      <c r="B2974" s="943">
        <v>45046</v>
      </c>
      <c r="C2974" s="195">
        <f t="shared" si="93"/>
        <v>4</v>
      </c>
      <c r="D2974" s="195">
        <v>48.7</v>
      </c>
      <c r="E2974" s="705">
        <f t="shared" si="94"/>
        <v>9.2777777777777786</v>
      </c>
    </row>
    <row r="2975" spans="2:5">
      <c r="B2975" s="943">
        <v>45046</v>
      </c>
      <c r="C2975" s="195">
        <f t="shared" si="93"/>
        <v>4</v>
      </c>
      <c r="D2975" s="195">
        <v>48.6</v>
      </c>
      <c r="E2975" s="705">
        <f t="shared" si="94"/>
        <v>9.2222222222222232</v>
      </c>
    </row>
    <row r="2976" spans="2:5">
      <c r="B2976" s="943">
        <v>45046</v>
      </c>
      <c r="C2976" s="195">
        <f t="shared" si="93"/>
        <v>4</v>
      </c>
      <c r="D2976" s="195">
        <v>48.7</v>
      </c>
      <c r="E2976" s="705">
        <f t="shared" si="94"/>
        <v>9.2777777777777786</v>
      </c>
    </row>
    <row r="2977" spans="2:5">
      <c r="B2977" s="943">
        <v>45046</v>
      </c>
      <c r="C2977" s="195">
        <f t="shared" si="93"/>
        <v>4</v>
      </c>
      <c r="D2977" s="195">
        <v>48.9</v>
      </c>
      <c r="E2977" s="705">
        <f t="shared" si="94"/>
        <v>9.3888888888888875</v>
      </c>
    </row>
    <row r="2978" spans="2:5">
      <c r="B2978" s="943">
        <v>45046</v>
      </c>
      <c r="C2978" s="195">
        <f t="shared" si="93"/>
        <v>4</v>
      </c>
      <c r="D2978" s="195">
        <v>49.5</v>
      </c>
      <c r="E2978" s="705">
        <f t="shared" si="94"/>
        <v>9.7222222222222214</v>
      </c>
    </row>
    <row r="2979" spans="2:5">
      <c r="B2979" s="943">
        <v>45046</v>
      </c>
      <c r="C2979" s="195">
        <f t="shared" si="93"/>
        <v>4</v>
      </c>
      <c r="D2979" s="195">
        <v>50.4</v>
      </c>
      <c r="E2979" s="705">
        <f t="shared" si="94"/>
        <v>10.222222222222221</v>
      </c>
    </row>
    <row r="2980" spans="2:5">
      <c r="B2980" s="943">
        <v>45046</v>
      </c>
      <c r="C2980" s="195">
        <f t="shared" si="93"/>
        <v>4</v>
      </c>
      <c r="D2980" s="195">
        <v>50.9</v>
      </c>
      <c r="E2980" s="705">
        <f t="shared" si="94"/>
        <v>10.499999999999998</v>
      </c>
    </row>
    <row r="2981" spans="2:5">
      <c r="B2981" s="943">
        <v>45046</v>
      </c>
      <c r="C2981" s="195">
        <f t="shared" si="93"/>
        <v>4</v>
      </c>
      <c r="D2981" s="195">
        <v>51.1</v>
      </c>
      <c r="E2981" s="705">
        <f t="shared" si="94"/>
        <v>10.611111111111112</v>
      </c>
    </row>
    <row r="2982" spans="2:5">
      <c r="B2982" s="943">
        <v>45046</v>
      </c>
      <c r="C2982" s="195">
        <f t="shared" si="93"/>
        <v>4</v>
      </c>
      <c r="D2982" s="195">
        <v>51.1</v>
      </c>
      <c r="E2982" s="705">
        <f t="shared" si="94"/>
        <v>10.611111111111112</v>
      </c>
    </row>
    <row r="2983" spans="2:5">
      <c r="B2983" s="943">
        <v>45046</v>
      </c>
      <c r="C2983" s="195">
        <f t="shared" si="93"/>
        <v>4</v>
      </c>
      <c r="D2983" s="195">
        <v>50.2</v>
      </c>
      <c r="E2983" s="705">
        <f t="shared" si="94"/>
        <v>10.111111111111112</v>
      </c>
    </row>
    <row r="2984" spans="2:5">
      <c r="B2984" s="943">
        <v>45046</v>
      </c>
      <c r="C2984" s="195">
        <f t="shared" si="93"/>
        <v>4</v>
      </c>
      <c r="D2984" s="195">
        <v>49.6</v>
      </c>
      <c r="E2984" s="705">
        <f t="shared" si="94"/>
        <v>9.7777777777777786</v>
      </c>
    </row>
    <row r="2985" spans="2:5">
      <c r="B2985" s="943">
        <v>45047</v>
      </c>
      <c r="C2985" s="195">
        <f t="shared" si="93"/>
        <v>5</v>
      </c>
      <c r="D2985" s="195">
        <v>49.5</v>
      </c>
      <c r="E2985" s="705">
        <f t="shared" si="94"/>
        <v>9.7222222222222214</v>
      </c>
    </row>
    <row r="2986" spans="2:5">
      <c r="B2986" s="943">
        <v>45047</v>
      </c>
      <c r="C2986" s="195">
        <f t="shared" si="93"/>
        <v>5</v>
      </c>
      <c r="D2986" s="195">
        <v>49.3</v>
      </c>
      <c r="E2986" s="705">
        <f t="shared" si="94"/>
        <v>9.6111111111111089</v>
      </c>
    </row>
    <row r="2987" spans="2:5">
      <c r="B2987" s="943">
        <v>45047</v>
      </c>
      <c r="C2987" s="195">
        <f t="shared" si="93"/>
        <v>5</v>
      </c>
      <c r="D2987" s="195">
        <v>49.3</v>
      </c>
      <c r="E2987" s="705">
        <f t="shared" si="94"/>
        <v>9.6111111111111089</v>
      </c>
    </row>
    <row r="2988" spans="2:5">
      <c r="B2988" s="943">
        <v>45047</v>
      </c>
      <c r="C2988" s="195">
        <f t="shared" si="93"/>
        <v>5</v>
      </c>
      <c r="D2988" s="195">
        <v>49.1</v>
      </c>
      <c r="E2988" s="705">
        <f t="shared" si="94"/>
        <v>9.5</v>
      </c>
    </row>
    <row r="2989" spans="2:5">
      <c r="B2989" s="943">
        <v>45047</v>
      </c>
      <c r="C2989" s="195">
        <f t="shared" si="93"/>
        <v>5</v>
      </c>
      <c r="D2989" s="195">
        <v>49.3</v>
      </c>
      <c r="E2989" s="705">
        <f t="shared" si="94"/>
        <v>9.6111111111111089</v>
      </c>
    </row>
    <row r="2990" spans="2:5">
      <c r="B2990" s="943">
        <v>45047</v>
      </c>
      <c r="C2990" s="195">
        <f t="shared" si="93"/>
        <v>5</v>
      </c>
      <c r="D2990" s="195">
        <v>49.5</v>
      </c>
      <c r="E2990" s="705">
        <f t="shared" si="94"/>
        <v>9.7222222222222214</v>
      </c>
    </row>
    <row r="2991" spans="2:5">
      <c r="B2991" s="943">
        <v>45047</v>
      </c>
      <c r="C2991" s="195">
        <f t="shared" si="93"/>
        <v>5</v>
      </c>
      <c r="D2991" s="195">
        <v>49.8</v>
      </c>
      <c r="E2991" s="705">
        <f t="shared" si="94"/>
        <v>9.8888888888888875</v>
      </c>
    </row>
    <row r="2992" spans="2:5">
      <c r="B2992" s="943">
        <v>45047</v>
      </c>
      <c r="C2992" s="195">
        <f t="shared" si="93"/>
        <v>5</v>
      </c>
      <c r="D2992" s="195">
        <v>50.2</v>
      </c>
      <c r="E2992" s="705">
        <f t="shared" si="94"/>
        <v>10.111111111111112</v>
      </c>
    </row>
    <row r="2993" spans="2:5">
      <c r="B2993" s="943">
        <v>45047</v>
      </c>
      <c r="C2993" s="195">
        <f t="shared" si="93"/>
        <v>5</v>
      </c>
      <c r="D2993" s="195">
        <v>50.7</v>
      </c>
      <c r="E2993" s="705">
        <f t="shared" si="94"/>
        <v>10.388888888888891</v>
      </c>
    </row>
    <row r="2994" spans="2:5">
      <c r="B2994" s="943">
        <v>45047</v>
      </c>
      <c r="C2994" s="195">
        <f t="shared" si="93"/>
        <v>5</v>
      </c>
      <c r="D2994" s="195">
        <v>50.7</v>
      </c>
      <c r="E2994" s="705">
        <f t="shared" si="94"/>
        <v>10.388888888888891</v>
      </c>
    </row>
    <row r="2995" spans="2:5">
      <c r="B2995" s="943">
        <v>45047</v>
      </c>
      <c r="C2995" s="195">
        <f t="shared" si="93"/>
        <v>5</v>
      </c>
      <c r="D2995" s="195">
        <v>50.4</v>
      </c>
      <c r="E2995" s="705">
        <f t="shared" si="94"/>
        <v>10.222222222222221</v>
      </c>
    </row>
    <row r="2996" spans="2:5">
      <c r="B2996" s="943">
        <v>45047</v>
      </c>
      <c r="C2996" s="195">
        <f t="shared" si="93"/>
        <v>5</v>
      </c>
      <c r="D2996" s="195">
        <v>49.8</v>
      </c>
      <c r="E2996" s="705">
        <f t="shared" si="94"/>
        <v>9.8888888888888875</v>
      </c>
    </row>
    <row r="2997" spans="2:5">
      <c r="B2997" s="943">
        <v>45047</v>
      </c>
      <c r="C2997" s="195">
        <f t="shared" si="93"/>
        <v>5</v>
      </c>
      <c r="D2997" s="195">
        <v>49.6</v>
      </c>
      <c r="E2997" s="705">
        <f t="shared" si="94"/>
        <v>9.7777777777777786</v>
      </c>
    </row>
    <row r="2998" spans="2:5">
      <c r="B2998" s="943">
        <v>45047</v>
      </c>
      <c r="C2998" s="195">
        <f t="shared" si="93"/>
        <v>5</v>
      </c>
      <c r="D2998" s="195">
        <v>49.3</v>
      </c>
      <c r="E2998" s="705">
        <f t="shared" si="94"/>
        <v>9.6111111111111089</v>
      </c>
    </row>
    <row r="2999" spans="2:5">
      <c r="B2999" s="943">
        <v>45047</v>
      </c>
      <c r="C2999" s="195">
        <f t="shared" si="93"/>
        <v>5</v>
      </c>
      <c r="D2999" s="195">
        <v>48.9</v>
      </c>
      <c r="E2999" s="705">
        <f t="shared" si="94"/>
        <v>9.3888888888888875</v>
      </c>
    </row>
    <row r="3000" spans="2:5">
      <c r="B3000" s="943">
        <v>45047</v>
      </c>
      <c r="C3000" s="195">
        <f t="shared" si="93"/>
        <v>5</v>
      </c>
      <c r="D3000" s="195">
        <v>49.6</v>
      </c>
      <c r="E3000" s="705">
        <f t="shared" si="94"/>
        <v>9.7777777777777786</v>
      </c>
    </row>
    <row r="3001" spans="2:5">
      <c r="B3001" s="943">
        <v>45047</v>
      </c>
      <c r="C3001" s="195">
        <f t="shared" si="93"/>
        <v>5</v>
      </c>
      <c r="D3001" s="195">
        <v>49.5</v>
      </c>
      <c r="E3001" s="705">
        <f t="shared" si="94"/>
        <v>9.7222222222222214</v>
      </c>
    </row>
    <row r="3002" spans="2:5">
      <c r="B3002" s="943">
        <v>45047</v>
      </c>
      <c r="C3002" s="195">
        <f t="shared" si="93"/>
        <v>5</v>
      </c>
      <c r="D3002" s="195">
        <v>50.2</v>
      </c>
      <c r="E3002" s="705">
        <f t="shared" si="94"/>
        <v>10.111111111111112</v>
      </c>
    </row>
    <row r="3003" spans="2:5">
      <c r="B3003" s="943">
        <v>45047</v>
      </c>
      <c r="C3003" s="195">
        <f t="shared" si="93"/>
        <v>5</v>
      </c>
      <c r="D3003" s="195">
        <v>51.1</v>
      </c>
      <c r="E3003" s="705">
        <f t="shared" si="94"/>
        <v>10.611111111111112</v>
      </c>
    </row>
    <row r="3004" spans="2:5">
      <c r="B3004" s="943">
        <v>45047</v>
      </c>
      <c r="C3004" s="195">
        <f t="shared" si="93"/>
        <v>5</v>
      </c>
      <c r="D3004" s="195">
        <v>51.8</v>
      </c>
      <c r="E3004" s="705">
        <f t="shared" si="94"/>
        <v>10.999999999999998</v>
      </c>
    </row>
    <row r="3005" spans="2:5">
      <c r="B3005" s="943">
        <v>45047</v>
      </c>
      <c r="C3005" s="195">
        <f t="shared" si="93"/>
        <v>5</v>
      </c>
      <c r="D3005" s="195">
        <v>52.2</v>
      </c>
      <c r="E3005" s="705">
        <f t="shared" si="94"/>
        <v>11.222222222222223</v>
      </c>
    </row>
    <row r="3006" spans="2:5">
      <c r="B3006" s="943">
        <v>45047</v>
      </c>
      <c r="C3006" s="195">
        <f t="shared" si="93"/>
        <v>5</v>
      </c>
      <c r="D3006" s="195">
        <v>52.3</v>
      </c>
      <c r="E3006" s="705">
        <f t="shared" si="94"/>
        <v>11.277777777777777</v>
      </c>
    </row>
    <row r="3007" spans="2:5">
      <c r="B3007" s="943">
        <v>45047</v>
      </c>
      <c r="C3007" s="195">
        <f t="shared" si="93"/>
        <v>5</v>
      </c>
      <c r="D3007" s="195">
        <v>52.3</v>
      </c>
      <c r="E3007" s="705">
        <f t="shared" si="94"/>
        <v>11.277777777777777</v>
      </c>
    </row>
    <row r="3008" spans="2:5">
      <c r="B3008" s="943">
        <v>45047</v>
      </c>
      <c r="C3008" s="195">
        <f t="shared" si="93"/>
        <v>5</v>
      </c>
      <c r="D3008" s="195">
        <v>50.9</v>
      </c>
      <c r="E3008" s="705">
        <f t="shared" si="94"/>
        <v>10.499999999999998</v>
      </c>
    </row>
    <row r="3009" spans="2:5">
      <c r="B3009" s="943">
        <v>45048</v>
      </c>
      <c r="C3009" s="195">
        <f t="shared" si="93"/>
        <v>5</v>
      </c>
      <c r="D3009" s="195">
        <v>49.3</v>
      </c>
      <c r="E3009" s="705">
        <f t="shared" si="94"/>
        <v>9.6111111111111089</v>
      </c>
    </row>
    <row r="3010" spans="2:5">
      <c r="B3010" s="943">
        <v>45048</v>
      </c>
      <c r="C3010" s="195">
        <f t="shared" si="93"/>
        <v>5</v>
      </c>
      <c r="D3010" s="195">
        <v>47.8</v>
      </c>
      <c r="E3010" s="705">
        <f t="shared" si="94"/>
        <v>8.7777777777777768</v>
      </c>
    </row>
    <row r="3011" spans="2:5">
      <c r="B3011" s="943">
        <v>45048</v>
      </c>
      <c r="C3011" s="195">
        <f t="shared" si="93"/>
        <v>5</v>
      </c>
      <c r="D3011" s="195">
        <v>48.2</v>
      </c>
      <c r="E3011" s="705">
        <f t="shared" si="94"/>
        <v>9.0000000000000018</v>
      </c>
    </row>
    <row r="3012" spans="2:5">
      <c r="B3012" s="943">
        <v>45048</v>
      </c>
      <c r="C3012" s="195">
        <f t="shared" si="93"/>
        <v>5</v>
      </c>
      <c r="D3012" s="195">
        <v>47.1</v>
      </c>
      <c r="E3012" s="705">
        <f t="shared" si="94"/>
        <v>8.3888888888888893</v>
      </c>
    </row>
    <row r="3013" spans="2:5">
      <c r="B3013" s="943">
        <v>45048</v>
      </c>
      <c r="C3013" s="195">
        <f t="shared" si="93"/>
        <v>5</v>
      </c>
      <c r="D3013" s="195">
        <v>47.5</v>
      </c>
      <c r="E3013" s="705">
        <f t="shared" si="94"/>
        <v>8.6111111111111107</v>
      </c>
    </row>
    <row r="3014" spans="2:5">
      <c r="B3014" s="943">
        <v>45048</v>
      </c>
      <c r="C3014" s="195">
        <f t="shared" si="93"/>
        <v>5</v>
      </c>
      <c r="D3014" s="195">
        <v>48.4</v>
      </c>
      <c r="E3014" s="705">
        <f t="shared" si="94"/>
        <v>9.1111111111111107</v>
      </c>
    </row>
    <row r="3015" spans="2:5">
      <c r="B3015" s="943">
        <v>45048</v>
      </c>
      <c r="C3015" s="195">
        <f t="shared" si="93"/>
        <v>5</v>
      </c>
      <c r="D3015" s="195">
        <v>50.2</v>
      </c>
      <c r="E3015" s="705">
        <f t="shared" si="94"/>
        <v>10.111111111111112</v>
      </c>
    </row>
    <row r="3016" spans="2:5">
      <c r="B3016" s="943">
        <v>45048</v>
      </c>
      <c r="C3016" s="195">
        <f t="shared" si="93"/>
        <v>5</v>
      </c>
      <c r="D3016" s="195">
        <v>51.3</v>
      </c>
      <c r="E3016" s="705">
        <f t="shared" si="94"/>
        <v>10.72222222222222</v>
      </c>
    </row>
    <row r="3017" spans="2:5">
      <c r="B3017" s="943">
        <v>45048</v>
      </c>
      <c r="C3017" s="195">
        <f t="shared" si="93"/>
        <v>5</v>
      </c>
      <c r="D3017" s="195" t="s">
        <v>1437</v>
      </c>
      <c r="E3017" s="705">
        <f t="shared" si="94"/>
        <v>11.111111111111111</v>
      </c>
    </row>
    <row r="3018" spans="2:5">
      <c r="B3018" s="943">
        <v>45048</v>
      </c>
      <c r="C3018" s="195">
        <f t="shared" ref="C3018:C3081" si="95">MONTH(B3018)</f>
        <v>5</v>
      </c>
      <c r="D3018" s="195">
        <v>52.2</v>
      </c>
      <c r="E3018" s="705">
        <f t="shared" ref="E3018:E3081" si="96">CONVERT(D3018,"F","C")</f>
        <v>11.222222222222223</v>
      </c>
    </row>
    <row r="3019" spans="2:5">
      <c r="B3019" s="943">
        <v>45048</v>
      </c>
      <c r="C3019" s="195">
        <f t="shared" si="95"/>
        <v>5</v>
      </c>
      <c r="D3019" s="195">
        <v>52.3</v>
      </c>
      <c r="E3019" s="705">
        <f t="shared" si="96"/>
        <v>11.277777777777777</v>
      </c>
    </row>
    <row r="3020" spans="2:5">
      <c r="B3020" s="943">
        <v>45048</v>
      </c>
      <c r="C3020" s="195">
        <f t="shared" si="95"/>
        <v>5</v>
      </c>
      <c r="D3020" s="195" t="s">
        <v>1437</v>
      </c>
      <c r="E3020" s="705">
        <f t="shared" si="96"/>
        <v>11.111111111111111</v>
      </c>
    </row>
    <row r="3021" spans="2:5">
      <c r="B3021" s="943">
        <v>45048</v>
      </c>
      <c r="C3021" s="195">
        <f t="shared" si="95"/>
        <v>5</v>
      </c>
      <c r="D3021" s="195">
        <v>49.3</v>
      </c>
      <c r="E3021" s="705">
        <f t="shared" si="96"/>
        <v>9.6111111111111089</v>
      </c>
    </row>
    <row r="3022" spans="2:5">
      <c r="B3022" s="943">
        <v>45048</v>
      </c>
      <c r="C3022" s="195">
        <f t="shared" si="95"/>
        <v>5</v>
      </c>
      <c r="D3022" s="195">
        <v>47.5</v>
      </c>
      <c r="E3022" s="705">
        <f t="shared" si="96"/>
        <v>8.6111111111111107</v>
      </c>
    </row>
    <row r="3023" spans="2:5">
      <c r="B3023" s="943">
        <v>45048</v>
      </c>
      <c r="C3023" s="195">
        <f t="shared" si="95"/>
        <v>5</v>
      </c>
      <c r="D3023" s="195">
        <v>47.8</v>
      </c>
      <c r="E3023" s="705">
        <f t="shared" si="96"/>
        <v>8.7777777777777768</v>
      </c>
    </row>
    <row r="3024" spans="2:5">
      <c r="B3024" s="943">
        <v>45048</v>
      </c>
      <c r="C3024" s="195">
        <f t="shared" si="95"/>
        <v>5</v>
      </c>
      <c r="D3024" s="195">
        <v>47.1</v>
      </c>
      <c r="E3024" s="705">
        <f t="shared" si="96"/>
        <v>8.3888888888888893</v>
      </c>
    </row>
    <row r="3025" spans="2:5">
      <c r="B3025" s="943">
        <v>45048</v>
      </c>
      <c r="C3025" s="195">
        <f t="shared" si="95"/>
        <v>5</v>
      </c>
      <c r="D3025" s="195">
        <v>49.1</v>
      </c>
      <c r="E3025" s="705">
        <f t="shared" si="96"/>
        <v>9.5</v>
      </c>
    </row>
    <row r="3026" spans="2:5">
      <c r="B3026" s="943">
        <v>45048</v>
      </c>
      <c r="C3026" s="195">
        <f t="shared" si="95"/>
        <v>5</v>
      </c>
      <c r="D3026" s="195" t="s">
        <v>1435</v>
      </c>
      <c r="E3026" s="705">
        <f t="shared" si="96"/>
        <v>8.8888888888888893</v>
      </c>
    </row>
    <row r="3027" spans="2:5">
      <c r="B3027" s="943">
        <v>45048</v>
      </c>
      <c r="C3027" s="195">
        <f t="shared" si="95"/>
        <v>5</v>
      </c>
      <c r="D3027" s="195">
        <v>49.3</v>
      </c>
      <c r="E3027" s="705">
        <f t="shared" si="96"/>
        <v>9.6111111111111089</v>
      </c>
    </row>
    <row r="3028" spans="2:5">
      <c r="B3028" s="943">
        <v>45048</v>
      </c>
      <c r="C3028" s="195">
        <f t="shared" si="95"/>
        <v>5</v>
      </c>
      <c r="D3028" s="195">
        <v>50.7</v>
      </c>
      <c r="E3028" s="705">
        <f t="shared" si="96"/>
        <v>10.388888888888891</v>
      </c>
    </row>
    <row r="3029" spans="2:5">
      <c r="B3029" s="943">
        <v>45048</v>
      </c>
      <c r="C3029" s="195">
        <f t="shared" si="95"/>
        <v>5</v>
      </c>
      <c r="D3029" s="195">
        <v>51.6</v>
      </c>
      <c r="E3029" s="705">
        <f t="shared" si="96"/>
        <v>10.888888888888889</v>
      </c>
    </row>
    <row r="3030" spans="2:5">
      <c r="B3030" s="943">
        <v>45048</v>
      </c>
      <c r="C3030" s="195">
        <f t="shared" si="95"/>
        <v>5</v>
      </c>
      <c r="D3030" s="195">
        <v>52.2</v>
      </c>
      <c r="E3030" s="705">
        <f t="shared" si="96"/>
        <v>11.222222222222223</v>
      </c>
    </row>
    <row r="3031" spans="2:5">
      <c r="B3031" s="943">
        <v>45048</v>
      </c>
      <c r="C3031" s="195">
        <f t="shared" si="95"/>
        <v>5</v>
      </c>
      <c r="D3031" s="195">
        <v>52.3</v>
      </c>
      <c r="E3031" s="705">
        <f t="shared" si="96"/>
        <v>11.277777777777777</v>
      </c>
    </row>
    <row r="3032" spans="2:5">
      <c r="B3032" s="943">
        <v>45048</v>
      </c>
      <c r="C3032" s="195">
        <f t="shared" si="95"/>
        <v>5</v>
      </c>
      <c r="D3032" s="195">
        <v>51.8</v>
      </c>
      <c r="E3032" s="705">
        <f t="shared" si="96"/>
        <v>10.999999999999998</v>
      </c>
    </row>
    <row r="3033" spans="2:5">
      <c r="B3033" s="943">
        <v>45049</v>
      </c>
      <c r="C3033" s="195">
        <f t="shared" si="95"/>
        <v>5</v>
      </c>
      <c r="D3033" s="195">
        <v>49.6</v>
      </c>
      <c r="E3033" s="705">
        <f t="shared" si="96"/>
        <v>9.7777777777777786</v>
      </c>
    </row>
    <row r="3034" spans="2:5">
      <c r="B3034" s="943">
        <v>45049</v>
      </c>
      <c r="C3034" s="195">
        <f t="shared" si="95"/>
        <v>5</v>
      </c>
      <c r="D3034" s="195">
        <v>47.5</v>
      </c>
      <c r="E3034" s="705">
        <f t="shared" si="96"/>
        <v>8.6111111111111107</v>
      </c>
    </row>
    <row r="3035" spans="2:5">
      <c r="B3035" s="943">
        <v>45049</v>
      </c>
      <c r="C3035" s="195">
        <f t="shared" si="95"/>
        <v>5</v>
      </c>
      <c r="D3035" s="195">
        <v>46.9</v>
      </c>
      <c r="E3035" s="705">
        <f t="shared" si="96"/>
        <v>8.2777777777777768</v>
      </c>
    </row>
    <row r="3036" spans="2:5">
      <c r="B3036" s="943">
        <v>45049</v>
      </c>
      <c r="C3036" s="195">
        <f t="shared" si="95"/>
        <v>5</v>
      </c>
      <c r="D3036" s="195">
        <v>46.9</v>
      </c>
      <c r="E3036" s="705">
        <f t="shared" si="96"/>
        <v>8.2777777777777768</v>
      </c>
    </row>
    <row r="3037" spans="2:5">
      <c r="B3037" s="943">
        <v>45049</v>
      </c>
      <c r="C3037" s="195">
        <f t="shared" si="95"/>
        <v>5</v>
      </c>
      <c r="D3037" s="195">
        <v>48.2</v>
      </c>
      <c r="E3037" s="705">
        <f t="shared" si="96"/>
        <v>9.0000000000000018</v>
      </c>
    </row>
    <row r="3038" spans="2:5">
      <c r="B3038" s="943">
        <v>45049</v>
      </c>
      <c r="C3038" s="195">
        <f t="shared" si="95"/>
        <v>5</v>
      </c>
      <c r="D3038" s="195">
        <v>48.2</v>
      </c>
      <c r="E3038" s="705">
        <f t="shared" si="96"/>
        <v>9.0000000000000018</v>
      </c>
    </row>
    <row r="3039" spans="2:5">
      <c r="B3039" s="943">
        <v>45049</v>
      </c>
      <c r="C3039" s="195">
        <f t="shared" si="95"/>
        <v>5</v>
      </c>
      <c r="D3039" s="195">
        <v>48.2</v>
      </c>
      <c r="E3039" s="705">
        <f t="shared" si="96"/>
        <v>9.0000000000000018</v>
      </c>
    </row>
    <row r="3040" spans="2:5">
      <c r="B3040" s="943">
        <v>45049</v>
      </c>
      <c r="C3040" s="195">
        <f t="shared" si="95"/>
        <v>5</v>
      </c>
      <c r="D3040" s="195">
        <v>49.8</v>
      </c>
      <c r="E3040" s="705">
        <f t="shared" si="96"/>
        <v>9.8888888888888875</v>
      </c>
    </row>
    <row r="3041" spans="2:5">
      <c r="B3041" s="943">
        <v>45049</v>
      </c>
      <c r="C3041" s="195">
        <f t="shared" si="95"/>
        <v>5</v>
      </c>
      <c r="D3041" s="195">
        <v>50.9</v>
      </c>
      <c r="E3041" s="705">
        <f t="shared" si="96"/>
        <v>10.499999999999998</v>
      </c>
    </row>
    <row r="3042" spans="2:5">
      <c r="B3042" s="943">
        <v>45049</v>
      </c>
      <c r="C3042" s="195">
        <f t="shared" si="95"/>
        <v>5</v>
      </c>
      <c r="D3042" s="195">
        <v>51.6</v>
      </c>
      <c r="E3042" s="705">
        <f t="shared" si="96"/>
        <v>10.888888888888889</v>
      </c>
    </row>
    <row r="3043" spans="2:5">
      <c r="B3043" s="943">
        <v>45049</v>
      </c>
      <c r="C3043" s="195">
        <f t="shared" si="95"/>
        <v>5</v>
      </c>
      <c r="D3043" s="195">
        <v>51.8</v>
      </c>
      <c r="E3043" s="705">
        <f t="shared" si="96"/>
        <v>10.999999999999998</v>
      </c>
    </row>
    <row r="3044" spans="2:5">
      <c r="B3044" s="943">
        <v>45049</v>
      </c>
      <c r="C3044" s="195">
        <f t="shared" si="95"/>
        <v>5</v>
      </c>
      <c r="D3044" s="195" t="s">
        <v>1437</v>
      </c>
      <c r="E3044" s="705">
        <f t="shared" si="96"/>
        <v>11.111111111111111</v>
      </c>
    </row>
    <row r="3045" spans="2:5">
      <c r="B3045" s="943">
        <v>45049</v>
      </c>
      <c r="C3045" s="195">
        <f t="shared" si="95"/>
        <v>5</v>
      </c>
      <c r="D3045" s="195">
        <v>51.3</v>
      </c>
      <c r="E3045" s="705">
        <f t="shared" si="96"/>
        <v>10.72222222222222</v>
      </c>
    </row>
    <row r="3046" spans="2:5">
      <c r="B3046" s="943">
        <v>45049</v>
      </c>
      <c r="C3046" s="195">
        <f t="shared" si="95"/>
        <v>5</v>
      </c>
      <c r="D3046" s="195">
        <v>47.3</v>
      </c>
      <c r="E3046" s="705">
        <f t="shared" si="96"/>
        <v>8.4999999999999982</v>
      </c>
    </row>
    <row r="3047" spans="2:5">
      <c r="B3047" s="943">
        <v>45049</v>
      </c>
      <c r="C3047" s="195">
        <f t="shared" si="95"/>
        <v>5</v>
      </c>
      <c r="D3047" s="195">
        <v>46.6</v>
      </c>
      <c r="E3047" s="705">
        <f t="shared" si="96"/>
        <v>8.1111111111111125</v>
      </c>
    </row>
    <row r="3048" spans="2:5">
      <c r="B3048" s="943">
        <v>45049</v>
      </c>
      <c r="C3048" s="195">
        <f t="shared" si="95"/>
        <v>5</v>
      </c>
      <c r="D3048" s="195">
        <v>46.6</v>
      </c>
      <c r="E3048" s="705">
        <f t="shared" si="96"/>
        <v>8.1111111111111125</v>
      </c>
    </row>
    <row r="3049" spans="2:5">
      <c r="B3049" s="943">
        <v>45049</v>
      </c>
      <c r="C3049" s="195">
        <f t="shared" si="95"/>
        <v>5</v>
      </c>
      <c r="D3049" s="195">
        <v>46.9</v>
      </c>
      <c r="E3049" s="705">
        <f t="shared" si="96"/>
        <v>8.2777777777777768</v>
      </c>
    </row>
    <row r="3050" spans="2:5">
      <c r="B3050" s="943">
        <v>45049</v>
      </c>
      <c r="C3050" s="195">
        <f t="shared" si="95"/>
        <v>5</v>
      </c>
      <c r="D3050" s="195">
        <v>47.1</v>
      </c>
      <c r="E3050" s="705">
        <f t="shared" si="96"/>
        <v>8.3888888888888893</v>
      </c>
    </row>
    <row r="3051" spans="2:5">
      <c r="B3051" s="943">
        <v>45049</v>
      </c>
      <c r="C3051" s="195">
        <f t="shared" si="95"/>
        <v>5</v>
      </c>
      <c r="D3051" s="195">
        <v>47.3</v>
      </c>
      <c r="E3051" s="705">
        <f t="shared" si="96"/>
        <v>8.4999999999999982</v>
      </c>
    </row>
    <row r="3052" spans="2:5">
      <c r="B3052" s="943">
        <v>45049</v>
      </c>
      <c r="C3052" s="195">
        <f t="shared" si="95"/>
        <v>5</v>
      </c>
      <c r="D3052" s="195">
        <v>48.7</v>
      </c>
      <c r="E3052" s="705">
        <f t="shared" si="96"/>
        <v>9.2777777777777786</v>
      </c>
    </row>
    <row r="3053" spans="2:5">
      <c r="B3053" s="943">
        <v>45049</v>
      </c>
      <c r="C3053" s="195">
        <f t="shared" si="95"/>
        <v>5</v>
      </c>
      <c r="D3053" s="195">
        <v>50.2</v>
      </c>
      <c r="E3053" s="705">
        <f t="shared" si="96"/>
        <v>10.111111111111112</v>
      </c>
    </row>
    <row r="3054" spans="2:5">
      <c r="B3054" s="943">
        <v>45049</v>
      </c>
      <c r="C3054" s="195">
        <f t="shared" si="95"/>
        <v>5</v>
      </c>
      <c r="D3054" s="195">
        <v>51.3</v>
      </c>
      <c r="E3054" s="705">
        <f t="shared" si="96"/>
        <v>10.72222222222222</v>
      </c>
    </row>
    <row r="3055" spans="2:5">
      <c r="B3055" s="943">
        <v>45049</v>
      </c>
      <c r="C3055" s="195">
        <f t="shared" si="95"/>
        <v>5</v>
      </c>
      <c r="D3055" s="195">
        <v>51.8</v>
      </c>
      <c r="E3055" s="705">
        <f t="shared" si="96"/>
        <v>10.999999999999998</v>
      </c>
    </row>
    <row r="3056" spans="2:5">
      <c r="B3056" s="943">
        <v>45049</v>
      </c>
      <c r="C3056" s="195">
        <f t="shared" si="95"/>
        <v>5</v>
      </c>
      <c r="D3056" s="195">
        <v>51.8</v>
      </c>
      <c r="E3056" s="705">
        <f t="shared" si="96"/>
        <v>10.999999999999998</v>
      </c>
    </row>
    <row r="3057" spans="2:5">
      <c r="B3057" s="943">
        <v>45050</v>
      </c>
      <c r="C3057" s="195">
        <f t="shared" si="95"/>
        <v>5</v>
      </c>
      <c r="D3057" s="195">
        <v>51.3</v>
      </c>
      <c r="E3057" s="705">
        <f t="shared" si="96"/>
        <v>10.72222222222222</v>
      </c>
    </row>
    <row r="3058" spans="2:5">
      <c r="B3058" s="943">
        <v>45050</v>
      </c>
      <c r="C3058" s="195">
        <f t="shared" si="95"/>
        <v>5</v>
      </c>
      <c r="D3058" s="195">
        <v>48.6</v>
      </c>
      <c r="E3058" s="705">
        <f t="shared" si="96"/>
        <v>9.2222222222222232</v>
      </c>
    </row>
    <row r="3059" spans="2:5">
      <c r="B3059" s="943">
        <v>45050</v>
      </c>
      <c r="C3059" s="195">
        <f t="shared" si="95"/>
        <v>5</v>
      </c>
      <c r="D3059" s="195" t="s">
        <v>1435</v>
      </c>
      <c r="E3059" s="705">
        <f t="shared" si="96"/>
        <v>8.8888888888888893</v>
      </c>
    </row>
    <row r="3060" spans="2:5">
      <c r="B3060" s="943">
        <v>45050</v>
      </c>
      <c r="C3060" s="195">
        <f t="shared" si="95"/>
        <v>5</v>
      </c>
      <c r="D3060" s="195">
        <v>47.7</v>
      </c>
      <c r="E3060" s="705">
        <f t="shared" si="96"/>
        <v>8.7222222222222232</v>
      </c>
    </row>
    <row r="3061" spans="2:5">
      <c r="B3061" s="943">
        <v>45050</v>
      </c>
      <c r="C3061" s="195">
        <f t="shared" si="95"/>
        <v>5</v>
      </c>
      <c r="D3061" s="195">
        <v>47.5</v>
      </c>
      <c r="E3061" s="705">
        <f t="shared" si="96"/>
        <v>8.6111111111111107</v>
      </c>
    </row>
    <row r="3062" spans="2:5">
      <c r="B3062" s="943">
        <v>45050</v>
      </c>
      <c r="C3062" s="195">
        <f t="shared" si="95"/>
        <v>5</v>
      </c>
      <c r="D3062" s="195">
        <v>48.2</v>
      </c>
      <c r="E3062" s="705">
        <f t="shared" si="96"/>
        <v>9.0000000000000018</v>
      </c>
    </row>
    <row r="3063" spans="2:5">
      <c r="B3063" s="943">
        <v>45050</v>
      </c>
      <c r="C3063" s="195">
        <f t="shared" si="95"/>
        <v>5</v>
      </c>
      <c r="D3063" s="195">
        <v>47.8</v>
      </c>
      <c r="E3063" s="705">
        <f t="shared" si="96"/>
        <v>8.7777777777777768</v>
      </c>
    </row>
    <row r="3064" spans="2:5">
      <c r="B3064" s="943">
        <v>45050</v>
      </c>
      <c r="C3064" s="195">
        <f t="shared" si="95"/>
        <v>5</v>
      </c>
      <c r="D3064" s="195">
        <v>48.7</v>
      </c>
      <c r="E3064" s="705">
        <f t="shared" si="96"/>
        <v>9.2777777777777786</v>
      </c>
    </row>
    <row r="3065" spans="2:5">
      <c r="B3065" s="943">
        <v>45050</v>
      </c>
      <c r="C3065" s="195">
        <f t="shared" si="95"/>
        <v>5</v>
      </c>
      <c r="D3065" s="195">
        <v>49.6</v>
      </c>
      <c r="E3065" s="705">
        <f t="shared" si="96"/>
        <v>9.7777777777777786</v>
      </c>
    </row>
    <row r="3066" spans="2:5">
      <c r="B3066" s="943">
        <v>45050</v>
      </c>
      <c r="C3066" s="195">
        <f t="shared" si="95"/>
        <v>5</v>
      </c>
      <c r="D3066" s="195">
        <v>50.5</v>
      </c>
      <c r="E3066" s="705">
        <f t="shared" si="96"/>
        <v>10.277777777777777</v>
      </c>
    </row>
    <row r="3067" spans="2:5">
      <c r="B3067" s="943">
        <v>45050</v>
      </c>
      <c r="C3067" s="195">
        <f t="shared" si="95"/>
        <v>5</v>
      </c>
      <c r="D3067" s="195">
        <v>51.1</v>
      </c>
      <c r="E3067" s="705">
        <f t="shared" si="96"/>
        <v>10.611111111111112</v>
      </c>
    </row>
    <row r="3068" spans="2:5">
      <c r="B3068" s="943">
        <v>45050</v>
      </c>
      <c r="C3068" s="195">
        <f t="shared" si="95"/>
        <v>5</v>
      </c>
      <c r="D3068" s="195">
        <v>51.4</v>
      </c>
      <c r="E3068" s="705">
        <f t="shared" si="96"/>
        <v>10.777777777777777</v>
      </c>
    </row>
    <row r="3069" spans="2:5">
      <c r="B3069" s="943">
        <v>45050</v>
      </c>
      <c r="C3069" s="195">
        <f t="shared" si="95"/>
        <v>5</v>
      </c>
      <c r="D3069" s="195">
        <v>51.3</v>
      </c>
      <c r="E3069" s="705">
        <f t="shared" si="96"/>
        <v>10.72222222222222</v>
      </c>
    </row>
    <row r="3070" spans="2:5">
      <c r="B3070" s="943">
        <v>45050</v>
      </c>
      <c r="C3070" s="195">
        <f t="shared" si="95"/>
        <v>5</v>
      </c>
      <c r="D3070" s="195">
        <v>49.3</v>
      </c>
      <c r="E3070" s="705">
        <f t="shared" si="96"/>
        <v>9.6111111111111089</v>
      </c>
    </row>
    <row r="3071" spans="2:5">
      <c r="B3071" s="943">
        <v>45050</v>
      </c>
      <c r="C3071" s="195">
        <f t="shared" si="95"/>
        <v>5</v>
      </c>
      <c r="D3071" s="195" t="s">
        <v>1435</v>
      </c>
      <c r="E3071" s="705">
        <f t="shared" si="96"/>
        <v>8.8888888888888893</v>
      </c>
    </row>
    <row r="3072" spans="2:5">
      <c r="B3072" s="943">
        <v>45050</v>
      </c>
      <c r="C3072" s="195">
        <f t="shared" si="95"/>
        <v>5</v>
      </c>
      <c r="D3072" s="195">
        <v>47.7</v>
      </c>
      <c r="E3072" s="705">
        <f t="shared" si="96"/>
        <v>8.7222222222222232</v>
      </c>
    </row>
    <row r="3073" spans="2:5">
      <c r="B3073" s="943">
        <v>45050</v>
      </c>
      <c r="C3073" s="195">
        <f t="shared" si="95"/>
        <v>5</v>
      </c>
      <c r="D3073" s="195">
        <v>47.5</v>
      </c>
      <c r="E3073" s="705">
        <f t="shared" si="96"/>
        <v>8.6111111111111107</v>
      </c>
    </row>
    <row r="3074" spans="2:5">
      <c r="B3074" s="943">
        <v>45050</v>
      </c>
      <c r="C3074" s="195">
        <f t="shared" si="95"/>
        <v>5</v>
      </c>
      <c r="D3074" s="195">
        <v>47.3</v>
      </c>
      <c r="E3074" s="705">
        <f t="shared" si="96"/>
        <v>8.4999999999999982</v>
      </c>
    </row>
    <row r="3075" spans="2:5">
      <c r="B3075" s="943">
        <v>45050</v>
      </c>
      <c r="C3075" s="195">
        <f t="shared" si="95"/>
        <v>5</v>
      </c>
      <c r="D3075" s="195" t="s">
        <v>1435</v>
      </c>
      <c r="E3075" s="705">
        <f t="shared" si="96"/>
        <v>8.8888888888888893</v>
      </c>
    </row>
    <row r="3076" spans="2:5">
      <c r="B3076" s="943">
        <v>45050</v>
      </c>
      <c r="C3076" s="195">
        <f t="shared" si="95"/>
        <v>5</v>
      </c>
      <c r="D3076" s="195">
        <v>48.2</v>
      </c>
      <c r="E3076" s="705">
        <f t="shared" si="96"/>
        <v>9.0000000000000018</v>
      </c>
    </row>
    <row r="3077" spans="2:5">
      <c r="B3077" s="943">
        <v>45050</v>
      </c>
      <c r="C3077" s="195">
        <f t="shared" si="95"/>
        <v>5</v>
      </c>
      <c r="D3077" s="195">
        <v>49.3</v>
      </c>
      <c r="E3077" s="705">
        <f t="shared" si="96"/>
        <v>9.6111111111111089</v>
      </c>
    </row>
    <row r="3078" spans="2:5">
      <c r="B3078" s="943">
        <v>45050</v>
      </c>
      <c r="C3078" s="195">
        <f t="shared" si="95"/>
        <v>5</v>
      </c>
      <c r="D3078" s="195">
        <v>50.4</v>
      </c>
      <c r="E3078" s="705">
        <f t="shared" si="96"/>
        <v>10.222222222222221</v>
      </c>
    </row>
    <row r="3079" spans="2:5">
      <c r="B3079" s="943">
        <v>45050</v>
      </c>
      <c r="C3079" s="195">
        <f t="shared" si="95"/>
        <v>5</v>
      </c>
      <c r="D3079" s="195">
        <v>50.9</v>
      </c>
      <c r="E3079" s="705">
        <f t="shared" si="96"/>
        <v>10.499999999999998</v>
      </c>
    </row>
    <row r="3080" spans="2:5">
      <c r="B3080" s="943">
        <v>45050</v>
      </c>
      <c r="C3080" s="195">
        <f t="shared" si="95"/>
        <v>5</v>
      </c>
      <c r="D3080" s="195">
        <v>51.3</v>
      </c>
      <c r="E3080" s="705">
        <f t="shared" si="96"/>
        <v>10.72222222222222</v>
      </c>
    </row>
    <row r="3081" spans="2:5">
      <c r="B3081" s="943">
        <v>45051</v>
      </c>
      <c r="C3081" s="195">
        <f t="shared" si="95"/>
        <v>5</v>
      </c>
      <c r="D3081" s="195">
        <v>51.1</v>
      </c>
      <c r="E3081" s="705">
        <f t="shared" si="96"/>
        <v>10.611111111111112</v>
      </c>
    </row>
    <row r="3082" spans="2:5">
      <c r="B3082" s="943">
        <v>45051</v>
      </c>
      <c r="C3082" s="195">
        <f t="shared" ref="C3082:C3145" si="97">MONTH(B3082)</f>
        <v>5</v>
      </c>
      <c r="D3082" s="195">
        <v>48.4</v>
      </c>
      <c r="E3082" s="705">
        <f t="shared" ref="E3082:E3145" si="98">CONVERT(D3082,"F","C")</f>
        <v>9.1111111111111107</v>
      </c>
    </row>
    <row r="3083" spans="2:5">
      <c r="B3083" s="943">
        <v>45051</v>
      </c>
      <c r="C3083" s="195">
        <f t="shared" si="97"/>
        <v>5</v>
      </c>
      <c r="D3083" s="195" t="s">
        <v>1435</v>
      </c>
      <c r="E3083" s="705">
        <f t="shared" si="98"/>
        <v>8.8888888888888893</v>
      </c>
    </row>
    <row r="3084" spans="2:5">
      <c r="B3084" s="943">
        <v>45051</v>
      </c>
      <c r="C3084" s="195">
        <f t="shared" si="97"/>
        <v>5</v>
      </c>
      <c r="D3084" s="195">
        <v>47.8</v>
      </c>
      <c r="E3084" s="705">
        <f t="shared" si="98"/>
        <v>8.7777777777777768</v>
      </c>
    </row>
    <row r="3085" spans="2:5">
      <c r="B3085" s="943">
        <v>45051</v>
      </c>
      <c r="C3085" s="195">
        <f t="shared" si="97"/>
        <v>5</v>
      </c>
      <c r="D3085" s="195">
        <v>47.7</v>
      </c>
      <c r="E3085" s="705">
        <f t="shared" si="98"/>
        <v>8.7222222222222232</v>
      </c>
    </row>
    <row r="3086" spans="2:5">
      <c r="B3086" s="943">
        <v>45051</v>
      </c>
      <c r="C3086" s="195">
        <f t="shared" si="97"/>
        <v>5</v>
      </c>
      <c r="D3086" s="195">
        <v>47.1</v>
      </c>
      <c r="E3086" s="705">
        <f t="shared" si="98"/>
        <v>8.3888888888888893</v>
      </c>
    </row>
    <row r="3087" spans="2:5">
      <c r="B3087" s="943">
        <v>45051</v>
      </c>
      <c r="C3087" s="195">
        <f t="shared" si="97"/>
        <v>5</v>
      </c>
      <c r="D3087" s="195">
        <v>47.7</v>
      </c>
      <c r="E3087" s="705">
        <f t="shared" si="98"/>
        <v>8.7222222222222232</v>
      </c>
    </row>
    <row r="3088" spans="2:5">
      <c r="B3088" s="943">
        <v>45051</v>
      </c>
      <c r="C3088" s="195">
        <f t="shared" si="97"/>
        <v>5</v>
      </c>
      <c r="D3088" s="195">
        <v>47.7</v>
      </c>
      <c r="E3088" s="705">
        <f t="shared" si="98"/>
        <v>8.7222222222222232</v>
      </c>
    </row>
    <row r="3089" spans="2:5">
      <c r="B3089" s="943">
        <v>45051</v>
      </c>
      <c r="C3089" s="195">
        <f t="shared" si="97"/>
        <v>5</v>
      </c>
      <c r="D3089" s="195">
        <v>48.7</v>
      </c>
      <c r="E3089" s="705">
        <f t="shared" si="98"/>
        <v>9.2777777777777786</v>
      </c>
    </row>
    <row r="3090" spans="2:5">
      <c r="B3090" s="943">
        <v>45051</v>
      </c>
      <c r="C3090" s="195">
        <f t="shared" si="97"/>
        <v>5</v>
      </c>
      <c r="D3090" s="195">
        <v>49.8</v>
      </c>
      <c r="E3090" s="705">
        <f t="shared" si="98"/>
        <v>9.8888888888888875</v>
      </c>
    </row>
    <row r="3091" spans="2:5">
      <c r="B3091" s="943">
        <v>45051</v>
      </c>
      <c r="C3091" s="195">
        <f t="shared" si="97"/>
        <v>5</v>
      </c>
      <c r="D3091" s="195" t="s">
        <v>429</v>
      </c>
      <c r="E3091" s="705"/>
    </row>
    <row r="3092" spans="2:5">
      <c r="B3092" s="943">
        <v>45051</v>
      </c>
      <c r="C3092" s="195">
        <f t="shared" si="97"/>
        <v>5</v>
      </c>
      <c r="D3092" s="195">
        <v>50.9</v>
      </c>
      <c r="E3092" s="705">
        <f t="shared" si="98"/>
        <v>10.499999999999998</v>
      </c>
    </row>
    <row r="3093" spans="2:5">
      <c r="B3093" s="943">
        <v>45051</v>
      </c>
      <c r="C3093" s="195">
        <f t="shared" si="97"/>
        <v>5</v>
      </c>
      <c r="D3093" s="195">
        <v>51.1</v>
      </c>
      <c r="E3093" s="705">
        <f t="shared" si="98"/>
        <v>10.611111111111112</v>
      </c>
    </row>
    <row r="3094" spans="2:5">
      <c r="B3094" s="943">
        <v>45051</v>
      </c>
      <c r="C3094" s="195">
        <f t="shared" si="97"/>
        <v>5</v>
      </c>
      <c r="D3094" s="195">
        <v>50.5</v>
      </c>
      <c r="E3094" s="705">
        <f t="shared" si="98"/>
        <v>10.277777777777777</v>
      </c>
    </row>
    <row r="3095" spans="2:5">
      <c r="B3095" s="943">
        <v>45051</v>
      </c>
      <c r="C3095" s="195">
        <f t="shared" si="97"/>
        <v>5</v>
      </c>
      <c r="D3095" s="195">
        <v>48.2</v>
      </c>
      <c r="E3095" s="705">
        <f t="shared" si="98"/>
        <v>9.0000000000000018</v>
      </c>
    </row>
    <row r="3096" spans="2:5">
      <c r="B3096" s="943">
        <v>45051</v>
      </c>
      <c r="C3096" s="195">
        <f t="shared" si="97"/>
        <v>5</v>
      </c>
      <c r="D3096" s="195" t="s">
        <v>1435</v>
      </c>
      <c r="E3096" s="705">
        <f t="shared" si="98"/>
        <v>8.8888888888888893</v>
      </c>
    </row>
    <row r="3097" spans="2:5">
      <c r="B3097" s="943">
        <v>45051</v>
      </c>
      <c r="C3097" s="195">
        <f t="shared" si="97"/>
        <v>5</v>
      </c>
      <c r="D3097" s="195">
        <v>47.8</v>
      </c>
      <c r="E3097" s="705">
        <f t="shared" si="98"/>
        <v>8.7777777777777768</v>
      </c>
    </row>
    <row r="3098" spans="2:5">
      <c r="B3098" s="943">
        <v>45051</v>
      </c>
      <c r="C3098" s="195">
        <f t="shared" si="97"/>
        <v>5</v>
      </c>
      <c r="D3098" s="195">
        <v>47.7</v>
      </c>
      <c r="E3098" s="705">
        <f t="shared" si="98"/>
        <v>8.7222222222222232</v>
      </c>
    </row>
    <row r="3099" spans="2:5">
      <c r="B3099" s="943">
        <v>45051</v>
      </c>
      <c r="C3099" s="195">
        <f t="shared" si="97"/>
        <v>5</v>
      </c>
      <c r="D3099" s="195">
        <v>48.7</v>
      </c>
      <c r="E3099" s="705">
        <f t="shared" si="98"/>
        <v>9.2777777777777786</v>
      </c>
    </row>
    <row r="3100" spans="2:5">
      <c r="B3100" s="943">
        <v>45051</v>
      </c>
      <c r="C3100" s="195">
        <f t="shared" si="97"/>
        <v>5</v>
      </c>
      <c r="D3100" s="195">
        <v>48.6</v>
      </c>
      <c r="E3100" s="705">
        <f t="shared" si="98"/>
        <v>9.2222222222222232</v>
      </c>
    </row>
    <row r="3101" spans="2:5">
      <c r="B3101" s="943">
        <v>45051</v>
      </c>
      <c r="C3101" s="195">
        <f t="shared" si="97"/>
        <v>5</v>
      </c>
      <c r="D3101" s="195">
        <v>48.7</v>
      </c>
      <c r="E3101" s="705">
        <f t="shared" si="98"/>
        <v>9.2777777777777786</v>
      </c>
    </row>
    <row r="3102" spans="2:5">
      <c r="B3102" s="943">
        <v>45051</v>
      </c>
      <c r="C3102" s="195">
        <f t="shared" si="97"/>
        <v>5</v>
      </c>
      <c r="D3102" s="195" t="s">
        <v>1436</v>
      </c>
      <c r="E3102" s="705">
        <f t="shared" si="98"/>
        <v>10</v>
      </c>
    </row>
    <row r="3103" spans="2:5">
      <c r="B3103" s="943">
        <v>45051</v>
      </c>
      <c r="C3103" s="195">
        <f t="shared" si="97"/>
        <v>5</v>
      </c>
      <c r="D3103" s="195">
        <v>51.1</v>
      </c>
      <c r="E3103" s="705">
        <f t="shared" si="98"/>
        <v>10.611111111111112</v>
      </c>
    </row>
    <row r="3104" spans="2:5">
      <c r="B3104" s="943">
        <v>45051</v>
      </c>
      <c r="C3104" s="195">
        <f t="shared" si="97"/>
        <v>5</v>
      </c>
      <c r="D3104" s="195">
        <v>51.6</v>
      </c>
      <c r="E3104" s="705">
        <f t="shared" si="98"/>
        <v>10.888888888888889</v>
      </c>
    </row>
    <row r="3105" spans="2:5">
      <c r="B3105" s="943">
        <v>45052</v>
      </c>
      <c r="C3105" s="195">
        <f t="shared" si="97"/>
        <v>5</v>
      </c>
      <c r="D3105" s="195">
        <v>51.8</v>
      </c>
      <c r="E3105" s="705">
        <f t="shared" si="98"/>
        <v>10.999999999999998</v>
      </c>
    </row>
    <row r="3106" spans="2:5">
      <c r="B3106" s="943">
        <v>45052</v>
      </c>
      <c r="C3106" s="195">
        <f t="shared" si="97"/>
        <v>5</v>
      </c>
      <c r="D3106" s="195">
        <v>51.1</v>
      </c>
      <c r="E3106" s="705">
        <f t="shared" si="98"/>
        <v>10.611111111111112</v>
      </c>
    </row>
    <row r="3107" spans="2:5">
      <c r="B3107" s="943">
        <v>45052</v>
      </c>
      <c r="C3107" s="195">
        <f t="shared" si="97"/>
        <v>5</v>
      </c>
      <c r="D3107" s="195">
        <v>48.9</v>
      </c>
      <c r="E3107" s="705">
        <f t="shared" si="98"/>
        <v>9.3888888888888875</v>
      </c>
    </row>
    <row r="3108" spans="2:5">
      <c r="B3108" s="943">
        <v>45052</v>
      </c>
      <c r="C3108" s="195">
        <f t="shared" si="97"/>
        <v>5</v>
      </c>
      <c r="D3108" s="195">
        <v>48.9</v>
      </c>
      <c r="E3108" s="705">
        <f t="shared" si="98"/>
        <v>9.3888888888888875</v>
      </c>
    </row>
    <row r="3109" spans="2:5">
      <c r="B3109" s="943">
        <v>45052</v>
      </c>
      <c r="C3109" s="195">
        <f t="shared" si="97"/>
        <v>5</v>
      </c>
      <c r="D3109" s="195">
        <v>48.7</v>
      </c>
      <c r="E3109" s="705">
        <f t="shared" si="98"/>
        <v>9.2777777777777786</v>
      </c>
    </row>
    <row r="3110" spans="2:5">
      <c r="B3110" s="943">
        <v>45052</v>
      </c>
      <c r="C3110" s="195">
        <f t="shared" si="97"/>
        <v>5</v>
      </c>
      <c r="D3110" s="195">
        <v>48.4</v>
      </c>
      <c r="E3110" s="705">
        <f t="shared" si="98"/>
        <v>9.1111111111111107</v>
      </c>
    </row>
    <row r="3111" spans="2:5">
      <c r="B3111" s="943">
        <v>45052</v>
      </c>
      <c r="C3111" s="195">
        <f t="shared" si="97"/>
        <v>5</v>
      </c>
      <c r="D3111" s="195">
        <v>48.2</v>
      </c>
      <c r="E3111" s="705">
        <f t="shared" si="98"/>
        <v>9.0000000000000018</v>
      </c>
    </row>
    <row r="3112" spans="2:5">
      <c r="B3112" s="943">
        <v>45052</v>
      </c>
      <c r="C3112" s="195">
        <f t="shared" si="97"/>
        <v>5</v>
      </c>
      <c r="D3112" s="195">
        <v>48.2</v>
      </c>
      <c r="E3112" s="705">
        <f t="shared" si="98"/>
        <v>9.0000000000000018</v>
      </c>
    </row>
    <row r="3113" spans="2:5">
      <c r="B3113" s="943">
        <v>45052</v>
      </c>
      <c r="C3113" s="195">
        <f t="shared" si="97"/>
        <v>5</v>
      </c>
      <c r="D3113" s="195">
        <v>48.6</v>
      </c>
      <c r="E3113" s="705">
        <f t="shared" si="98"/>
        <v>9.2222222222222232</v>
      </c>
    </row>
    <row r="3114" spans="2:5">
      <c r="B3114" s="943">
        <v>45052</v>
      </c>
      <c r="C3114" s="195">
        <f t="shared" si="97"/>
        <v>5</v>
      </c>
      <c r="D3114" s="195">
        <v>49.6</v>
      </c>
      <c r="E3114" s="705">
        <f t="shared" si="98"/>
        <v>9.7777777777777786</v>
      </c>
    </row>
    <row r="3115" spans="2:5">
      <c r="B3115" s="943">
        <v>45052</v>
      </c>
      <c r="C3115" s="195">
        <f t="shared" si="97"/>
        <v>5</v>
      </c>
      <c r="D3115" s="195">
        <v>50.5</v>
      </c>
      <c r="E3115" s="705">
        <f t="shared" si="98"/>
        <v>10.277777777777777</v>
      </c>
    </row>
    <row r="3116" spans="2:5">
      <c r="B3116" s="943">
        <v>45052</v>
      </c>
      <c r="C3116" s="195">
        <f t="shared" si="97"/>
        <v>5</v>
      </c>
      <c r="D3116" s="195">
        <v>51.3</v>
      </c>
      <c r="E3116" s="705">
        <f t="shared" si="98"/>
        <v>10.72222222222222</v>
      </c>
    </row>
    <row r="3117" spans="2:5">
      <c r="B3117" s="943">
        <v>45052</v>
      </c>
      <c r="C3117" s="195">
        <f t="shared" si="97"/>
        <v>5</v>
      </c>
      <c r="D3117" s="195">
        <v>51.6</v>
      </c>
      <c r="E3117" s="705">
        <f t="shared" si="98"/>
        <v>10.888888888888889</v>
      </c>
    </row>
    <row r="3118" spans="2:5">
      <c r="B3118" s="943">
        <v>45052</v>
      </c>
      <c r="C3118" s="195">
        <f t="shared" si="97"/>
        <v>5</v>
      </c>
      <c r="D3118" s="195" t="s">
        <v>1437</v>
      </c>
      <c r="E3118" s="705">
        <f t="shared" si="98"/>
        <v>11.111111111111111</v>
      </c>
    </row>
    <row r="3119" spans="2:5">
      <c r="B3119" s="943">
        <v>45052</v>
      </c>
      <c r="C3119" s="195">
        <f t="shared" si="97"/>
        <v>5</v>
      </c>
      <c r="D3119" s="195">
        <v>50.4</v>
      </c>
      <c r="E3119" s="705">
        <f t="shared" si="98"/>
        <v>10.222222222222221</v>
      </c>
    </row>
    <row r="3120" spans="2:5">
      <c r="B3120" s="943">
        <v>45052</v>
      </c>
      <c r="C3120" s="195">
        <f t="shared" si="97"/>
        <v>5</v>
      </c>
      <c r="D3120" s="195">
        <v>48.6</v>
      </c>
      <c r="E3120" s="705">
        <f t="shared" si="98"/>
        <v>9.2222222222222232</v>
      </c>
    </row>
    <row r="3121" spans="2:5">
      <c r="B3121" s="943">
        <v>45052</v>
      </c>
      <c r="C3121" s="195">
        <f t="shared" si="97"/>
        <v>5</v>
      </c>
      <c r="D3121" s="195">
        <v>48.4</v>
      </c>
      <c r="E3121" s="705">
        <f t="shared" si="98"/>
        <v>9.1111111111111107</v>
      </c>
    </row>
    <row r="3122" spans="2:5">
      <c r="B3122" s="943">
        <v>45052</v>
      </c>
      <c r="C3122" s="195">
        <f t="shared" si="97"/>
        <v>5</v>
      </c>
      <c r="D3122" s="195">
        <v>47.8</v>
      </c>
      <c r="E3122" s="705">
        <f t="shared" si="98"/>
        <v>8.7777777777777768</v>
      </c>
    </row>
    <row r="3123" spans="2:5">
      <c r="B3123" s="943">
        <v>45052</v>
      </c>
      <c r="C3123" s="195">
        <f t="shared" si="97"/>
        <v>5</v>
      </c>
      <c r="D3123" s="195" t="s">
        <v>1435</v>
      </c>
      <c r="E3123" s="705">
        <f t="shared" si="98"/>
        <v>8.8888888888888893</v>
      </c>
    </row>
    <row r="3124" spans="2:5">
      <c r="B3124" s="943">
        <v>45052</v>
      </c>
      <c r="C3124" s="195">
        <f t="shared" si="97"/>
        <v>5</v>
      </c>
      <c r="D3124" s="195">
        <v>49.8</v>
      </c>
      <c r="E3124" s="705">
        <f t="shared" si="98"/>
        <v>9.8888888888888875</v>
      </c>
    </row>
    <row r="3125" spans="2:5">
      <c r="B3125" s="943">
        <v>45052</v>
      </c>
      <c r="C3125" s="195">
        <f t="shared" si="97"/>
        <v>5</v>
      </c>
      <c r="D3125" s="195">
        <v>48.6</v>
      </c>
      <c r="E3125" s="705">
        <f t="shared" si="98"/>
        <v>9.2222222222222232</v>
      </c>
    </row>
    <row r="3126" spans="2:5">
      <c r="B3126" s="943">
        <v>45052</v>
      </c>
      <c r="C3126" s="195">
        <f t="shared" si="97"/>
        <v>5</v>
      </c>
      <c r="D3126" s="195">
        <v>49.5</v>
      </c>
      <c r="E3126" s="705">
        <f t="shared" si="98"/>
        <v>9.7222222222222214</v>
      </c>
    </row>
    <row r="3127" spans="2:5">
      <c r="B3127" s="943">
        <v>45052</v>
      </c>
      <c r="C3127" s="195">
        <f t="shared" si="97"/>
        <v>5</v>
      </c>
      <c r="D3127" s="195">
        <v>51.1</v>
      </c>
      <c r="E3127" s="705">
        <f t="shared" si="98"/>
        <v>10.611111111111112</v>
      </c>
    </row>
    <row r="3128" spans="2:5">
      <c r="B3128" s="943">
        <v>45052</v>
      </c>
      <c r="C3128" s="195">
        <f t="shared" si="97"/>
        <v>5</v>
      </c>
      <c r="D3128" s="195" t="s">
        <v>1437</v>
      </c>
      <c r="E3128" s="705">
        <f t="shared" si="98"/>
        <v>11.111111111111111</v>
      </c>
    </row>
    <row r="3129" spans="2:5">
      <c r="B3129" s="943">
        <v>45053</v>
      </c>
      <c r="C3129" s="195">
        <f t="shared" si="97"/>
        <v>5</v>
      </c>
      <c r="D3129" s="195">
        <v>52.5</v>
      </c>
      <c r="E3129" s="705">
        <f t="shared" si="98"/>
        <v>11.388888888888889</v>
      </c>
    </row>
    <row r="3130" spans="2:5">
      <c r="B3130" s="943">
        <v>45053</v>
      </c>
      <c r="C3130" s="195">
        <f t="shared" si="97"/>
        <v>5</v>
      </c>
      <c r="D3130" s="195">
        <v>52.5</v>
      </c>
      <c r="E3130" s="705">
        <f t="shared" si="98"/>
        <v>11.388888888888889</v>
      </c>
    </row>
    <row r="3131" spans="2:5">
      <c r="B3131" s="943">
        <v>45053</v>
      </c>
      <c r="C3131" s="195">
        <f t="shared" si="97"/>
        <v>5</v>
      </c>
      <c r="D3131" s="195">
        <v>51.1</v>
      </c>
      <c r="E3131" s="705">
        <f t="shared" si="98"/>
        <v>10.611111111111112</v>
      </c>
    </row>
    <row r="3132" spans="2:5">
      <c r="B3132" s="943">
        <v>45053</v>
      </c>
      <c r="C3132" s="195">
        <f t="shared" si="97"/>
        <v>5</v>
      </c>
      <c r="D3132" s="195">
        <v>49.6</v>
      </c>
      <c r="E3132" s="705">
        <f t="shared" si="98"/>
        <v>9.7777777777777786</v>
      </c>
    </row>
    <row r="3133" spans="2:5">
      <c r="B3133" s="943">
        <v>45053</v>
      </c>
      <c r="C3133" s="195">
        <f t="shared" si="97"/>
        <v>5</v>
      </c>
      <c r="D3133" s="195">
        <v>48.9</v>
      </c>
      <c r="E3133" s="705">
        <f t="shared" si="98"/>
        <v>9.3888888888888875</v>
      </c>
    </row>
    <row r="3134" spans="2:5">
      <c r="B3134" s="943">
        <v>45053</v>
      </c>
      <c r="C3134" s="195">
        <f t="shared" si="97"/>
        <v>5</v>
      </c>
      <c r="D3134" s="195">
        <v>48.6</v>
      </c>
      <c r="E3134" s="705">
        <f t="shared" si="98"/>
        <v>9.2222222222222232</v>
      </c>
    </row>
    <row r="3135" spans="2:5">
      <c r="B3135" s="943">
        <v>45053</v>
      </c>
      <c r="C3135" s="195">
        <f t="shared" si="97"/>
        <v>5</v>
      </c>
      <c r="D3135" s="195">
        <v>48.6</v>
      </c>
      <c r="E3135" s="705">
        <f t="shared" si="98"/>
        <v>9.2222222222222232</v>
      </c>
    </row>
    <row r="3136" spans="2:5">
      <c r="B3136" s="943">
        <v>45053</v>
      </c>
      <c r="C3136" s="195">
        <f t="shared" si="97"/>
        <v>5</v>
      </c>
      <c r="D3136" s="195">
        <v>49.1</v>
      </c>
      <c r="E3136" s="705">
        <f t="shared" si="98"/>
        <v>9.5</v>
      </c>
    </row>
    <row r="3137" spans="2:5">
      <c r="B3137" s="943">
        <v>45053</v>
      </c>
      <c r="C3137" s="195">
        <f t="shared" si="97"/>
        <v>5</v>
      </c>
      <c r="D3137" s="195" t="s">
        <v>429</v>
      </c>
      <c r="E3137" s="705"/>
    </row>
    <row r="3138" spans="2:5">
      <c r="B3138" s="943">
        <v>45053</v>
      </c>
      <c r="C3138" s="195">
        <f t="shared" si="97"/>
        <v>5</v>
      </c>
      <c r="D3138" s="195">
        <v>49.1</v>
      </c>
      <c r="E3138" s="705">
        <f t="shared" si="98"/>
        <v>9.5</v>
      </c>
    </row>
    <row r="3139" spans="2:5">
      <c r="B3139" s="943">
        <v>45053</v>
      </c>
      <c r="C3139" s="195">
        <f t="shared" si="97"/>
        <v>5</v>
      </c>
      <c r="D3139" s="195">
        <v>50.2</v>
      </c>
      <c r="E3139" s="705">
        <f t="shared" si="98"/>
        <v>10.111111111111112</v>
      </c>
    </row>
    <row r="3140" spans="2:5">
      <c r="B3140" s="943">
        <v>45053</v>
      </c>
      <c r="C3140" s="195">
        <f t="shared" si="97"/>
        <v>5</v>
      </c>
      <c r="D3140" s="195">
        <v>51.3</v>
      </c>
      <c r="E3140" s="705">
        <f t="shared" si="98"/>
        <v>10.72222222222222</v>
      </c>
    </row>
    <row r="3141" spans="2:5">
      <c r="B3141" s="943">
        <v>45053</v>
      </c>
      <c r="C3141" s="195">
        <f t="shared" si="97"/>
        <v>5</v>
      </c>
      <c r="D3141" s="195" t="s">
        <v>1437</v>
      </c>
      <c r="E3141" s="705">
        <f t="shared" si="98"/>
        <v>11.111111111111111</v>
      </c>
    </row>
    <row r="3142" spans="2:5">
      <c r="B3142" s="943">
        <v>45053</v>
      </c>
      <c r="C3142" s="195">
        <f t="shared" si="97"/>
        <v>5</v>
      </c>
      <c r="D3142" s="195">
        <v>52.7</v>
      </c>
      <c r="E3142" s="705">
        <f t="shared" si="98"/>
        <v>11.500000000000002</v>
      </c>
    </row>
    <row r="3143" spans="2:5">
      <c r="B3143" s="943">
        <v>45053</v>
      </c>
      <c r="C3143" s="195">
        <f t="shared" si="97"/>
        <v>5</v>
      </c>
      <c r="D3143" s="195">
        <v>52.3</v>
      </c>
      <c r="E3143" s="705">
        <f t="shared" si="98"/>
        <v>11.277777777777777</v>
      </c>
    </row>
    <row r="3144" spans="2:5">
      <c r="B3144" s="943">
        <v>45053</v>
      </c>
      <c r="C3144" s="195">
        <f t="shared" si="97"/>
        <v>5</v>
      </c>
      <c r="D3144" s="195" t="s">
        <v>1436</v>
      </c>
      <c r="E3144" s="705">
        <f t="shared" si="98"/>
        <v>10</v>
      </c>
    </row>
    <row r="3145" spans="2:5">
      <c r="B3145" s="943">
        <v>45053</v>
      </c>
      <c r="C3145" s="195">
        <f t="shared" si="97"/>
        <v>5</v>
      </c>
      <c r="D3145" s="195">
        <v>48.7</v>
      </c>
      <c r="E3145" s="705">
        <f t="shared" si="98"/>
        <v>9.2777777777777786</v>
      </c>
    </row>
    <row r="3146" spans="2:5">
      <c r="B3146" s="943">
        <v>45053</v>
      </c>
      <c r="C3146" s="195">
        <f t="shared" ref="C3146:C3209" si="99">MONTH(B3146)</f>
        <v>5</v>
      </c>
      <c r="D3146" s="195">
        <v>48.9</v>
      </c>
      <c r="E3146" s="705">
        <f t="shared" ref="E3146:E3209" si="100">CONVERT(D3146,"F","C")</f>
        <v>9.3888888888888875</v>
      </c>
    </row>
    <row r="3147" spans="2:5">
      <c r="B3147" s="943">
        <v>45053</v>
      </c>
      <c r="C3147" s="195">
        <f t="shared" si="99"/>
        <v>5</v>
      </c>
      <c r="D3147" s="195">
        <v>48.2</v>
      </c>
      <c r="E3147" s="705">
        <f t="shared" si="100"/>
        <v>9.0000000000000018</v>
      </c>
    </row>
    <row r="3148" spans="2:5">
      <c r="B3148" s="943">
        <v>45053</v>
      </c>
      <c r="C3148" s="195">
        <f t="shared" si="99"/>
        <v>5</v>
      </c>
      <c r="D3148" s="195">
        <v>47.8</v>
      </c>
      <c r="E3148" s="705">
        <f t="shared" si="100"/>
        <v>8.7777777777777768</v>
      </c>
    </row>
    <row r="3149" spans="2:5">
      <c r="B3149" s="943">
        <v>45053</v>
      </c>
      <c r="C3149" s="195">
        <f t="shared" si="99"/>
        <v>5</v>
      </c>
      <c r="D3149" s="195">
        <v>48.9</v>
      </c>
      <c r="E3149" s="705">
        <f t="shared" si="100"/>
        <v>9.3888888888888875</v>
      </c>
    </row>
    <row r="3150" spans="2:5">
      <c r="B3150" s="943">
        <v>45053</v>
      </c>
      <c r="C3150" s="195">
        <f t="shared" si="99"/>
        <v>5</v>
      </c>
      <c r="D3150" s="195">
        <v>48.7</v>
      </c>
      <c r="E3150" s="705">
        <f t="shared" si="100"/>
        <v>9.2777777777777786</v>
      </c>
    </row>
    <row r="3151" spans="2:5">
      <c r="B3151" s="943">
        <v>45053</v>
      </c>
      <c r="C3151" s="195">
        <f t="shared" si="99"/>
        <v>5</v>
      </c>
      <c r="D3151" s="195">
        <v>50.2</v>
      </c>
      <c r="E3151" s="705">
        <f t="shared" si="100"/>
        <v>10.111111111111112</v>
      </c>
    </row>
    <row r="3152" spans="2:5">
      <c r="B3152" s="943">
        <v>45053</v>
      </c>
      <c r="C3152" s="195">
        <f t="shared" si="99"/>
        <v>5</v>
      </c>
      <c r="D3152" s="195">
        <v>51.8</v>
      </c>
      <c r="E3152" s="705">
        <f t="shared" si="100"/>
        <v>10.999999999999998</v>
      </c>
    </row>
    <row r="3153" spans="2:5">
      <c r="B3153" s="943">
        <v>45054</v>
      </c>
      <c r="C3153" s="195">
        <f t="shared" si="99"/>
        <v>5</v>
      </c>
      <c r="D3153" s="195">
        <v>52.9</v>
      </c>
      <c r="E3153" s="705">
        <f t="shared" si="100"/>
        <v>11.611111111111111</v>
      </c>
    </row>
    <row r="3154" spans="2:5">
      <c r="B3154" s="943">
        <v>45054</v>
      </c>
      <c r="C3154" s="195">
        <f t="shared" si="99"/>
        <v>5</v>
      </c>
      <c r="D3154" s="195">
        <v>53.4</v>
      </c>
      <c r="E3154" s="705">
        <f t="shared" si="100"/>
        <v>11.888888888888888</v>
      </c>
    </row>
    <row r="3155" spans="2:5">
      <c r="B3155" s="943">
        <v>45054</v>
      </c>
      <c r="C3155" s="195">
        <f t="shared" si="99"/>
        <v>5</v>
      </c>
      <c r="D3155" s="195">
        <v>52.7</v>
      </c>
      <c r="E3155" s="705">
        <f t="shared" si="100"/>
        <v>11.500000000000002</v>
      </c>
    </row>
    <row r="3156" spans="2:5">
      <c r="B3156" s="943">
        <v>45054</v>
      </c>
      <c r="C3156" s="195">
        <f t="shared" si="99"/>
        <v>5</v>
      </c>
      <c r="D3156" s="195">
        <v>50.5</v>
      </c>
      <c r="E3156" s="705">
        <f t="shared" si="100"/>
        <v>10.277777777777777</v>
      </c>
    </row>
    <row r="3157" spans="2:5">
      <c r="B3157" s="943">
        <v>45054</v>
      </c>
      <c r="C3157" s="195">
        <f t="shared" si="99"/>
        <v>5</v>
      </c>
      <c r="D3157" s="195">
        <v>49.5</v>
      </c>
      <c r="E3157" s="705">
        <f t="shared" si="100"/>
        <v>9.7222222222222214</v>
      </c>
    </row>
    <row r="3158" spans="2:5">
      <c r="B3158" s="943">
        <v>45054</v>
      </c>
      <c r="C3158" s="195">
        <f t="shared" si="99"/>
        <v>5</v>
      </c>
      <c r="D3158" s="195">
        <v>48.2</v>
      </c>
      <c r="E3158" s="705">
        <f t="shared" si="100"/>
        <v>9.0000000000000018</v>
      </c>
    </row>
    <row r="3159" spans="2:5">
      <c r="B3159" s="943">
        <v>45054</v>
      </c>
      <c r="C3159" s="195">
        <f t="shared" si="99"/>
        <v>5</v>
      </c>
      <c r="D3159" s="195">
        <v>47.8</v>
      </c>
      <c r="E3159" s="705">
        <f t="shared" si="100"/>
        <v>8.7777777777777768</v>
      </c>
    </row>
    <row r="3160" spans="2:5">
      <c r="B3160" s="943">
        <v>45054</v>
      </c>
      <c r="C3160" s="195">
        <f t="shared" si="99"/>
        <v>5</v>
      </c>
      <c r="D3160" s="195" t="s">
        <v>429</v>
      </c>
      <c r="E3160" s="705"/>
    </row>
    <row r="3161" spans="2:5">
      <c r="B3161" s="943">
        <v>45054</v>
      </c>
      <c r="C3161" s="195">
        <f t="shared" si="99"/>
        <v>5</v>
      </c>
      <c r="D3161" s="195">
        <v>47.7</v>
      </c>
      <c r="E3161" s="705">
        <f t="shared" si="100"/>
        <v>8.7222222222222232</v>
      </c>
    </row>
    <row r="3162" spans="2:5">
      <c r="B3162" s="943">
        <v>45054</v>
      </c>
      <c r="C3162" s="195">
        <f t="shared" si="99"/>
        <v>5</v>
      </c>
      <c r="D3162" s="195" t="s">
        <v>1435</v>
      </c>
      <c r="E3162" s="705">
        <f t="shared" si="100"/>
        <v>8.8888888888888893</v>
      </c>
    </row>
    <row r="3163" spans="2:5">
      <c r="B3163" s="943">
        <v>45054</v>
      </c>
      <c r="C3163" s="195">
        <f t="shared" si="99"/>
        <v>5</v>
      </c>
      <c r="D3163" s="195">
        <v>48.9</v>
      </c>
      <c r="E3163" s="705">
        <f t="shared" si="100"/>
        <v>9.3888888888888875</v>
      </c>
    </row>
    <row r="3164" spans="2:5">
      <c r="B3164" s="943">
        <v>45054</v>
      </c>
      <c r="C3164" s="195">
        <f t="shared" si="99"/>
        <v>5</v>
      </c>
      <c r="D3164" s="195">
        <v>50.7</v>
      </c>
      <c r="E3164" s="705">
        <f t="shared" si="100"/>
        <v>10.388888888888891</v>
      </c>
    </row>
    <row r="3165" spans="2:5">
      <c r="B3165" s="943">
        <v>45054</v>
      </c>
      <c r="C3165" s="195">
        <f t="shared" si="99"/>
        <v>5</v>
      </c>
      <c r="D3165" s="195">
        <v>52.2</v>
      </c>
      <c r="E3165" s="705">
        <f t="shared" si="100"/>
        <v>11.222222222222223</v>
      </c>
    </row>
    <row r="3166" spans="2:5">
      <c r="B3166" s="943">
        <v>45054</v>
      </c>
      <c r="C3166" s="195">
        <f t="shared" si="99"/>
        <v>5</v>
      </c>
      <c r="D3166" s="195">
        <v>53.2</v>
      </c>
      <c r="E3166" s="705">
        <f t="shared" si="100"/>
        <v>11.777777777777779</v>
      </c>
    </row>
    <row r="3167" spans="2:5">
      <c r="B3167" s="943">
        <v>45054</v>
      </c>
      <c r="C3167" s="195">
        <f t="shared" si="99"/>
        <v>5</v>
      </c>
      <c r="D3167" s="195" t="s">
        <v>1438</v>
      </c>
      <c r="E3167" s="705">
        <f t="shared" si="100"/>
        <v>12.222222222222221</v>
      </c>
    </row>
    <row r="3168" spans="2:5">
      <c r="B3168" s="943">
        <v>45054</v>
      </c>
      <c r="C3168" s="195">
        <f t="shared" si="99"/>
        <v>5</v>
      </c>
      <c r="D3168" s="195">
        <v>53.1</v>
      </c>
      <c r="E3168" s="705">
        <f t="shared" si="100"/>
        <v>11.722222222222223</v>
      </c>
    </row>
    <row r="3169" spans="2:5">
      <c r="B3169" s="943">
        <v>45054</v>
      </c>
      <c r="C3169" s="195">
        <f t="shared" si="99"/>
        <v>5</v>
      </c>
      <c r="D3169" s="195">
        <v>49.3</v>
      </c>
      <c r="E3169" s="705">
        <f t="shared" si="100"/>
        <v>9.6111111111111089</v>
      </c>
    </row>
    <row r="3170" spans="2:5">
      <c r="B3170" s="943">
        <v>45054</v>
      </c>
      <c r="C3170" s="195">
        <f t="shared" si="99"/>
        <v>5</v>
      </c>
      <c r="D3170" s="195">
        <v>48.2</v>
      </c>
      <c r="E3170" s="705">
        <f t="shared" si="100"/>
        <v>9.0000000000000018</v>
      </c>
    </row>
    <row r="3171" spans="2:5">
      <c r="B3171" s="943">
        <v>45054</v>
      </c>
      <c r="C3171" s="195">
        <f t="shared" si="99"/>
        <v>5</v>
      </c>
      <c r="D3171" s="195">
        <v>48.4</v>
      </c>
      <c r="E3171" s="705">
        <f t="shared" si="100"/>
        <v>9.1111111111111107</v>
      </c>
    </row>
    <row r="3172" spans="2:5">
      <c r="B3172" s="943">
        <v>45054</v>
      </c>
      <c r="C3172" s="195">
        <f t="shared" si="99"/>
        <v>5</v>
      </c>
      <c r="D3172" s="195">
        <v>47.8</v>
      </c>
      <c r="E3172" s="705">
        <f t="shared" si="100"/>
        <v>8.7777777777777768</v>
      </c>
    </row>
    <row r="3173" spans="2:5">
      <c r="B3173" s="943">
        <v>45054</v>
      </c>
      <c r="C3173" s="195">
        <f t="shared" si="99"/>
        <v>5</v>
      </c>
      <c r="D3173" s="195">
        <v>47.3</v>
      </c>
      <c r="E3173" s="705">
        <f t="shared" si="100"/>
        <v>8.4999999999999982</v>
      </c>
    </row>
    <row r="3174" spans="2:5">
      <c r="B3174" s="943">
        <v>45054</v>
      </c>
      <c r="C3174" s="195">
        <f t="shared" si="99"/>
        <v>5</v>
      </c>
      <c r="D3174" s="195">
        <v>47.8</v>
      </c>
      <c r="E3174" s="705">
        <f t="shared" si="100"/>
        <v>8.7777777777777768</v>
      </c>
    </row>
    <row r="3175" spans="2:5">
      <c r="B3175" s="943">
        <v>45054</v>
      </c>
      <c r="C3175" s="195">
        <f t="shared" si="99"/>
        <v>5</v>
      </c>
      <c r="D3175" s="195">
        <v>48.2</v>
      </c>
      <c r="E3175" s="705">
        <f t="shared" si="100"/>
        <v>9.0000000000000018</v>
      </c>
    </row>
    <row r="3176" spans="2:5">
      <c r="B3176" s="943">
        <v>45054</v>
      </c>
      <c r="C3176" s="195">
        <f t="shared" si="99"/>
        <v>5</v>
      </c>
      <c r="D3176" s="195">
        <v>50.2</v>
      </c>
      <c r="E3176" s="705">
        <f t="shared" si="100"/>
        <v>10.111111111111112</v>
      </c>
    </row>
    <row r="3177" spans="2:5">
      <c r="B3177" s="943">
        <v>45055</v>
      </c>
      <c r="C3177" s="195">
        <f t="shared" si="99"/>
        <v>5</v>
      </c>
      <c r="D3177" s="195" t="s">
        <v>1437</v>
      </c>
      <c r="E3177" s="705">
        <f t="shared" si="100"/>
        <v>11.111111111111111</v>
      </c>
    </row>
    <row r="3178" spans="2:5">
      <c r="B3178" s="943">
        <v>45055</v>
      </c>
      <c r="C3178" s="195">
        <f t="shared" si="99"/>
        <v>5</v>
      </c>
      <c r="D3178" s="195">
        <v>53.2</v>
      </c>
      <c r="E3178" s="705">
        <f t="shared" si="100"/>
        <v>11.777777777777779</v>
      </c>
    </row>
    <row r="3179" spans="2:5">
      <c r="B3179" s="943">
        <v>45055</v>
      </c>
      <c r="C3179" s="195">
        <f t="shared" si="99"/>
        <v>5</v>
      </c>
      <c r="D3179" s="195">
        <v>53.4</v>
      </c>
      <c r="E3179" s="705">
        <f t="shared" si="100"/>
        <v>11.888888888888888</v>
      </c>
    </row>
    <row r="3180" spans="2:5">
      <c r="B3180" s="943">
        <v>45055</v>
      </c>
      <c r="C3180" s="195">
        <f t="shared" si="99"/>
        <v>5</v>
      </c>
      <c r="D3180" s="195" t="s">
        <v>1437</v>
      </c>
      <c r="E3180" s="705">
        <f t="shared" si="100"/>
        <v>11.111111111111111</v>
      </c>
    </row>
    <row r="3181" spans="2:5">
      <c r="B3181" s="943">
        <v>45055</v>
      </c>
      <c r="C3181" s="195">
        <f t="shared" si="99"/>
        <v>5</v>
      </c>
      <c r="D3181" s="195">
        <v>49.8</v>
      </c>
      <c r="E3181" s="705">
        <f t="shared" si="100"/>
        <v>9.8888888888888875</v>
      </c>
    </row>
    <row r="3182" spans="2:5">
      <c r="B3182" s="943">
        <v>45055</v>
      </c>
      <c r="C3182" s="195">
        <f t="shared" si="99"/>
        <v>5</v>
      </c>
      <c r="D3182" s="195">
        <v>48.4</v>
      </c>
      <c r="E3182" s="705">
        <f t="shared" si="100"/>
        <v>9.1111111111111107</v>
      </c>
    </row>
    <row r="3183" spans="2:5">
      <c r="B3183" s="943">
        <v>45055</v>
      </c>
      <c r="C3183" s="195">
        <f t="shared" si="99"/>
        <v>5</v>
      </c>
      <c r="D3183" s="195">
        <v>47.1</v>
      </c>
      <c r="E3183" s="705">
        <f t="shared" si="100"/>
        <v>8.3888888888888893</v>
      </c>
    </row>
    <row r="3184" spans="2:5">
      <c r="B3184" s="943">
        <v>45055</v>
      </c>
      <c r="C3184" s="195">
        <f t="shared" si="99"/>
        <v>5</v>
      </c>
      <c r="D3184" s="195">
        <v>46.8</v>
      </c>
      <c r="E3184" s="705">
        <f t="shared" si="100"/>
        <v>8.2222222222222197</v>
      </c>
    </row>
    <row r="3185" spans="2:5">
      <c r="B3185" s="943">
        <v>45055</v>
      </c>
      <c r="C3185" s="195">
        <f t="shared" si="99"/>
        <v>5</v>
      </c>
      <c r="D3185" s="195">
        <v>46.8</v>
      </c>
      <c r="E3185" s="705">
        <f t="shared" si="100"/>
        <v>8.2222222222222197</v>
      </c>
    </row>
    <row r="3186" spans="2:5">
      <c r="B3186" s="943">
        <v>45055</v>
      </c>
      <c r="C3186" s="195">
        <f t="shared" si="99"/>
        <v>5</v>
      </c>
      <c r="D3186" s="195">
        <v>46.9</v>
      </c>
      <c r="E3186" s="705">
        <f t="shared" si="100"/>
        <v>8.2777777777777768</v>
      </c>
    </row>
    <row r="3187" spans="2:5">
      <c r="B3187" s="943">
        <v>45055</v>
      </c>
      <c r="C3187" s="195">
        <f t="shared" si="99"/>
        <v>5</v>
      </c>
      <c r="D3187" s="195">
        <v>47.3</v>
      </c>
      <c r="E3187" s="705">
        <f t="shared" si="100"/>
        <v>8.4999999999999982</v>
      </c>
    </row>
    <row r="3188" spans="2:5">
      <c r="B3188" s="943">
        <v>45055</v>
      </c>
      <c r="C3188" s="195">
        <f t="shared" si="99"/>
        <v>5</v>
      </c>
      <c r="D3188" s="195">
        <v>48.6</v>
      </c>
      <c r="E3188" s="705">
        <f t="shared" si="100"/>
        <v>9.2222222222222232</v>
      </c>
    </row>
    <row r="3189" spans="2:5">
      <c r="B3189" s="943">
        <v>45055</v>
      </c>
      <c r="C3189" s="195">
        <f t="shared" si="99"/>
        <v>5</v>
      </c>
      <c r="D3189" s="195">
        <v>50.4</v>
      </c>
      <c r="E3189" s="705">
        <f t="shared" si="100"/>
        <v>10.222222222222221</v>
      </c>
    </row>
    <row r="3190" spans="2:5">
      <c r="B3190" s="943">
        <v>45055</v>
      </c>
      <c r="C3190" s="195">
        <f t="shared" si="99"/>
        <v>5</v>
      </c>
      <c r="D3190" s="195" t="s">
        <v>1437</v>
      </c>
      <c r="E3190" s="705">
        <f t="shared" si="100"/>
        <v>11.111111111111111</v>
      </c>
    </row>
    <row r="3191" spans="2:5">
      <c r="B3191" s="943">
        <v>45055</v>
      </c>
      <c r="C3191" s="195">
        <f t="shared" si="99"/>
        <v>5</v>
      </c>
      <c r="D3191" s="195">
        <v>53.1</v>
      </c>
      <c r="E3191" s="705">
        <f t="shared" si="100"/>
        <v>11.722222222222223</v>
      </c>
    </row>
    <row r="3192" spans="2:5">
      <c r="B3192" s="943">
        <v>45055</v>
      </c>
      <c r="C3192" s="195">
        <f t="shared" si="99"/>
        <v>5</v>
      </c>
      <c r="D3192" s="195">
        <v>53.6</v>
      </c>
      <c r="E3192" s="705">
        <f t="shared" si="100"/>
        <v>12</v>
      </c>
    </row>
    <row r="3193" spans="2:5">
      <c r="B3193" s="943">
        <v>45055</v>
      </c>
      <c r="C3193" s="195">
        <f t="shared" si="99"/>
        <v>5</v>
      </c>
      <c r="D3193" s="195">
        <v>52.7</v>
      </c>
      <c r="E3193" s="705">
        <f t="shared" si="100"/>
        <v>11.500000000000002</v>
      </c>
    </row>
    <row r="3194" spans="2:5">
      <c r="B3194" s="943">
        <v>45055</v>
      </c>
      <c r="C3194" s="195">
        <f t="shared" si="99"/>
        <v>5</v>
      </c>
      <c r="D3194" s="195">
        <v>50.7</v>
      </c>
      <c r="E3194" s="705">
        <f t="shared" si="100"/>
        <v>10.388888888888891</v>
      </c>
    </row>
    <row r="3195" spans="2:5">
      <c r="B3195" s="943">
        <v>45055</v>
      </c>
      <c r="C3195" s="195">
        <f t="shared" si="99"/>
        <v>5</v>
      </c>
      <c r="D3195" s="195">
        <v>50.5</v>
      </c>
      <c r="E3195" s="705">
        <f t="shared" si="100"/>
        <v>10.277777777777777</v>
      </c>
    </row>
    <row r="3196" spans="2:5">
      <c r="B3196" s="943">
        <v>45055</v>
      </c>
      <c r="C3196" s="195">
        <f t="shared" si="99"/>
        <v>5</v>
      </c>
      <c r="D3196" s="195">
        <v>50.9</v>
      </c>
      <c r="E3196" s="705">
        <f t="shared" si="100"/>
        <v>10.499999999999998</v>
      </c>
    </row>
    <row r="3197" spans="2:5">
      <c r="B3197" s="943">
        <v>45055</v>
      </c>
      <c r="C3197" s="195">
        <f t="shared" si="99"/>
        <v>5</v>
      </c>
      <c r="D3197" s="195">
        <v>51.3</v>
      </c>
      <c r="E3197" s="705">
        <f t="shared" si="100"/>
        <v>10.72222222222222</v>
      </c>
    </row>
    <row r="3198" spans="2:5">
      <c r="B3198" s="943">
        <v>45055</v>
      </c>
      <c r="C3198" s="195">
        <f t="shared" si="99"/>
        <v>5</v>
      </c>
      <c r="D3198" s="195">
        <v>51.1</v>
      </c>
      <c r="E3198" s="705">
        <f t="shared" si="100"/>
        <v>10.611111111111112</v>
      </c>
    </row>
    <row r="3199" spans="2:5">
      <c r="B3199" s="943">
        <v>45055</v>
      </c>
      <c r="C3199" s="195">
        <f t="shared" si="99"/>
        <v>5</v>
      </c>
      <c r="D3199" s="195">
        <v>51.4</v>
      </c>
      <c r="E3199" s="705">
        <f t="shared" si="100"/>
        <v>10.777777777777777</v>
      </c>
    </row>
    <row r="3200" spans="2:5">
      <c r="B3200" s="943">
        <v>45055</v>
      </c>
      <c r="C3200" s="195">
        <f t="shared" si="99"/>
        <v>5</v>
      </c>
      <c r="D3200" s="195">
        <v>51.4</v>
      </c>
      <c r="E3200" s="705">
        <f t="shared" si="100"/>
        <v>10.777777777777777</v>
      </c>
    </row>
    <row r="3201" spans="2:5">
      <c r="B3201" s="943">
        <v>45056</v>
      </c>
      <c r="C3201" s="195">
        <f t="shared" si="99"/>
        <v>5</v>
      </c>
      <c r="D3201" s="195">
        <v>51.8</v>
      </c>
      <c r="E3201" s="705">
        <f t="shared" si="100"/>
        <v>10.999999999999998</v>
      </c>
    </row>
    <row r="3202" spans="2:5">
      <c r="B3202" s="943">
        <v>45056</v>
      </c>
      <c r="C3202" s="195">
        <f t="shared" si="99"/>
        <v>5</v>
      </c>
      <c r="D3202" s="195">
        <v>52.9</v>
      </c>
      <c r="E3202" s="705">
        <f t="shared" si="100"/>
        <v>11.611111111111111</v>
      </c>
    </row>
    <row r="3203" spans="2:5">
      <c r="B3203" s="943">
        <v>45056</v>
      </c>
      <c r="C3203" s="195">
        <f t="shared" si="99"/>
        <v>5</v>
      </c>
      <c r="D3203" s="195">
        <v>53.6</v>
      </c>
      <c r="E3203" s="705">
        <f t="shared" si="100"/>
        <v>12</v>
      </c>
    </row>
    <row r="3204" spans="2:5">
      <c r="B3204" s="943">
        <v>45056</v>
      </c>
      <c r="C3204" s="195">
        <f t="shared" si="99"/>
        <v>5</v>
      </c>
      <c r="D3204" s="195">
        <v>53.8</v>
      </c>
      <c r="E3204" s="705">
        <f t="shared" si="100"/>
        <v>12.111111111111109</v>
      </c>
    </row>
    <row r="3205" spans="2:5">
      <c r="B3205" s="943">
        <v>45056</v>
      </c>
      <c r="C3205" s="195">
        <f t="shared" si="99"/>
        <v>5</v>
      </c>
      <c r="D3205" s="195">
        <v>53.2</v>
      </c>
      <c r="E3205" s="705">
        <f t="shared" si="100"/>
        <v>11.777777777777779</v>
      </c>
    </row>
    <row r="3206" spans="2:5">
      <c r="B3206" s="943">
        <v>45056</v>
      </c>
      <c r="C3206" s="195">
        <f t="shared" si="99"/>
        <v>5</v>
      </c>
      <c r="D3206" s="195" t="s">
        <v>1437</v>
      </c>
      <c r="E3206" s="705">
        <f t="shared" si="100"/>
        <v>11.111111111111111</v>
      </c>
    </row>
    <row r="3207" spans="2:5">
      <c r="B3207" s="943">
        <v>45056</v>
      </c>
      <c r="C3207" s="195">
        <f t="shared" si="99"/>
        <v>5</v>
      </c>
      <c r="D3207" s="195">
        <v>50.5</v>
      </c>
      <c r="E3207" s="705">
        <f t="shared" si="100"/>
        <v>10.277777777777777</v>
      </c>
    </row>
    <row r="3208" spans="2:5">
      <c r="B3208" s="943">
        <v>45056</v>
      </c>
      <c r="C3208" s="195">
        <f t="shared" si="99"/>
        <v>5</v>
      </c>
      <c r="D3208" s="195">
        <v>49.6</v>
      </c>
      <c r="E3208" s="705">
        <f t="shared" si="100"/>
        <v>9.7777777777777786</v>
      </c>
    </row>
    <row r="3209" spans="2:5">
      <c r="B3209" s="943">
        <v>45056</v>
      </c>
      <c r="C3209" s="195">
        <f t="shared" si="99"/>
        <v>5</v>
      </c>
      <c r="D3209" s="195">
        <v>48.9</v>
      </c>
      <c r="E3209" s="705">
        <f t="shared" si="100"/>
        <v>9.3888888888888875</v>
      </c>
    </row>
    <row r="3210" spans="2:5">
      <c r="B3210" s="943">
        <v>45056</v>
      </c>
      <c r="C3210" s="195">
        <f t="shared" ref="C3210:C3273" si="101">MONTH(B3210)</f>
        <v>5</v>
      </c>
      <c r="D3210" s="195">
        <v>49.1</v>
      </c>
      <c r="E3210" s="705">
        <f t="shared" ref="E3210:E3273" si="102">CONVERT(D3210,"F","C")</f>
        <v>9.5</v>
      </c>
    </row>
    <row r="3211" spans="2:5">
      <c r="B3211" s="943">
        <v>45056</v>
      </c>
      <c r="C3211" s="195">
        <f t="shared" si="101"/>
        <v>5</v>
      </c>
      <c r="D3211" s="195">
        <v>48.9</v>
      </c>
      <c r="E3211" s="705">
        <f t="shared" si="102"/>
        <v>9.3888888888888875</v>
      </c>
    </row>
    <row r="3212" spans="2:5">
      <c r="B3212" s="943">
        <v>45056</v>
      </c>
      <c r="C3212" s="195">
        <f t="shared" si="101"/>
        <v>5</v>
      </c>
      <c r="D3212" s="195">
        <v>49.8</v>
      </c>
      <c r="E3212" s="705">
        <f t="shared" si="102"/>
        <v>9.8888888888888875</v>
      </c>
    </row>
    <row r="3213" spans="2:5">
      <c r="B3213" s="943">
        <v>45056</v>
      </c>
      <c r="C3213" s="195">
        <f t="shared" si="101"/>
        <v>5</v>
      </c>
      <c r="D3213" s="195">
        <v>51.1</v>
      </c>
      <c r="E3213" s="705">
        <f t="shared" si="102"/>
        <v>10.611111111111112</v>
      </c>
    </row>
    <row r="3214" spans="2:5">
      <c r="B3214" s="943">
        <v>45056</v>
      </c>
      <c r="C3214" s="195">
        <f t="shared" si="101"/>
        <v>5</v>
      </c>
      <c r="D3214" s="195">
        <v>52.3</v>
      </c>
      <c r="E3214" s="705">
        <f t="shared" si="102"/>
        <v>11.277777777777777</v>
      </c>
    </row>
    <row r="3215" spans="2:5">
      <c r="B3215" s="943">
        <v>45056</v>
      </c>
      <c r="C3215" s="195">
        <f t="shared" si="101"/>
        <v>5</v>
      </c>
      <c r="D3215" s="195">
        <v>53.4</v>
      </c>
      <c r="E3215" s="705">
        <f t="shared" si="102"/>
        <v>11.888888888888888</v>
      </c>
    </row>
    <row r="3216" spans="2:5">
      <c r="B3216" s="943">
        <v>45056</v>
      </c>
      <c r="C3216" s="195">
        <f t="shared" si="101"/>
        <v>5</v>
      </c>
      <c r="D3216" s="195">
        <v>54.1</v>
      </c>
      <c r="E3216" s="705">
        <f t="shared" si="102"/>
        <v>12.277777777777779</v>
      </c>
    </row>
    <row r="3217" spans="2:5">
      <c r="B3217" s="943">
        <v>45056</v>
      </c>
      <c r="C3217" s="195">
        <f t="shared" si="101"/>
        <v>5</v>
      </c>
      <c r="D3217" s="195">
        <v>54.9</v>
      </c>
      <c r="E3217" s="705">
        <f t="shared" si="102"/>
        <v>12.722222222222221</v>
      </c>
    </row>
    <row r="3218" spans="2:5">
      <c r="B3218" s="943">
        <v>45056</v>
      </c>
      <c r="C3218" s="195">
        <f t="shared" si="101"/>
        <v>5</v>
      </c>
      <c r="D3218" s="195" t="s">
        <v>1438</v>
      </c>
      <c r="E3218" s="705">
        <f t="shared" si="102"/>
        <v>12.222222222222221</v>
      </c>
    </row>
    <row r="3219" spans="2:5">
      <c r="B3219" s="943">
        <v>45056</v>
      </c>
      <c r="C3219" s="195">
        <f t="shared" si="101"/>
        <v>5</v>
      </c>
      <c r="D3219" s="195">
        <v>49.1</v>
      </c>
      <c r="E3219" s="705">
        <f t="shared" si="102"/>
        <v>9.5</v>
      </c>
    </row>
    <row r="3220" spans="2:5">
      <c r="B3220" s="943">
        <v>45056</v>
      </c>
      <c r="C3220" s="195">
        <f t="shared" si="101"/>
        <v>5</v>
      </c>
      <c r="D3220" s="195" t="s">
        <v>1435</v>
      </c>
      <c r="E3220" s="705">
        <f t="shared" si="102"/>
        <v>8.8888888888888893</v>
      </c>
    </row>
    <row r="3221" spans="2:5">
      <c r="B3221" s="943">
        <v>45056</v>
      </c>
      <c r="C3221" s="195">
        <f t="shared" si="101"/>
        <v>5</v>
      </c>
      <c r="D3221" s="195">
        <v>48.6</v>
      </c>
      <c r="E3221" s="705">
        <f t="shared" si="102"/>
        <v>9.2222222222222232</v>
      </c>
    </row>
    <row r="3222" spans="2:5">
      <c r="B3222" s="943">
        <v>45056</v>
      </c>
      <c r="C3222" s="195">
        <f t="shared" si="101"/>
        <v>5</v>
      </c>
      <c r="D3222" s="195">
        <v>48.4</v>
      </c>
      <c r="E3222" s="705">
        <f t="shared" si="102"/>
        <v>9.1111111111111107</v>
      </c>
    </row>
    <row r="3223" spans="2:5">
      <c r="B3223" s="943">
        <v>45056</v>
      </c>
      <c r="C3223" s="195">
        <f t="shared" si="101"/>
        <v>5</v>
      </c>
      <c r="D3223" s="195">
        <v>48.4</v>
      </c>
      <c r="E3223" s="705">
        <f t="shared" si="102"/>
        <v>9.1111111111111107</v>
      </c>
    </row>
    <row r="3224" spans="2:5">
      <c r="B3224" s="943">
        <v>45056</v>
      </c>
      <c r="C3224" s="195">
        <f t="shared" si="101"/>
        <v>5</v>
      </c>
      <c r="D3224" s="195">
        <v>48.6</v>
      </c>
      <c r="E3224" s="705">
        <f t="shared" si="102"/>
        <v>9.2222222222222232</v>
      </c>
    </row>
    <row r="3225" spans="2:5">
      <c r="B3225" s="943">
        <v>45057</v>
      </c>
      <c r="C3225" s="195">
        <f t="shared" si="101"/>
        <v>5</v>
      </c>
      <c r="D3225" s="195">
        <v>48.9</v>
      </c>
      <c r="E3225" s="705">
        <f t="shared" si="102"/>
        <v>9.3888888888888875</v>
      </c>
    </row>
    <row r="3226" spans="2:5">
      <c r="B3226" s="943">
        <v>45057</v>
      </c>
      <c r="C3226" s="195">
        <f t="shared" si="101"/>
        <v>5</v>
      </c>
      <c r="D3226" s="195">
        <v>50.7</v>
      </c>
      <c r="E3226" s="705">
        <f t="shared" si="102"/>
        <v>10.388888888888891</v>
      </c>
    </row>
    <row r="3227" spans="2:5">
      <c r="B3227" s="943">
        <v>45057</v>
      </c>
      <c r="C3227" s="195">
        <f t="shared" si="101"/>
        <v>5</v>
      </c>
      <c r="D3227" s="195">
        <v>52.7</v>
      </c>
      <c r="E3227" s="705">
        <f t="shared" si="102"/>
        <v>11.500000000000002</v>
      </c>
    </row>
    <row r="3228" spans="2:5">
      <c r="B3228" s="943">
        <v>45057</v>
      </c>
      <c r="C3228" s="195">
        <f t="shared" si="101"/>
        <v>5</v>
      </c>
      <c r="D3228" s="195">
        <v>53.6</v>
      </c>
      <c r="E3228" s="705">
        <f t="shared" si="102"/>
        <v>12</v>
      </c>
    </row>
    <row r="3229" spans="2:5">
      <c r="B3229" s="943">
        <v>45057</v>
      </c>
      <c r="C3229" s="195">
        <f t="shared" si="101"/>
        <v>5</v>
      </c>
      <c r="D3229" s="195">
        <v>53.8</v>
      </c>
      <c r="E3229" s="705">
        <f t="shared" si="102"/>
        <v>12.111111111111109</v>
      </c>
    </row>
    <row r="3230" spans="2:5">
      <c r="B3230" s="943">
        <v>45057</v>
      </c>
      <c r="C3230" s="195">
        <f t="shared" si="101"/>
        <v>5</v>
      </c>
      <c r="D3230" s="195">
        <v>52.9</v>
      </c>
      <c r="E3230" s="705">
        <f t="shared" si="102"/>
        <v>11.611111111111111</v>
      </c>
    </row>
    <row r="3231" spans="2:5">
      <c r="B3231" s="943">
        <v>45057</v>
      </c>
      <c r="C3231" s="195">
        <f t="shared" si="101"/>
        <v>5</v>
      </c>
      <c r="D3231" s="195" t="s">
        <v>1436</v>
      </c>
      <c r="E3231" s="705">
        <f t="shared" si="102"/>
        <v>10</v>
      </c>
    </row>
    <row r="3232" spans="2:5">
      <c r="B3232" s="943">
        <v>45057</v>
      </c>
      <c r="C3232" s="195">
        <f t="shared" si="101"/>
        <v>5</v>
      </c>
      <c r="D3232" s="195">
        <v>49.1</v>
      </c>
      <c r="E3232" s="705">
        <f t="shared" si="102"/>
        <v>9.5</v>
      </c>
    </row>
    <row r="3233" spans="2:5">
      <c r="B3233" s="943">
        <v>45057</v>
      </c>
      <c r="C3233" s="195">
        <f t="shared" si="101"/>
        <v>5</v>
      </c>
      <c r="D3233" s="195">
        <v>47.5</v>
      </c>
      <c r="E3233" s="705">
        <f t="shared" si="102"/>
        <v>8.6111111111111107</v>
      </c>
    </row>
    <row r="3234" spans="2:5">
      <c r="B3234" s="943">
        <v>45057</v>
      </c>
      <c r="C3234" s="195">
        <f t="shared" si="101"/>
        <v>5</v>
      </c>
      <c r="D3234" s="195">
        <v>47.1</v>
      </c>
      <c r="E3234" s="705">
        <f t="shared" si="102"/>
        <v>8.3888888888888893</v>
      </c>
    </row>
    <row r="3235" spans="2:5">
      <c r="B3235" s="943">
        <v>45057</v>
      </c>
      <c r="C3235" s="195">
        <f t="shared" si="101"/>
        <v>5</v>
      </c>
      <c r="D3235" s="195">
        <v>47.3</v>
      </c>
      <c r="E3235" s="705">
        <f t="shared" si="102"/>
        <v>8.4999999999999982</v>
      </c>
    </row>
    <row r="3236" spans="2:5">
      <c r="B3236" s="943">
        <v>45057</v>
      </c>
      <c r="C3236" s="195">
        <f t="shared" si="101"/>
        <v>5</v>
      </c>
      <c r="D3236" s="195">
        <v>47.3</v>
      </c>
      <c r="E3236" s="705">
        <f t="shared" si="102"/>
        <v>8.4999999999999982</v>
      </c>
    </row>
    <row r="3237" spans="2:5">
      <c r="B3237" s="943">
        <v>45057</v>
      </c>
      <c r="C3237" s="195">
        <f t="shared" si="101"/>
        <v>5</v>
      </c>
      <c r="D3237" s="195">
        <v>47.8</v>
      </c>
      <c r="E3237" s="705">
        <f t="shared" si="102"/>
        <v>8.7777777777777768</v>
      </c>
    </row>
    <row r="3238" spans="2:5">
      <c r="B3238" s="943">
        <v>45057</v>
      </c>
      <c r="C3238" s="195">
        <f t="shared" si="101"/>
        <v>5</v>
      </c>
      <c r="D3238" s="195">
        <v>49.6</v>
      </c>
      <c r="E3238" s="705">
        <f t="shared" si="102"/>
        <v>9.7777777777777786</v>
      </c>
    </row>
    <row r="3239" spans="2:5">
      <c r="B3239" s="943">
        <v>45057</v>
      </c>
      <c r="C3239" s="195">
        <f t="shared" si="101"/>
        <v>5</v>
      </c>
      <c r="D3239" s="195">
        <v>51.4</v>
      </c>
      <c r="E3239" s="705">
        <f t="shared" si="102"/>
        <v>10.777777777777777</v>
      </c>
    </row>
    <row r="3240" spans="2:5">
      <c r="B3240" s="943">
        <v>45057</v>
      </c>
      <c r="C3240" s="195">
        <f t="shared" si="101"/>
        <v>5</v>
      </c>
      <c r="D3240" s="195">
        <v>53.1</v>
      </c>
      <c r="E3240" s="705">
        <f t="shared" si="102"/>
        <v>11.722222222222223</v>
      </c>
    </row>
    <row r="3241" spans="2:5">
      <c r="B3241" s="943">
        <v>45057</v>
      </c>
      <c r="C3241" s="195">
        <f t="shared" si="101"/>
        <v>5</v>
      </c>
      <c r="D3241" s="195">
        <v>54.1</v>
      </c>
      <c r="E3241" s="705">
        <f t="shared" si="102"/>
        <v>12.277777777777779</v>
      </c>
    </row>
    <row r="3242" spans="2:5">
      <c r="B3242" s="943">
        <v>45057</v>
      </c>
      <c r="C3242" s="195">
        <f t="shared" si="101"/>
        <v>5</v>
      </c>
      <c r="D3242" s="195">
        <v>54.5</v>
      </c>
      <c r="E3242" s="705">
        <f t="shared" si="102"/>
        <v>12.5</v>
      </c>
    </row>
    <row r="3243" spans="2:5">
      <c r="B3243" s="943">
        <v>45057</v>
      </c>
      <c r="C3243" s="195">
        <f t="shared" si="101"/>
        <v>5</v>
      </c>
      <c r="D3243" s="195">
        <v>53.6</v>
      </c>
      <c r="E3243" s="705">
        <f t="shared" si="102"/>
        <v>12</v>
      </c>
    </row>
    <row r="3244" spans="2:5">
      <c r="B3244" s="943">
        <v>45057</v>
      </c>
      <c r="C3244" s="195">
        <f t="shared" si="101"/>
        <v>5</v>
      </c>
      <c r="D3244" s="195">
        <v>49.5</v>
      </c>
      <c r="E3244" s="705">
        <f t="shared" si="102"/>
        <v>9.7222222222222214</v>
      </c>
    </row>
    <row r="3245" spans="2:5">
      <c r="B3245" s="943">
        <v>45057</v>
      </c>
      <c r="C3245" s="195">
        <f t="shared" si="101"/>
        <v>5</v>
      </c>
      <c r="D3245" s="195">
        <v>48.7</v>
      </c>
      <c r="E3245" s="705">
        <f t="shared" si="102"/>
        <v>9.2777777777777786</v>
      </c>
    </row>
    <row r="3246" spans="2:5">
      <c r="B3246" s="943">
        <v>45057</v>
      </c>
      <c r="C3246" s="195">
        <f t="shared" si="101"/>
        <v>5</v>
      </c>
      <c r="D3246" s="195">
        <v>48.2</v>
      </c>
      <c r="E3246" s="705">
        <f t="shared" si="102"/>
        <v>9.0000000000000018</v>
      </c>
    </row>
    <row r="3247" spans="2:5">
      <c r="B3247" s="943">
        <v>45057</v>
      </c>
      <c r="C3247" s="195">
        <f t="shared" si="101"/>
        <v>5</v>
      </c>
      <c r="D3247" s="195">
        <v>48.2</v>
      </c>
      <c r="E3247" s="705">
        <f t="shared" si="102"/>
        <v>9.0000000000000018</v>
      </c>
    </row>
    <row r="3248" spans="2:5">
      <c r="B3248" s="943">
        <v>45057</v>
      </c>
      <c r="C3248" s="195">
        <f t="shared" si="101"/>
        <v>5</v>
      </c>
      <c r="D3248" s="195">
        <v>48.4</v>
      </c>
      <c r="E3248" s="705">
        <f t="shared" si="102"/>
        <v>9.1111111111111107</v>
      </c>
    </row>
    <row r="3249" spans="2:5">
      <c r="B3249" s="943">
        <v>45058</v>
      </c>
      <c r="C3249" s="195">
        <f t="shared" si="101"/>
        <v>5</v>
      </c>
      <c r="D3249" s="195">
        <v>48.4</v>
      </c>
      <c r="E3249" s="705">
        <f t="shared" si="102"/>
        <v>9.1111111111111107</v>
      </c>
    </row>
    <row r="3250" spans="2:5">
      <c r="B3250" s="943">
        <v>45058</v>
      </c>
      <c r="C3250" s="195">
        <f t="shared" si="101"/>
        <v>5</v>
      </c>
      <c r="D3250" s="195">
        <v>48.7</v>
      </c>
      <c r="E3250" s="705">
        <f t="shared" si="102"/>
        <v>9.2777777777777786</v>
      </c>
    </row>
    <row r="3251" spans="2:5">
      <c r="B3251" s="943">
        <v>45058</v>
      </c>
      <c r="C3251" s="195">
        <f t="shared" si="101"/>
        <v>5</v>
      </c>
      <c r="D3251" s="195">
        <v>50.5</v>
      </c>
      <c r="E3251" s="705">
        <f t="shared" si="102"/>
        <v>10.277777777777777</v>
      </c>
    </row>
    <row r="3252" spans="2:5">
      <c r="B3252" s="943">
        <v>45058</v>
      </c>
      <c r="C3252" s="195">
        <f t="shared" si="101"/>
        <v>5</v>
      </c>
      <c r="D3252" s="195">
        <v>52.5</v>
      </c>
      <c r="E3252" s="705">
        <f t="shared" si="102"/>
        <v>11.388888888888889</v>
      </c>
    </row>
    <row r="3253" spans="2:5">
      <c r="B3253" s="943">
        <v>45058</v>
      </c>
      <c r="C3253" s="195">
        <f t="shared" si="101"/>
        <v>5</v>
      </c>
      <c r="D3253" s="195">
        <v>53.4</v>
      </c>
      <c r="E3253" s="705">
        <f t="shared" si="102"/>
        <v>11.888888888888888</v>
      </c>
    </row>
    <row r="3254" spans="2:5">
      <c r="B3254" s="943">
        <v>45058</v>
      </c>
      <c r="C3254" s="195">
        <f t="shared" si="101"/>
        <v>5</v>
      </c>
      <c r="D3254" s="195" t="s">
        <v>1438</v>
      </c>
      <c r="E3254" s="705">
        <f t="shared" si="102"/>
        <v>12.222222222222221</v>
      </c>
    </row>
    <row r="3255" spans="2:5">
      <c r="B3255" s="943">
        <v>45058</v>
      </c>
      <c r="C3255" s="195">
        <f t="shared" si="101"/>
        <v>5</v>
      </c>
      <c r="D3255" s="195">
        <v>53.1</v>
      </c>
      <c r="E3255" s="705">
        <f t="shared" si="102"/>
        <v>11.722222222222223</v>
      </c>
    </row>
    <row r="3256" spans="2:5">
      <c r="B3256" s="943">
        <v>45058</v>
      </c>
      <c r="C3256" s="195">
        <f t="shared" si="101"/>
        <v>5</v>
      </c>
      <c r="D3256" s="195">
        <v>50.5</v>
      </c>
      <c r="E3256" s="705">
        <f t="shared" si="102"/>
        <v>10.277777777777777</v>
      </c>
    </row>
    <row r="3257" spans="2:5">
      <c r="B3257" s="943">
        <v>45058</v>
      </c>
      <c r="C3257" s="195">
        <f t="shared" si="101"/>
        <v>5</v>
      </c>
      <c r="D3257" s="195">
        <v>49.1</v>
      </c>
      <c r="E3257" s="705">
        <f t="shared" si="102"/>
        <v>9.5</v>
      </c>
    </row>
    <row r="3258" spans="2:5">
      <c r="B3258" s="943">
        <v>45058</v>
      </c>
      <c r="C3258" s="195">
        <f t="shared" si="101"/>
        <v>5</v>
      </c>
      <c r="D3258" s="195">
        <v>47.5</v>
      </c>
      <c r="E3258" s="705">
        <f t="shared" si="102"/>
        <v>8.6111111111111107</v>
      </c>
    </row>
    <row r="3259" spans="2:5">
      <c r="B3259" s="943">
        <v>45058</v>
      </c>
      <c r="C3259" s="195">
        <f t="shared" si="101"/>
        <v>5</v>
      </c>
      <c r="D3259" s="195">
        <v>47.3</v>
      </c>
      <c r="E3259" s="705">
        <f t="shared" si="102"/>
        <v>8.4999999999999982</v>
      </c>
    </row>
    <row r="3260" spans="2:5">
      <c r="B3260" s="943">
        <v>45058</v>
      </c>
      <c r="C3260" s="195">
        <f t="shared" si="101"/>
        <v>5</v>
      </c>
      <c r="D3260" s="195">
        <v>47.1</v>
      </c>
      <c r="E3260" s="705">
        <f t="shared" si="102"/>
        <v>8.3888888888888893</v>
      </c>
    </row>
    <row r="3261" spans="2:5">
      <c r="B3261" s="943">
        <v>45058</v>
      </c>
      <c r="C3261" s="195">
        <f t="shared" si="101"/>
        <v>5</v>
      </c>
      <c r="D3261" s="195">
        <v>47.1</v>
      </c>
      <c r="E3261" s="705">
        <f t="shared" si="102"/>
        <v>8.3888888888888893</v>
      </c>
    </row>
    <row r="3262" spans="2:5">
      <c r="B3262" s="943">
        <v>45058</v>
      </c>
      <c r="C3262" s="195">
        <f t="shared" si="101"/>
        <v>5</v>
      </c>
      <c r="D3262" s="195">
        <v>47.8</v>
      </c>
      <c r="E3262" s="705">
        <f t="shared" si="102"/>
        <v>8.7777777777777768</v>
      </c>
    </row>
    <row r="3263" spans="2:5">
      <c r="B3263" s="943">
        <v>45058</v>
      </c>
      <c r="C3263" s="195">
        <f t="shared" si="101"/>
        <v>5</v>
      </c>
      <c r="D3263" s="195">
        <v>49.5</v>
      </c>
      <c r="E3263" s="705">
        <f t="shared" si="102"/>
        <v>9.7222222222222214</v>
      </c>
    </row>
    <row r="3264" spans="2:5">
      <c r="B3264" s="943">
        <v>45058</v>
      </c>
      <c r="C3264" s="195">
        <f t="shared" si="101"/>
        <v>5</v>
      </c>
      <c r="D3264" s="195">
        <v>51.6</v>
      </c>
      <c r="E3264" s="705">
        <f t="shared" si="102"/>
        <v>10.888888888888889</v>
      </c>
    </row>
    <row r="3265" spans="2:5">
      <c r="B3265" s="943">
        <v>45058</v>
      </c>
      <c r="C3265" s="195">
        <f t="shared" si="101"/>
        <v>5</v>
      </c>
      <c r="D3265" s="195">
        <v>53.2</v>
      </c>
      <c r="E3265" s="705">
        <f t="shared" si="102"/>
        <v>11.777777777777779</v>
      </c>
    </row>
    <row r="3266" spans="2:5">
      <c r="B3266" s="943">
        <v>45058</v>
      </c>
      <c r="C3266" s="195">
        <f t="shared" si="101"/>
        <v>5</v>
      </c>
      <c r="D3266" s="195">
        <v>54.3</v>
      </c>
      <c r="E3266" s="705">
        <f t="shared" si="102"/>
        <v>12.388888888888888</v>
      </c>
    </row>
    <row r="3267" spans="2:5">
      <c r="B3267" s="943">
        <v>45058</v>
      </c>
      <c r="C3267" s="195">
        <f t="shared" si="101"/>
        <v>5</v>
      </c>
      <c r="D3267" s="195">
        <v>54.9</v>
      </c>
      <c r="E3267" s="705">
        <f t="shared" si="102"/>
        <v>12.722222222222221</v>
      </c>
    </row>
    <row r="3268" spans="2:5">
      <c r="B3268" s="943">
        <v>45058</v>
      </c>
      <c r="C3268" s="195">
        <f t="shared" si="101"/>
        <v>5</v>
      </c>
      <c r="D3268" s="195">
        <v>53.6</v>
      </c>
      <c r="E3268" s="705">
        <f t="shared" si="102"/>
        <v>12</v>
      </c>
    </row>
    <row r="3269" spans="2:5">
      <c r="B3269" s="943">
        <v>45058</v>
      </c>
      <c r="C3269" s="195">
        <f t="shared" si="101"/>
        <v>5</v>
      </c>
      <c r="D3269" s="195">
        <v>49.8</v>
      </c>
      <c r="E3269" s="705">
        <f t="shared" si="102"/>
        <v>9.8888888888888875</v>
      </c>
    </row>
    <row r="3270" spans="2:5">
      <c r="B3270" s="943">
        <v>45058</v>
      </c>
      <c r="C3270" s="195">
        <f t="shared" si="101"/>
        <v>5</v>
      </c>
      <c r="D3270" s="195">
        <v>49.3</v>
      </c>
      <c r="E3270" s="705">
        <f t="shared" si="102"/>
        <v>9.6111111111111089</v>
      </c>
    </row>
    <row r="3271" spans="2:5">
      <c r="B3271" s="943">
        <v>45058</v>
      </c>
      <c r="C3271" s="195">
        <f t="shared" si="101"/>
        <v>5</v>
      </c>
      <c r="D3271" s="195">
        <v>48.6</v>
      </c>
      <c r="E3271" s="705">
        <f t="shared" si="102"/>
        <v>9.2222222222222232</v>
      </c>
    </row>
    <row r="3272" spans="2:5">
      <c r="B3272" s="943">
        <v>45058</v>
      </c>
      <c r="C3272" s="195">
        <f t="shared" si="101"/>
        <v>5</v>
      </c>
      <c r="D3272" s="195" t="s">
        <v>1435</v>
      </c>
      <c r="E3272" s="705">
        <f t="shared" si="102"/>
        <v>8.8888888888888893</v>
      </c>
    </row>
    <row r="3273" spans="2:5">
      <c r="B3273" s="943">
        <v>45059</v>
      </c>
      <c r="C3273" s="195">
        <f t="shared" si="101"/>
        <v>5</v>
      </c>
      <c r="D3273" s="195">
        <v>48.2</v>
      </c>
      <c r="E3273" s="705">
        <f t="shared" si="102"/>
        <v>9.0000000000000018</v>
      </c>
    </row>
    <row r="3274" spans="2:5">
      <c r="B3274" s="943">
        <v>45059</v>
      </c>
      <c r="C3274" s="195">
        <f t="shared" ref="C3274:C3337" si="103">MONTH(B3274)</f>
        <v>5</v>
      </c>
      <c r="D3274" s="195" t="s">
        <v>1435</v>
      </c>
      <c r="E3274" s="705">
        <f t="shared" ref="E3274:E3337" si="104">CONVERT(D3274,"F","C")</f>
        <v>8.8888888888888893</v>
      </c>
    </row>
    <row r="3275" spans="2:5">
      <c r="B3275" s="943">
        <v>45059</v>
      </c>
      <c r="C3275" s="195">
        <f t="shared" si="103"/>
        <v>5</v>
      </c>
      <c r="D3275" s="195">
        <v>48.7</v>
      </c>
      <c r="E3275" s="705">
        <f t="shared" si="104"/>
        <v>9.2777777777777786</v>
      </c>
    </row>
    <row r="3276" spans="2:5">
      <c r="B3276" s="943">
        <v>45059</v>
      </c>
      <c r="C3276" s="195">
        <f t="shared" si="103"/>
        <v>5</v>
      </c>
      <c r="D3276" s="195">
        <v>50.4</v>
      </c>
      <c r="E3276" s="705">
        <f t="shared" si="104"/>
        <v>10.222222222222221</v>
      </c>
    </row>
    <row r="3277" spans="2:5">
      <c r="B3277" s="943">
        <v>45059</v>
      </c>
      <c r="C3277" s="195">
        <f t="shared" si="103"/>
        <v>5</v>
      </c>
      <c r="D3277" s="195">
        <v>52.5</v>
      </c>
      <c r="E3277" s="705">
        <f t="shared" si="104"/>
        <v>11.388888888888889</v>
      </c>
    </row>
    <row r="3278" spans="2:5">
      <c r="B3278" s="943">
        <v>45059</v>
      </c>
      <c r="C3278" s="195">
        <f t="shared" si="103"/>
        <v>5</v>
      </c>
      <c r="D3278" s="195">
        <v>53.6</v>
      </c>
      <c r="E3278" s="705">
        <f t="shared" si="104"/>
        <v>12</v>
      </c>
    </row>
    <row r="3279" spans="2:5">
      <c r="B3279" s="943">
        <v>45059</v>
      </c>
      <c r="C3279" s="195">
        <f t="shared" si="103"/>
        <v>5</v>
      </c>
      <c r="D3279" s="195">
        <v>54.3</v>
      </c>
      <c r="E3279" s="705">
        <f t="shared" si="104"/>
        <v>12.388888888888888</v>
      </c>
    </row>
    <row r="3280" spans="2:5">
      <c r="B3280" s="943">
        <v>45059</v>
      </c>
      <c r="C3280" s="195">
        <f t="shared" si="103"/>
        <v>5</v>
      </c>
      <c r="D3280" s="195">
        <v>52.7</v>
      </c>
      <c r="E3280" s="705">
        <f t="shared" si="104"/>
        <v>11.500000000000002</v>
      </c>
    </row>
    <row r="3281" spans="2:5">
      <c r="B3281" s="943">
        <v>45059</v>
      </c>
      <c r="C3281" s="195">
        <f t="shared" si="103"/>
        <v>5</v>
      </c>
      <c r="D3281" s="195">
        <v>50.7</v>
      </c>
      <c r="E3281" s="705">
        <f t="shared" si="104"/>
        <v>10.388888888888891</v>
      </c>
    </row>
    <row r="3282" spans="2:5">
      <c r="B3282" s="943">
        <v>45059</v>
      </c>
      <c r="C3282" s="195">
        <f t="shared" si="103"/>
        <v>5</v>
      </c>
      <c r="D3282" s="195">
        <v>49.1</v>
      </c>
      <c r="E3282" s="705">
        <f t="shared" si="104"/>
        <v>9.5</v>
      </c>
    </row>
    <row r="3283" spans="2:5">
      <c r="B3283" s="943">
        <v>45059</v>
      </c>
      <c r="C3283" s="195">
        <f t="shared" si="103"/>
        <v>5</v>
      </c>
      <c r="D3283" s="195" t="s">
        <v>1435</v>
      </c>
      <c r="E3283" s="705">
        <f t="shared" si="104"/>
        <v>8.8888888888888893</v>
      </c>
    </row>
    <row r="3284" spans="2:5">
      <c r="B3284" s="943">
        <v>45059</v>
      </c>
      <c r="C3284" s="195">
        <f t="shared" si="103"/>
        <v>5</v>
      </c>
      <c r="D3284" s="195">
        <v>47.3</v>
      </c>
      <c r="E3284" s="705">
        <f t="shared" si="104"/>
        <v>8.4999999999999982</v>
      </c>
    </row>
    <row r="3285" spans="2:5">
      <c r="B3285" s="943">
        <v>45059</v>
      </c>
      <c r="C3285" s="195">
        <f t="shared" si="103"/>
        <v>5</v>
      </c>
      <c r="D3285" s="195">
        <v>47.3</v>
      </c>
      <c r="E3285" s="705">
        <f t="shared" si="104"/>
        <v>8.4999999999999982</v>
      </c>
    </row>
    <row r="3286" spans="2:5">
      <c r="B3286" s="943">
        <v>45059</v>
      </c>
      <c r="C3286" s="195">
        <f t="shared" si="103"/>
        <v>5</v>
      </c>
      <c r="D3286" s="195">
        <v>47.3</v>
      </c>
      <c r="E3286" s="705">
        <f t="shared" si="104"/>
        <v>8.4999999999999982</v>
      </c>
    </row>
    <row r="3287" spans="2:5">
      <c r="B3287" s="943">
        <v>45059</v>
      </c>
      <c r="C3287" s="195">
        <f t="shared" si="103"/>
        <v>5</v>
      </c>
      <c r="D3287" s="195" t="s">
        <v>1435</v>
      </c>
      <c r="E3287" s="705">
        <f t="shared" si="104"/>
        <v>8.8888888888888893</v>
      </c>
    </row>
    <row r="3288" spans="2:5">
      <c r="B3288" s="943">
        <v>45059</v>
      </c>
      <c r="C3288" s="195">
        <f t="shared" si="103"/>
        <v>5</v>
      </c>
      <c r="D3288" s="195">
        <v>49.8</v>
      </c>
      <c r="E3288" s="705">
        <f t="shared" si="104"/>
        <v>9.8888888888888875</v>
      </c>
    </row>
    <row r="3289" spans="2:5">
      <c r="B3289" s="943">
        <v>45059</v>
      </c>
      <c r="C3289" s="195">
        <f t="shared" si="103"/>
        <v>5</v>
      </c>
      <c r="D3289" s="195">
        <v>52.3</v>
      </c>
      <c r="E3289" s="705">
        <f t="shared" si="104"/>
        <v>11.277777777777777</v>
      </c>
    </row>
    <row r="3290" spans="2:5">
      <c r="B3290" s="943">
        <v>45059</v>
      </c>
      <c r="C3290" s="195">
        <f t="shared" si="103"/>
        <v>5</v>
      </c>
      <c r="D3290" s="195" t="s">
        <v>1438</v>
      </c>
      <c r="E3290" s="705">
        <f t="shared" si="104"/>
        <v>12.222222222222221</v>
      </c>
    </row>
    <row r="3291" spans="2:5">
      <c r="B3291" s="943">
        <v>45059</v>
      </c>
      <c r="C3291" s="195">
        <f t="shared" si="103"/>
        <v>5</v>
      </c>
      <c r="D3291" s="195">
        <v>55.2</v>
      </c>
      <c r="E3291" s="705">
        <f t="shared" si="104"/>
        <v>12.888888888888889</v>
      </c>
    </row>
    <row r="3292" spans="2:5">
      <c r="B3292" s="943">
        <v>45059</v>
      </c>
      <c r="C3292" s="195">
        <f t="shared" si="103"/>
        <v>5</v>
      </c>
      <c r="D3292" s="195">
        <v>55.9</v>
      </c>
      <c r="E3292" s="705">
        <f t="shared" si="104"/>
        <v>13.277777777777777</v>
      </c>
    </row>
    <row r="3293" spans="2:5">
      <c r="B3293" s="943">
        <v>45059</v>
      </c>
      <c r="C3293" s="195">
        <f t="shared" si="103"/>
        <v>5</v>
      </c>
      <c r="D3293" s="195">
        <v>54.9</v>
      </c>
      <c r="E3293" s="705">
        <f t="shared" si="104"/>
        <v>12.722222222222221</v>
      </c>
    </row>
    <row r="3294" spans="2:5">
      <c r="B3294" s="943">
        <v>45059</v>
      </c>
      <c r="C3294" s="195">
        <f t="shared" si="103"/>
        <v>5</v>
      </c>
      <c r="D3294" s="195">
        <v>51.3</v>
      </c>
      <c r="E3294" s="705">
        <f t="shared" si="104"/>
        <v>10.72222222222222</v>
      </c>
    </row>
    <row r="3295" spans="2:5">
      <c r="B3295" s="943">
        <v>45059</v>
      </c>
      <c r="C3295" s="195">
        <f t="shared" si="103"/>
        <v>5</v>
      </c>
      <c r="D3295" s="195">
        <v>49.8</v>
      </c>
      <c r="E3295" s="705">
        <f t="shared" si="104"/>
        <v>9.8888888888888875</v>
      </c>
    </row>
    <row r="3296" spans="2:5">
      <c r="B3296" s="943">
        <v>45059</v>
      </c>
      <c r="C3296" s="195">
        <f t="shared" si="103"/>
        <v>5</v>
      </c>
      <c r="D3296" s="195">
        <v>48.4</v>
      </c>
      <c r="E3296" s="705">
        <f t="shared" si="104"/>
        <v>9.1111111111111107</v>
      </c>
    </row>
    <row r="3297" spans="2:5">
      <c r="B3297" s="943">
        <v>45060</v>
      </c>
      <c r="C3297" s="195">
        <f t="shared" si="103"/>
        <v>5</v>
      </c>
      <c r="D3297" s="195">
        <v>46.9</v>
      </c>
      <c r="E3297" s="705">
        <f t="shared" si="104"/>
        <v>8.2777777777777768</v>
      </c>
    </row>
    <row r="3298" spans="2:5">
      <c r="B3298" s="943">
        <v>45060</v>
      </c>
      <c r="C3298" s="195">
        <f t="shared" si="103"/>
        <v>5</v>
      </c>
      <c r="D3298" s="195">
        <v>46.9</v>
      </c>
      <c r="E3298" s="705">
        <f t="shared" si="104"/>
        <v>8.2777777777777768</v>
      </c>
    </row>
    <row r="3299" spans="2:5">
      <c r="B3299" s="943">
        <v>45060</v>
      </c>
      <c r="C3299" s="195">
        <f t="shared" si="103"/>
        <v>5</v>
      </c>
      <c r="D3299" s="195">
        <v>47.3</v>
      </c>
      <c r="E3299" s="705">
        <f t="shared" si="104"/>
        <v>8.4999999999999982</v>
      </c>
    </row>
    <row r="3300" spans="2:5">
      <c r="B3300" s="943">
        <v>45060</v>
      </c>
      <c r="C3300" s="195">
        <f t="shared" si="103"/>
        <v>5</v>
      </c>
      <c r="D3300" s="195">
        <v>48.2</v>
      </c>
      <c r="E3300" s="705">
        <f t="shared" si="104"/>
        <v>9.0000000000000018</v>
      </c>
    </row>
    <row r="3301" spans="2:5">
      <c r="B3301" s="943">
        <v>45060</v>
      </c>
      <c r="C3301" s="195">
        <f t="shared" si="103"/>
        <v>5</v>
      </c>
      <c r="D3301" s="195" t="s">
        <v>1436</v>
      </c>
      <c r="E3301" s="705">
        <f t="shared" si="104"/>
        <v>10</v>
      </c>
    </row>
    <row r="3302" spans="2:5">
      <c r="B3302" s="943">
        <v>45060</v>
      </c>
      <c r="C3302" s="195">
        <f t="shared" si="103"/>
        <v>5</v>
      </c>
      <c r="D3302" s="195">
        <v>52.3</v>
      </c>
      <c r="E3302" s="705">
        <f t="shared" si="104"/>
        <v>11.277777777777777</v>
      </c>
    </row>
    <row r="3303" spans="2:5">
      <c r="B3303" s="943">
        <v>45060</v>
      </c>
      <c r="C3303" s="195">
        <f t="shared" si="103"/>
        <v>5</v>
      </c>
      <c r="D3303" s="195">
        <v>53.8</v>
      </c>
      <c r="E3303" s="705">
        <f t="shared" si="104"/>
        <v>12.111111111111109</v>
      </c>
    </row>
    <row r="3304" spans="2:5">
      <c r="B3304" s="943">
        <v>45060</v>
      </c>
      <c r="C3304" s="195">
        <f t="shared" si="103"/>
        <v>5</v>
      </c>
      <c r="D3304" s="195">
        <v>54.5</v>
      </c>
      <c r="E3304" s="705">
        <f t="shared" si="104"/>
        <v>12.5</v>
      </c>
    </row>
    <row r="3305" spans="2:5">
      <c r="B3305" s="943">
        <v>45060</v>
      </c>
      <c r="C3305" s="195">
        <f t="shared" si="103"/>
        <v>5</v>
      </c>
      <c r="D3305" s="195">
        <v>53.6</v>
      </c>
      <c r="E3305" s="705">
        <f t="shared" si="104"/>
        <v>12</v>
      </c>
    </row>
    <row r="3306" spans="2:5">
      <c r="B3306" s="943">
        <v>45060</v>
      </c>
      <c r="C3306" s="195">
        <f t="shared" si="103"/>
        <v>5</v>
      </c>
      <c r="D3306" s="195">
        <v>51.3</v>
      </c>
      <c r="E3306" s="705">
        <f t="shared" si="104"/>
        <v>10.72222222222222</v>
      </c>
    </row>
    <row r="3307" spans="2:5">
      <c r="B3307" s="943">
        <v>45060</v>
      </c>
      <c r="C3307" s="195">
        <f t="shared" si="103"/>
        <v>5</v>
      </c>
      <c r="D3307" s="195">
        <v>49.8</v>
      </c>
      <c r="E3307" s="705">
        <f t="shared" si="104"/>
        <v>9.8888888888888875</v>
      </c>
    </row>
    <row r="3308" spans="2:5">
      <c r="B3308" s="943">
        <v>45060</v>
      </c>
      <c r="C3308" s="195">
        <f t="shared" si="103"/>
        <v>5</v>
      </c>
      <c r="D3308" s="195">
        <v>48.9</v>
      </c>
      <c r="E3308" s="705">
        <f t="shared" si="104"/>
        <v>9.3888888888888875</v>
      </c>
    </row>
    <row r="3309" spans="2:5">
      <c r="B3309" s="943">
        <v>45060</v>
      </c>
      <c r="C3309" s="195">
        <f t="shared" si="103"/>
        <v>5</v>
      </c>
      <c r="D3309" s="195">
        <v>48.7</v>
      </c>
      <c r="E3309" s="705">
        <f t="shared" si="104"/>
        <v>9.2777777777777786</v>
      </c>
    </row>
    <row r="3310" spans="2:5">
      <c r="B3310" s="943">
        <v>45060</v>
      </c>
      <c r="C3310" s="195">
        <f t="shared" si="103"/>
        <v>5</v>
      </c>
      <c r="D3310" s="195">
        <v>48.7</v>
      </c>
      <c r="E3310" s="705">
        <f t="shared" si="104"/>
        <v>9.2777777777777786</v>
      </c>
    </row>
    <row r="3311" spans="2:5">
      <c r="B3311" s="943">
        <v>45060</v>
      </c>
      <c r="C3311" s="195">
        <f t="shared" si="103"/>
        <v>5</v>
      </c>
      <c r="D3311" s="195">
        <v>48.9</v>
      </c>
      <c r="E3311" s="705">
        <f t="shared" si="104"/>
        <v>9.3888888888888875</v>
      </c>
    </row>
    <row r="3312" spans="2:5">
      <c r="B3312" s="943">
        <v>45060</v>
      </c>
      <c r="C3312" s="195">
        <f t="shared" si="103"/>
        <v>5</v>
      </c>
      <c r="D3312" s="195">
        <v>49.3</v>
      </c>
      <c r="E3312" s="705">
        <f t="shared" si="104"/>
        <v>9.6111111111111089</v>
      </c>
    </row>
    <row r="3313" spans="2:5">
      <c r="B3313" s="943">
        <v>45060</v>
      </c>
      <c r="C3313" s="195">
        <f t="shared" si="103"/>
        <v>5</v>
      </c>
      <c r="D3313" s="195">
        <v>50.2</v>
      </c>
      <c r="E3313" s="705">
        <f t="shared" si="104"/>
        <v>10.111111111111112</v>
      </c>
    </row>
    <row r="3314" spans="2:5">
      <c r="B3314" s="943">
        <v>45060</v>
      </c>
      <c r="C3314" s="195">
        <f t="shared" si="103"/>
        <v>5</v>
      </c>
      <c r="D3314" s="195">
        <v>52.2</v>
      </c>
      <c r="E3314" s="705">
        <f t="shared" si="104"/>
        <v>11.222222222222223</v>
      </c>
    </row>
    <row r="3315" spans="2:5">
      <c r="B3315" s="943">
        <v>45060</v>
      </c>
      <c r="C3315" s="195">
        <f t="shared" si="103"/>
        <v>5</v>
      </c>
      <c r="D3315" s="195">
        <v>53.8</v>
      </c>
      <c r="E3315" s="705">
        <f t="shared" si="104"/>
        <v>12.111111111111109</v>
      </c>
    </row>
    <row r="3316" spans="2:5">
      <c r="B3316" s="943">
        <v>45060</v>
      </c>
      <c r="C3316" s="195">
        <f t="shared" si="103"/>
        <v>5</v>
      </c>
      <c r="D3316" s="195" t="s">
        <v>1439</v>
      </c>
      <c r="E3316" s="705">
        <f t="shared" si="104"/>
        <v>12.777777777777777</v>
      </c>
    </row>
    <row r="3317" spans="2:5">
      <c r="B3317" s="943">
        <v>45060</v>
      </c>
      <c r="C3317" s="195">
        <f t="shared" si="103"/>
        <v>5</v>
      </c>
      <c r="D3317" s="195">
        <v>55.6</v>
      </c>
      <c r="E3317" s="705">
        <f t="shared" si="104"/>
        <v>13.111111111111111</v>
      </c>
    </row>
    <row r="3318" spans="2:5">
      <c r="B3318" s="943">
        <v>45060</v>
      </c>
      <c r="C3318" s="195">
        <f t="shared" si="103"/>
        <v>5</v>
      </c>
      <c r="D3318" s="195">
        <v>54.9</v>
      </c>
      <c r="E3318" s="705">
        <f t="shared" si="104"/>
        <v>12.722222222222221</v>
      </c>
    </row>
    <row r="3319" spans="2:5">
      <c r="B3319" s="943">
        <v>45060</v>
      </c>
      <c r="C3319" s="195">
        <f t="shared" si="103"/>
        <v>5</v>
      </c>
      <c r="D3319" s="195">
        <v>52.5</v>
      </c>
      <c r="E3319" s="705">
        <f t="shared" si="104"/>
        <v>11.388888888888889</v>
      </c>
    </row>
    <row r="3320" spans="2:5">
      <c r="B3320" s="943">
        <v>45060</v>
      </c>
      <c r="C3320" s="195">
        <f t="shared" si="103"/>
        <v>5</v>
      </c>
      <c r="D3320" s="195">
        <v>52.2</v>
      </c>
      <c r="E3320" s="705">
        <f t="shared" si="104"/>
        <v>11.222222222222223</v>
      </c>
    </row>
    <row r="3321" spans="2:5">
      <c r="B3321" s="943">
        <v>45061</v>
      </c>
      <c r="C3321" s="195">
        <f t="shared" si="103"/>
        <v>5</v>
      </c>
      <c r="D3321" s="195">
        <v>51.1</v>
      </c>
      <c r="E3321" s="705">
        <f t="shared" si="104"/>
        <v>10.611111111111112</v>
      </c>
    </row>
    <row r="3322" spans="2:5">
      <c r="B3322" s="943">
        <v>45061</v>
      </c>
      <c r="C3322" s="195">
        <f t="shared" si="103"/>
        <v>5</v>
      </c>
      <c r="D3322" s="195">
        <v>50.4</v>
      </c>
      <c r="E3322" s="705">
        <f t="shared" si="104"/>
        <v>10.222222222222221</v>
      </c>
    </row>
    <row r="3323" spans="2:5">
      <c r="B3323" s="943">
        <v>45061</v>
      </c>
      <c r="C3323" s="195">
        <f t="shared" si="103"/>
        <v>5</v>
      </c>
      <c r="D3323" s="195" t="s">
        <v>1436</v>
      </c>
      <c r="E3323" s="705">
        <f t="shared" si="104"/>
        <v>10</v>
      </c>
    </row>
    <row r="3324" spans="2:5">
      <c r="B3324" s="943">
        <v>45061</v>
      </c>
      <c r="C3324" s="195">
        <f t="shared" si="103"/>
        <v>5</v>
      </c>
      <c r="D3324" s="195">
        <v>50.2</v>
      </c>
      <c r="E3324" s="705">
        <f t="shared" si="104"/>
        <v>10.111111111111112</v>
      </c>
    </row>
    <row r="3325" spans="2:5">
      <c r="B3325" s="943">
        <v>45061</v>
      </c>
      <c r="C3325" s="195">
        <f t="shared" si="103"/>
        <v>5</v>
      </c>
      <c r="D3325" s="195">
        <v>50.9</v>
      </c>
      <c r="E3325" s="705">
        <f t="shared" si="104"/>
        <v>10.499999999999998</v>
      </c>
    </row>
    <row r="3326" spans="2:5">
      <c r="B3326" s="943">
        <v>45061</v>
      </c>
      <c r="C3326" s="195">
        <f t="shared" si="103"/>
        <v>5</v>
      </c>
      <c r="D3326" s="195">
        <v>52.2</v>
      </c>
      <c r="E3326" s="705">
        <f t="shared" si="104"/>
        <v>11.222222222222223</v>
      </c>
    </row>
    <row r="3327" spans="2:5">
      <c r="B3327" s="943">
        <v>45061</v>
      </c>
      <c r="C3327" s="195">
        <f t="shared" si="103"/>
        <v>5</v>
      </c>
      <c r="D3327" s="195">
        <v>53.6</v>
      </c>
      <c r="E3327" s="705">
        <f t="shared" si="104"/>
        <v>12</v>
      </c>
    </row>
    <row r="3328" spans="2:5">
      <c r="B3328" s="943">
        <v>45061</v>
      </c>
      <c r="C3328" s="195">
        <f t="shared" si="103"/>
        <v>5</v>
      </c>
      <c r="D3328" s="195">
        <v>54.7</v>
      </c>
      <c r="E3328" s="705">
        <f t="shared" si="104"/>
        <v>12.611111111111112</v>
      </c>
    </row>
    <row r="3329" spans="2:5">
      <c r="B3329" s="943">
        <v>45061</v>
      </c>
      <c r="C3329" s="195">
        <f t="shared" si="103"/>
        <v>5</v>
      </c>
      <c r="D3329" s="195" t="s">
        <v>1439</v>
      </c>
      <c r="E3329" s="705">
        <f t="shared" si="104"/>
        <v>12.777777777777777</v>
      </c>
    </row>
    <row r="3330" spans="2:5">
      <c r="B3330" s="943">
        <v>45061</v>
      </c>
      <c r="C3330" s="195">
        <f t="shared" si="103"/>
        <v>5</v>
      </c>
      <c r="D3330" s="195">
        <v>54.9</v>
      </c>
      <c r="E3330" s="705">
        <f t="shared" si="104"/>
        <v>12.722222222222221</v>
      </c>
    </row>
    <row r="3331" spans="2:5">
      <c r="B3331" s="943">
        <v>45061</v>
      </c>
      <c r="C3331" s="195">
        <f t="shared" si="103"/>
        <v>5</v>
      </c>
      <c r="D3331" s="195">
        <v>53.2</v>
      </c>
      <c r="E3331" s="705">
        <f t="shared" si="104"/>
        <v>11.777777777777779</v>
      </c>
    </row>
    <row r="3332" spans="2:5">
      <c r="B3332" s="943">
        <v>45061</v>
      </c>
      <c r="C3332" s="195">
        <f t="shared" si="103"/>
        <v>5</v>
      </c>
      <c r="D3332" s="195" t="s">
        <v>1437</v>
      </c>
      <c r="E3332" s="705">
        <f t="shared" si="104"/>
        <v>11.111111111111111</v>
      </c>
    </row>
    <row r="3333" spans="2:5">
      <c r="B3333" s="943">
        <v>45061</v>
      </c>
      <c r="C3333" s="195">
        <f t="shared" si="103"/>
        <v>5</v>
      </c>
      <c r="D3333" s="195">
        <v>50.9</v>
      </c>
      <c r="E3333" s="705">
        <f t="shared" si="104"/>
        <v>10.499999999999998</v>
      </c>
    </row>
    <row r="3334" spans="2:5">
      <c r="B3334" s="943">
        <v>45061</v>
      </c>
      <c r="C3334" s="195">
        <f t="shared" si="103"/>
        <v>5</v>
      </c>
      <c r="D3334" s="195">
        <v>50.5</v>
      </c>
      <c r="E3334" s="705">
        <f t="shared" si="104"/>
        <v>10.277777777777777</v>
      </c>
    </row>
    <row r="3335" spans="2:5">
      <c r="B3335" s="943">
        <v>45061</v>
      </c>
      <c r="C3335" s="195">
        <f t="shared" si="103"/>
        <v>5</v>
      </c>
      <c r="D3335" s="195">
        <v>50.2</v>
      </c>
      <c r="E3335" s="705">
        <f t="shared" si="104"/>
        <v>10.111111111111112</v>
      </c>
    </row>
    <row r="3336" spans="2:5">
      <c r="B3336" s="943">
        <v>45061</v>
      </c>
      <c r="C3336" s="195">
        <f t="shared" si="103"/>
        <v>5</v>
      </c>
      <c r="D3336" s="195">
        <v>50.5</v>
      </c>
      <c r="E3336" s="705">
        <f t="shared" si="104"/>
        <v>10.277777777777777</v>
      </c>
    </row>
    <row r="3337" spans="2:5">
      <c r="B3337" s="943">
        <v>45061</v>
      </c>
      <c r="C3337" s="195">
        <f t="shared" si="103"/>
        <v>5</v>
      </c>
      <c r="D3337" s="195">
        <v>50.7</v>
      </c>
      <c r="E3337" s="705">
        <f t="shared" si="104"/>
        <v>10.388888888888891</v>
      </c>
    </row>
    <row r="3338" spans="2:5">
      <c r="B3338" s="943">
        <v>45061</v>
      </c>
      <c r="C3338" s="195">
        <f t="shared" ref="C3338:C3401" si="105">MONTH(B3338)</f>
        <v>5</v>
      </c>
      <c r="D3338" s="195">
        <v>51.8</v>
      </c>
      <c r="E3338" s="705">
        <f t="shared" ref="E3338:E3401" si="106">CONVERT(D3338,"F","C")</f>
        <v>10.999999999999998</v>
      </c>
    </row>
    <row r="3339" spans="2:5">
      <c r="B3339" s="943">
        <v>45061</v>
      </c>
      <c r="C3339" s="195">
        <f t="shared" si="105"/>
        <v>5</v>
      </c>
      <c r="D3339" s="195">
        <v>53.4</v>
      </c>
      <c r="E3339" s="705">
        <f t="shared" si="106"/>
        <v>11.888888888888888</v>
      </c>
    </row>
    <row r="3340" spans="2:5">
      <c r="B3340" s="943">
        <v>45061</v>
      </c>
      <c r="C3340" s="195">
        <f t="shared" si="105"/>
        <v>5</v>
      </c>
      <c r="D3340" s="195">
        <v>54.7</v>
      </c>
      <c r="E3340" s="705">
        <f t="shared" si="106"/>
        <v>12.611111111111112</v>
      </c>
    </row>
    <row r="3341" spans="2:5">
      <c r="B3341" s="943">
        <v>45061</v>
      </c>
      <c r="C3341" s="195">
        <f t="shared" si="105"/>
        <v>5</v>
      </c>
      <c r="D3341" s="195">
        <v>55.4</v>
      </c>
      <c r="E3341" s="705">
        <f t="shared" si="106"/>
        <v>12.999999999999998</v>
      </c>
    </row>
    <row r="3342" spans="2:5">
      <c r="B3342" s="943">
        <v>45061</v>
      </c>
      <c r="C3342" s="195">
        <f t="shared" si="105"/>
        <v>5</v>
      </c>
      <c r="D3342" s="195">
        <v>55.9</v>
      </c>
      <c r="E3342" s="705">
        <f t="shared" si="106"/>
        <v>13.277777777777777</v>
      </c>
    </row>
    <row r="3343" spans="2:5">
      <c r="B3343" s="943">
        <v>45061</v>
      </c>
      <c r="C3343" s="195">
        <f t="shared" si="105"/>
        <v>5</v>
      </c>
      <c r="D3343" s="195">
        <v>55.2</v>
      </c>
      <c r="E3343" s="705">
        <f t="shared" si="106"/>
        <v>12.888888888888889</v>
      </c>
    </row>
    <row r="3344" spans="2:5">
      <c r="B3344" s="943">
        <v>45061</v>
      </c>
      <c r="C3344" s="195">
        <f t="shared" si="105"/>
        <v>5</v>
      </c>
      <c r="D3344" s="195">
        <v>53.4</v>
      </c>
      <c r="E3344" s="705">
        <f t="shared" si="106"/>
        <v>11.888888888888888</v>
      </c>
    </row>
    <row r="3345" spans="2:5">
      <c r="B3345" s="943">
        <v>45062</v>
      </c>
      <c r="C3345" s="195">
        <f t="shared" si="105"/>
        <v>5</v>
      </c>
      <c r="D3345" s="195">
        <v>52.2</v>
      </c>
      <c r="E3345" s="705">
        <f t="shared" si="106"/>
        <v>11.222222222222223</v>
      </c>
    </row>
    <row r="3346" spans="2:5">
      <c r="B3346" s="943">
        <v>45062</v>
      </c>
      <c r="C3346" s="195">
        <f t="shared" si="105"/>
        <v>5</v>
      </c>
      <c r="D3346" s="195">
        <v>51.4</v>
      </c>
      <c r="E3346" s="705">
        <f t="shared" si="106"/>
        <v>10.777777777777777</v>
      </c>
    </row>
    <row r="3347" spans="2:5">
      <c r="B3347" s="943">
        <v>45062</v>
      </c>
      <c r="C3347" s="195">
        <f t="shared" si="105"/>
        <v>5</v>
      </c>
      <c r="D3347" s="195">
        <v>50.9</v>
      </c>
      <c r="E3347" s="705">
        <f t="shared" si="106"/>
        <v>10.499999999999998</v>
      </c>
    </row>
    <row r="3348" spans="2:5">
      <c r="B3348" s="943">
        <v>45062</v>
      </c>
      <c r="C3348" s="195">
        <f t="shared" si="105"/>
        <v>5</v>
      </c>
      <c r="D3348" s="195">
        <v>50.7</v>
      </c>
      <c r="E3348" s="705">
        <f t="shared" si="106"/>
        <v>10.388888888888891</v>
      </c>
    </row>
    <row r="3349" spans="2:5">
      <c r="B3349" s="943">
        <v>45062</v>
      </c>
      <c r="C3349" s="195">
        <f t="shared" si="105"/>
        <v>5</v>
      </c>
      <c r="D3349" s="195">
        <v>50.7</v>
      </c>
      <c r="E3349" s="705">
        <f t="shared" si="106"/>
        <v>10.388888888888891</v>
      </c>
    </row>
    <row r="3350" spans="2:5">
      <c r="B3350" s="943">
        <v>45062</v>
      </c>
      <c r="C3350" s="195">
        <f t="shared" si="105"/>
        <v>5</v>
      </c>
      <c r="D3350" s="195">
        <v>51.6</v>
      </c>
      <c r="E3350" s="705">
        <f t="shared" si="106"/>
        <v>10.888888888888889</v>
      </c>
    </row>
    <row r="3351" spans="2:5">
      <c r="B3351" s="943">
        <v>45062</v>
      </c>
      <c r="C3351" s="195">
        <f t="shared" si="105"/>
        <v>5</v>
      </c>
      <c r="D3351" s="195">
        <v>52.7</v>
      </c>
      <c r="E3351" s="705">
        <f t="shared" si="106"/>
        <v>11.500000000000002</v>
      </c>
    </row>
    <row r="3352" spans="2:5">
      <c r="B3352" s="943">
        <v>45062</v>
      </c>
      <c r="C3352" s="195">
        <f t="shared" si="105"/>
        <v>5</v>
      </c>
      <c r="D3352" s="195" t="s">
        <v>1438</v>
      </c>
      <c r="E3352" s="705">
        <f t="shared" si="106"/>
        <v>12.222222222222221</v>
      </c>
    </row>
    <row r="3353" spans="2:5">
      <c r="B3353" s="943">
        <v>45062</v>
      </c>
      <c r="C3353" s="195">
        <f t="shared" si="105"/>
        <v>5</v>
      </c>
      <c r="D3353" s="195">
        <v>54.9</v>
      </c>
      <c r="E3353" s="705">
        <f t="shared" si="106"/>
        <v>12.722222222222221</v>
      </c>
    </row>
    <row r="3354" spans="2:5">
      <c r="B3354" s="943">
        <v>45062</v>
      </c>
      <c r="C3354" s="195">
        <f t="shared" si="105"/>
        <v>5</v>
      </c>
      <c r="D3354" s="195">
        <v>55.4</v>
      </c>
      <c r="E3354" s="705">
        <f t="shared" si="106"/>
        <v>12.999999999999998</v>
      </c>
    </row>
    <row r="3355" spans="2:5">
      <c r="B3355" s="943">
        <v>45062</v>
      </c>
      <c r="C3355" s="195">
        <f t="shared" si="105"/>
        <v>5</v>
      </c>
      <c r="D3355" s="195">
        <v>55.2</v>
      </c>
      <c r="E3355" s="705">
        <f t="shared" si="106"/>
        <v>12.888888888888889</v>
      </c>
    </row>
    <row r="3356" spans="2:5">
      <c r="B3356" s="943">
        <v>45062</v>
      </c>
      <c r="C3356" s="195">
        <f t="shared" si="105"/>
        <v>5</v>
      </c>
      <c r="D3356" s="195">
        <v>53.8</v>
      </c>
      <c r="E3356" s="705">
        <f t="shared" si="106"/>
        <v>12.111111111111109</v>
      </c>
    </row>
    <row r="3357" spans="2:5">
      <c r="B3357" s="943">
        <v>45062</v>
      </c>
      <c r="C3357" s="195">
        <f t="shared" si="105"/>
        <v>5</v>
      </c>
      <c r="D3357" s="195">
        <v>51.1</v>
      </c>
      <c r="E3357" s="705">
        <f t="shared" si="106"/>
        <v>10.611111111111112</v>
      </c>
    </row>
    <row r="3358" spans="2:5">
      <c r="B3358" s="943">
        <v>45062</v>
      </c>
      <c r="C3358" s="195">
        <f t="shared" si="105"/>
        <v>5</v>
      </c>
      <c r="D3358" s="195">
        <v>49.8</v>
      </c>
      <c r="E3358" s="705">
        <f t="shared" si="106"/>
        <v>9.8888888888888875</v>
      </c>
    </row>
    <row r="3359" spans="2:5">
      <c r="B3359" s="943">
        <v>45062</v>
      </c>
      <c r="C3359" s="195">
        <f t="shared" si="105"/>
        <v>5</v>
      </c>
      <c r="D3359" s="195">
        <v>49.1</v>
      </c>
      <c r="E3359" s="705">
        <f t="shared" si="106"/>
        <v>9.5</v>
      </c>
    </row>
    <row r="3360" spans="2:5">
      <c r="B3360" s="943">
        <v>45062</v>
      </c>
      <c r="C3360" s="195">
        <f t="shared" si="105"/>
        <v>5</v>
      </c>
      <c r="D3360" s="195">
        <v>48.6</v>
      </c>
      <c r="E3360" s="705">
        <f t="shared" si="106"/>
        <v>9.2222222222222232</v>
      </c>
    </row>
    <row r="3361" spans="2:5">
      <c r="B3361" s="943">
        <v>45062</v>
      </c>
      <c r="C3361" s="195">
        <f t="shared" si="105"/>
        <v>5</v>
      </c>
      <c r="D3361" s="195">
        <v>49.1</v>
      </c>
      <c r="E3361" s="705">
        <f t="shared" si="106"/>
        <v>9.5</v>
      </c>
    </row>
    <row r="3362" spans="2:5">
      <c r="B3362" s="943">
        <v>45062</v>
      </c>
      <c r="C3362" s="195">
        <f t="shared" si="105"/>
        <v>5</v>
      </c>
      <c r="D3362" s="195">
        <v>49.1</v>
      </c>
      <c r="E3362" s="705">
        <f t="shared" si="106"/>
        <v>9.5</v>
      </c>
    </row>
    <row r="3363" spans="2:5">
      <c r="B3363" s="943">
        <v>45062</v>
      </c>
      <c r="C3363" s="195">
        <f t="shared" si="105"/>
        <v>5</v>
      </c>
      <c r="D3363" s="195">
        <v>50.4</v>
      </c>
      <c r="E3363" s="705">
        <f t="shared" si="106"/>
        <v>10.222222222222221</v>
      </c>
    </row>
    <row r="3364" spans="2:5">
      <c r="B3364" s="943">
        <v>45062</v>
      </c>
      <c r="C3364" s="195">
        <f t="shared" si="105"/>
        <v>5</v>
      </c>
      <c r="D3364" s="195">
        <v>52.3</v>
      </c>
      <c r="E3364" s="705">
        <f t="shared" si="106"/>
        <v>11.277777777777777</v>
      </c>
    </row>
    <row r="3365" spans="2:5">
      <c r="B3365" s="943">
        <v>45062</v>
      </c>
      <c r="C3365" s="195">
        <f t="shared" si="105"/>
        <v>5</v>
      </c>
      <c r="D3365" s="195" t="s">
        <v>1438</v>
      </c>
      <c r="E3365" s="705">
        <f t="shared" si="106"/>
        <v>12.222222222222221</v>
      </c>
    </row>
    <row r="3366" spans="2:5">
      <c r="B3366" s="943">
        <v>45062</v>
      </c>
      <c r="C3366" s="195">
        <f t="shared" si="105"/>
        <v>5</v>
      </c>
      <c r="D3366" s="195">
        <v>54.9</v>
      </c>
      <c r="E3366" s="705">
        <f t="shared" si="106"/>
        <v>12.722222222222221</v>
      </c>
    </row>
    <row r="3367" spans="2:5">
      <c r="B3367" s="943">
        <v>45062</v>
      </c>
      <c r="C3367" s="195">
        <f t="shared" si="105"/>
        <v>5</v>
      </c>
      <c r="D3367" s="195" t="s">
        <v>1439</v>
      </c>
      <c r="E3367" s="705">
        <f t="shared" si="106"/>
        <v>12.777777777777777</v>
      </c>
    </row>
    <row r="3368" spans="2:5">
      <c r="B3368" s="943">
        <v>45062</v>
      </c>
      <c r="C3368" s="195">
        <f t="shared" si="105"/>
        <v>5</v>
      </c>
      <c r="D3368" s="195">
        <v>53.8</v>
      </c>
      <c r="E3368" s="705">
        <f t="shared" si="106"/>
        <v>12.111111111111109</v>
      </c>
    </row>
    <row r="3369" spans="2:5">
      <c r="B3369" s="943">
        <v>45063</v>
      </c>
      <c r="C3369" s="195">
        <f t="shared" si="105"/>
        <v>5</v>
      </c>
      <c r="D3369" s="195">
        <v>50.9</v>
      </c>
      <c r="E3369" s="705">
        <f t="shared" si="106"/>
        <v>10.499999999999998</v>
      </c>
    </row>
    <row r="3370" spans="2:5">
      <c r="B3370" s="943">
        <v>45063</v>
      </c>
      <c r="C3370" s="195">
        <f t="shared" si="105"/>
        <v>5</v>
      </c>
      <c r="D3370" s="195">
        <v>48.7</v>
      </c>
      <c r="E3370" s="705">
        <f t="shared" si="106"/>
        <v>9.2777777777777786</v>
      </c>
    </row>
    <row r="3371" spans="2:5">
      <c r="B3371" s="943">
        <v>45063</v>
      </c>
      <c r="C3371" s="195">
        <f t="shared" si="105"/>
        <v>5</v>
      </c>
      <c r="D3371" s="195">
        <v>47.7</v>
      </c>
      <c r="E3371" s="705">
        <f t="shared" si="106"/>
        <v>8.7222222222222232</v>
      </c>
    </row>
    <row r="3372" spans="2:5">
      <c r="B3372" s="943">
        <v>45063</v>
      </c>
      <c r="C3372" s="195">
        <f t="shared" si="105"/>
        <v>5</v>
      </c>
      <c r="D3372" s="195">
        <v>47.1</v>
      </c>
      <c r="E3372" s="705">
        <f t="shared" si="106"/>
        <v>8.3888888888888893</v>
      </c>
    </row>
    <row r="3373" spans="2:5">
      <c r="B3373" s="943">
        <v>45063</v>
      </c>
      <c r="C3373" s="195">
        <f t="shared" si="105"/>
        <v>5</v>
      </c>
      <c r="D3373" s="195">
        <v>47.1</v>
      </c>
      <c r="E3373" s="705">
        <f t="shared" si="106"/>
        <v>8.3888888888888893</v>
      </c>
    </row>
    <row r="3374" spans="2:5">
      <c r="B3374" s="943">
        <v>45063</v>
      </c>
      <c r="C3374" s="195">
        <f t="shared" si="105"/>
        <v>5</v>
      </c>
      <c r="D3374" s="195">
        <v>47.5</v>
      </c>
      <c r="E3374" s="705">
        <f t="shared" si="106"/>
        <v>8.6111111111111107</v>
      </c>
    </row>
    <row r="3375" spans="2:5">
      <c r="B3375" s="943">
        <v>45063</v>
      </c>
      <c r="C3375" s="195">
        <f t="shared" si="105"/>
        <v>5</v>
      </c>
      <c r="D3375" s="195">
        <v>48.4</v>
      </c>
      <c r="E3375" s="705">
        <f t="shared" si="106"/>
        <v>9.1111111111111107</v>
      </c>
    </row>
    <row r="3376" spans="2:5">
      <c r="B3376" s="943">
        <v>45063</v>
      </c>
      <c r="C3376" s="195">
        <f t="shared" si="105"/>
        <v>5</v>
      </c>
      <c r="D3376" s="195">
        <v>50.4</v>
      </c>
      <c r="E3376" s="705">
        <f t="shared" si="106"/>
        <v>10.222222222222221</v>
      </c>
    </row>
    <row r="3377" spans="2:5">
      <c r="B3377" s="943">
        <v>45063</v>
      </c>
      <c r="C3377" s="195">
        <f t="shared" si="105"/>
        <v>5</v>
      </c>
      <c r="D3377" s="195">
        <v>52.3</v>
      </c>
      <c r="E3377" s="705">
        <f t="shared" si="106"/>
        <v>11.277777777777777</v>
      </c>
    </row>
    <row r="3378" spans="2:5">
      <c r="B3378" s="943">
        <v>45063</v>
      </c>
      <c r="C3378" s="195">
        <f t="shared" si="105"/>
        <v>5</v>
      </c>
      <c r="D3378" s="195">
        <v>53.6</v>
      </c>
      <c r="E3378" s="705">
        <f t="shared" si="106"/>
        <v>12</v>
      </c>
    </row>
    <row r="3379" spans="2:5">
      <c r="B3379" s="943">
        <v>45063</v>
      </c>
      <c r="C3379" s="195">
        <f t="shared" si="105"/>
        <v>5</v>
      </c>
      <c r="D3379" s="195">
        <v>54.3</v>
      </c>
      <c r="E3379" s="705">
        <f t="shared" si="106"/>
        <v>12.388888888888888</v>
      </c>
    </row>
    <row r="3380" spans="2:5">
      <c r="B3380" s="943">
        <v>45063</v>
      </c>
      <c r="C3380" s="195">
        <f t="shared" si="105"/>
        <v>5</v>
      </c>
      <c r="D3380" s="195">
        <v>54.1</v>
      </c>
      <c r="E3380" s="705">
        <f t="shared" si="106"/>
        <v>12.277777777777779</v>
      </c>
    </row>
    <row r="3381" spans="2:5">
      <c r="B3381" s="943">
        <v>45063</v>
      </c>
      <c r="C3381" s="195">
        <f t="shared" si="105"/>
        <v>5</v>
      </c>
      <c r="D3381" s="195" t="s">
        <v>1437</v>
      </c>
      <c r="E3381" s="705">
        <f t="shared" si="106"/>
        <v>11.111111111111111</v>
      </c>
    </row>
    <row r="3382" spans="2:5">
      <c r="B3382" s="943">
        <v>45063</v>
      </c>
      <c r="C3382" s="195">
        <f t="shared" si="105"/>
        <v>5</v>
      </c>
      <c r="D3382" s="195">
        <v>50.4</v>
      </c>
      <c r="E3382" s="705">
        <f t="shared" si="106"/>
        <v>10.222222222222221</v>
      </c>
    </row>
    <row r="3383" spans="2:5">
      <c r="B3383" s="943">
        <v>45063</v>
      </c>
      <c r="C3383" s="195">
        <f t="shared" si="105"/>
        <v>5</v>
      </c>
      <c r="D3383" s="195">
        <v>48.7</v>
      </c>
      <c r="E3383" s="705">
        <f t="shared" si="106"/>
        <v>9.2777777777777786</v>
      </c>
    </row>
    <row r="3384" spans="2:5">
      <c r="B3384" s="943">
        <v>45063</v>
      </c>
      <c r="C3384" s="195">
        <f t="shared" si="105"/>
        <v>5</v>
      </c>
      <c r="D3384" s="195" t="s">
        <v>1435</v>
      </c>
      <c r="E3384" s="705">
        <f t="shared" si="106"/>
        <v>8.8888888888888893</v>
      </c>
    </row>
    <row r="3385" spans="2:5">
      <c r="B3385" s="943">
        <v>45063</v>
      </c>
      <c r="C3385" s="195">
        <f t="shared" si="105"/>
        <v>5</v>
      </c>
      <c r="D3385" s="195" t="s">
        <v>1435</v>
      </c>
      <c r="E3385" s="705">
        <f t="shared" si="106"/>
        <v>8.8888888888888893</v>
      </c>
    </row>
    <row r="3386" spans="2:5">
      <c r="B3386" s="943">
        <v>45063</v>
      </c>
      <c r="C3386" s="195">
        <f t="shared" si="105"/>
        <v>5</v>
      </c>
      <c r="D3386" s="195" t="s">
        <v>1435</v>
      </c>
      <c r="E3386" s="705">
        <f t="shared" si="106"/>
        <v>8.8888888888888893</v>
      </c>
    </row>
    <row r="3387" spans="2:5">
      <c r="B3387" s="943">
        <v>45063</v>
      </c>
      <c r="C3387" s="195">
        <f t="shared" si="105"/>
        <v>5</v>
      </c>
      <c r="D3387" s="195">
        <v>48.9</v>
      </c>
      <c r="E3387" s="705">
        <f t="shared" si="106"/>
        <v>9.3888888888888875</v>
      </c>
    </row>
    <row r="3388" spans="2:5">
      <c r="B3388" s="943">
        <v>45063</v>
      </c>
      <c r="C3388" s="195">
        <f t="shared" si="105"/>
        <v>5</v>
      </c>
      <c r="D3388" s="195">
        <v>50.5</v>
      </c>
      <c r="E3388" s="705">
        <f t="shared" si="106"/>
        <v>10.277777777777777</v>
      </c>
    </row>
    <row r="3389" spans="2:5">
      <c r="B3389" s="943">
        <v>45063</v>
      </c>
      <c r="C3389" s="195">
        <f t="shared" si="105"/>
        <v>5</v>
      </c>
      <c r="D3389" s="195">
        <v>52.5</v>
      </c>
      <c r="E3389" s="705">
        <f t="shared" si="106"/>
        <v>11.388888888888889</v>
      </c>
    </row>
    <row r="3390" spans="2:5">
      <c r="B3390" s="943">
        <v>45063</v>
      </c>
      <c r="C3390" s="195">
        <f t="shared" si="105"/>
        <v>5</v>
      </c>
      <c r="D3390" s="195">
        <v>53.8</v>
      </c>
      <c r="E3390" s="705">
        <f t="shared" si="106"/>
        <v>12.111111111111109</v>
      </c>
    </row>
    <row r="3391" spans="2:5">
      <c r="B3391" s="943">
        <v>45063</v>
      </c>
      <c r="C3391" s="195">
        <f t="shared" si="105"/>
        <v>5</v>
      </c>
      <c r="D3391" s="195">
        <v>54.3</v>
      </c>
      <c r="E3391" s="705">
        <f t="shared" si="106"/>
        <v>12.388888888888888</v>
      </c>
    </row>
    <row r="3392" spans="2:5">
      <c r="B3392" s="943">
        <v>45063</v>
      </c>
      <c r="C3392" s="195">
        <f t="shared" si="105"/>
        <v>5</v>
      </c>
      <c r="D3392" s="195">
        <v>54.5</v>
      </c>
      <c r="E3392" s="705">
        <f t="shared" si="106"/>
        <v>12.5</v>
      </c>
    </row>
    <row r="3393" spans="2:5">
      <c r="B3393" s="943">
        <v>45064</v>
      </c>
      <c r="C3393" s="195">
        <f t="shared" si="105"/>
        <v>5</v>
      </c>
      <c r="D3393" s="195">
        <v>52.7</v>
      </c>
      <c r="E3393" s="705">
        <f t="shared" si="106"/>
        <v>11.500000000000002</v>
      </c>
    </row>
    <row r="3394" spans="2:5">
      <c r="B3394" s="943">
        <v>45064</v>
      </c>
      <c r="C3394" s="195">
        <f t="shared" si="105"/>
        <v>5</v>
      </c>
      <c r="D3394" s="195">
        <v>50.7</v>
      </c>
      <c r="E3394" s="705">
        <f t="shared" si="106"/>
        <v>10.388888888888891</v>
      </c>
    </row>
    <row r="3395" spans="2:5">
      <c r="B3395" s="943">
        <v>45064</v>
      </c>
      <c r="C3395" s="195">
        <f t="shared" si="105"/>
        <v>5</v>
      </c>
      <c r="D3395" s="195">
        <v>48.9</v>
      </c>
      <c r="E3395" s="705">
        <f t="shared" si="106"/>
        <v>9.3888888888888875</v>
      </c>
    </row>
    <row r="3396" spans="2:5">
      <c r="B3396" s="943">
        <v>45064</v>
      </c>
      <c r="C3396" s="195">
        <f t="shared" si="105"/>
        <v>5</v>
      </c>
      <c r="D3396" s="195">
        <v>47.8</v>
      </c>
      <c r="E3396" s="705">
        <f t="shared" si="106"/>
        <v>8.7777777777777768</v>
      </c>
    </row>
    <row r="3397" spans="2:5">
      <c r="B3397" s="943">
        <v>45064</v>
      </c>
      <c r="C3397" s="195">
        <f t="shared" si="105"/>
        <v>5</v>
      </c>
      <c r="D3397" s="195">
        <v>47.3</v>
      </c>
      <c r="E3397" s="705">
        <f t="shared" si="106"/>
        <v>8.4999999999999982</v>
      </c>
    </row>
    <row r="3398" spans="2:5">
      <c r="B3398" s="943">
        <v>45064</v>
      </c>
      <c r="C3398" s="195">
        <f t="shared" si="105"/>
        <v>5</v>
      </c>
      <c r="D3398" s="195">
        <v>47.7</v>
      </c>
      <c r="E3398" s="705">
        <f t="shared" si="106"/>
        <v>8.7222222222222232</v>
      </c>
    </row>
    <row r="3399" spans="2:5">
      <c r="B3399" s="943">
        <v>45064</v>
      </c>
      <c r="C3399" s="195">
        <f t="shared" si="105"/>
        <v>5</v>
      </c>
      <c r="D3399" s="195">
        <v>47.5</v>
      </c>
      <c r="E3399" s="705">
        <f t="shared" si="106"/>
        <v>8.6111111111111107</v>
      </c>
    </row>
    <row r="3400" spans="2:5">
      <c r="B3400" s="943">
        <v>45064</v>
      </c>
      <c r="C3400" s="195">
        <f t="shared" si="105"/>
        <v>5</v>
      </c>
      <c r="D3400" s="195">
        <v>48.6</v>
      </c>
      <c r="E3400" s="705">
        <f t="shared" si="106"/>
        <v>9.2222222222222232</v>
      </c>
    </row>
    <row r="3401" spans="2:5">
      <c r="B3401" s="943">
        <v>45064</v>
      </c>
      <c r="C3401" s="195">
        <f t="shared" si="105"/>
        <v>5</v>
      </c>
      <c r="D3401" s="195">
        <v>50.5</v>
      </c>
      <c r="E3401" s="705">
        <f t="shared" si="106"/>
        <v>10.277777777777777</v>
      </c>
    </row>
    <row r="3402" spans="2:5">
      <c r="B3402" s="943">
        <v>45064</v>
      </c>
      <c r="C3402" s="195">
        <f t="shared" ref="C3402:C3465" si="107">MONTH(B3402)</f>
        <v>5</v>
      </c>
      <c r="D3402" s="195" t="s">
        <v>1437</v>
      </c>
      <c r="E3402" s="705">
        <f t="shared" ref="E3402:E3465" si="108">CONVERT(D3402,"F","C")</f>
        <v>11.111111111111111</v>
      </c>
    </row>
    <row r="3403" spans="2:5">
      <c r="B3403" s="943">
        <v>45064</v>
      </c>
      <c r="C3403" s="195">
        <f t="shared" si="107"/>
        <v>5</v>
      </c>
      <c r="D3403" s="195">
        <v>52.9</v>
      </c>
      <c r="E3403" s="705">
        <f t="shared" si="108"/>
        <v>11.611111111111111</v>
      </c>
    </row>
    <row r="3404" spans="2:5">
      <c r="B3404" s="943">
        <v>45064</v>
      </c>
      <c r="C3404" s="195">
        <f t="shared" si="107"/>
        <v>5</v>
      </c>
      <c r="D3404" s="195">
        <v>53.4</v>
      </c>
      <c r="E3404" s="705">
        <f t="shared" si="108"/>
        <v>11.888888888888888</v>
      </c>
    </row>
    <row r="3405" spans="2:5">
      <c r="B3405" s="943">
        <v>45064</v>
      </c>
      <c r="C3405" s="195">
        <f t="shared" si="107"/>
        <v>5</v>
      </c>
      <c r="D3405" s="195">
        <v>53.1</v>
      </c>
      <c r="E3405" s="705">
        <f t="shared" si="108"/>
        <v>11.722222222222223</v>
      </c>
    </row>
    <row r="3406" spans="2:5">
      <c r="B3406" s="943">
        <v>45064</v>
      </c>
      <c r="C3406" s="195">
        <f t="shared" si="107"/>
        <v>5</v>
      </c>
      <c r="D3406" s="195">
        <v>51.1</v>
      </c>
      <c r="E3406" s="705">
        <f t="shared" si="108"/>
        <v>10.611111111111112</v>
      </c>
    </row>
    <row r="3407" spans="2:5">
      <c r="B3407" s="943">
        <v>45064</v>
      </c>
      <c r="C3407" s="195">
        <f t="shared" si="107"/>
        <v>5</v>
      </c>
      <c r="D3407" s="195">
        <v>50.4</v>
      </c>
      <c r="E3407" s="705">
        <f t="shared" si="108"/>
        <v>10.222222222222221</v>
      </c>
    </row>
    <row r="3408" spans="2:5">
      <c r="B3408" s="943">
        <v>45064</v>
      </c>
      <c r="C3408" s="195">
        <f t="shared" si="107"/>
        <v>5</v>
      </c>
      <c r="D3408" s="195" t="s">
        <v>1436</v>
      </c>
      <c r="E3408" s="705">
        <f t="shared" si="108"/>
        <v>10</v>
      </c>
    </row>
    <row r="3409" spans="2:5">
      <c r="B3409" s="943">
        <v>45064</v>
      </c>
      <c r="C3409" s="195">
        <f t="shared" si="107"/>
        <v>5</v>
      </c>
      <c r="D3409" s="195" t="s">
        <v>1436</v>
      </c>
      <c r="E3409" s="705">
        <f t="shared" si="108"/>
        <v>10</v>
      </c>
    </row>
    <row r="3410" spans="2:5">
      <c r="B3410" s="943">
        <v>45064</v>
      </c>
      <c r="C3410" s="195">
        <f t="shared" si="107"/>
        <v>5</v>
      </c>
      <c r="D3410" s="195">
        <v>49.8</v>
      </c>
      <c r="E3410" s="705">
        <f t="shared" si="108"/>
        <v>9.8888888888888875</v>
      </c>
    </row>
    <row r="3411" spans="2:5">
      <c r="B3411" s="943">
        <v>45064</v>
      </c>
      <c r="C3411" s="195">
        <f t="shared" si="107"/>
        <v>5</v>
      </c>
      <c r="D3411" s="195">
        <v>50.2</v>
      </c>
      <c r="E3411" s="705">
        <f t="shared" si="108"/>
        <v>10.111111111111112</v>
      </c>
    </row>
    <row r="3412" spans="2:5">
      <c r="B3412" s="943">
        <v>45064</v>
      </c>
      <c r="C3412" s="195">
        <f t="shared" si="107"/>
        <v>5</v>
      </c>
      <c r="D3412" s="195">
        <v>50.5</v>
      </c>
      <c r="E3412" s="705">
        <f t="shared" si="108"/>
        <v>10.277777777777777</v>
      </c>
    </row>
    <row r="3413" spans="2:5">
      <c r="B3413" s="943">
        <v>45064</v>
      </c>
      <c r="C3413" s="195">
        <f t="shared" si="107"/>
        <v>5</v>
      </c>
      <c r="D3413" s="195">
        <v>51.4</v>
      </c>
      <c r="E3413" s="705">
        <f t="shared" si="108"/>
        <v>10.777777777777777</v>
      </c>
    </row>
    <row r="3414" spans="2:5">
      <c r="B3414" s="943">
        <v>45064</v>
      </c>
      <c r="C3414" s="195">
        <f t="shared" si="107"/>
        <v>5</v>
      </c>
      <c r="D3414" s="195">
        <v>52.7</v>
      </c>
      <c r="E3414" s="705">
        <f t="shared" si="108"/>
        <v>11.500000000000002</v>
      </c>
    </row>
    <row r="3415" spans="2:5">
      <c r="B3415" s="943">
        <v>45064</v>
      </c>
      <c r="C3415" s="195">
        <f t="shared" si="107"/>
        <v>5</v>
      </c>
      <c r="D3415" s="195">
        <v>53.6</v>
      </c>
      <c r="E3415" s="705">
        <f t="shared" si="108"/>
        <v>12</v>
      </c>
    </row>
    <row r="3416" spans="2:5">
      <c r="B3416" s="943">
        <v>45064</v>
      </c>
      <c r="C3416" s="195">
        <f t="shared" si="107"/>
        <v>5</v>
      </c>
      <c r="D3416" s="195" t="s">
        <v>1438</v>
      </c>
      <c r="E3416" s="705">
        <f t="shared" si="108"/>
        <v>12.222222222222221</v>
      </c>
    </row>
    <row r="3417" spans="2:5">
      <c r="B3417" s="943">
        <v>45065</v>
      </c>
      <c r="C3417" s="195">
        <f t="shared" si="107"/>
        <v>5</v>
      </c>
      <c r="D3417" s="195">
        <v>53.8</v>
      </c>
      <c r="E3417" s="705">
        <f t="shared" si="108"/>
        <v>12.111111111111109</v>
      </c>
    </row>
    <row r="3418" spans="2:5">
      <c r="B3418" s="943">
        <v>45065</v>
      </c>
      <c r="C3418" s="195">
        <f t="shared" si="107"/>
        <v>5</v>
      </c>
      <c r="D3418" s="195">
        <v>52.3</v>
      </c>
      <c r="E3418" s="705">
        <f t="shared" si="108"/>
        <v>11.277777777777777</v>
      </c>
    </row>
    <row r="3419" spans="2:5">
      <c r="B3419" s="943">
        <v>45065</v>
      </c>
      <c r="C3419" s="195">
        <f t="shared" si="107"/>
        <v>5</v>
      </c>
      <c r="D3419" s="195">
        <v>51.8</v>
      </c>
      <c r="E3419" s="705">
        <f t="shared" si="108"/>
        <v>10.999999999999998</v>
      </c>
    </row>
    <row r="3420" spans="2:5">
      <c r="B3420" s="943">
        <v>45065</v>
      </c>
      <c r="C3420" s="195">
        <f t="shared" si="107"/>
        <v>5</v>
      </c>
      <c r="D3420" s="195">
        <v>50.7</v>
      </c>
      <c r="E3420" s="705">
        <f t="shared" si="108"/>
        <v>10.388888888888891</v>
      </c>
    </row>
    <row r="3421" spans="2:5">
      <c r="B3421" s="943">
        <v>45065</v>
      </c>
      <c r="C3421" s="195">
        <f t="shared" si="107"/>
        <v>5</v>
      </c>
      <c r="D3421" s="195" t="s">
        <v>1436</v>
      </c>
      <c r="E3421" s="705">
        <f t="shared" si="108"/>
        <v>10</v>
      </c>
    </row>
    <row r="3422" spans="2:5">
      <c r="B3422" s="943">
        <v>45065</v>
      </c>
      <c r="C3422" s="195">
        <f t="shared" si="107"/>
        <v>5</v>
      </c>
      <c r="D3422" s="195">
        <v>49.8</v>
      </c>
      <c r="E3422" s="705">
        <f t="shared" si="108"/>
        <v>9.8888888888888875</v>
      </c>
    </row>
    <row r="3423" spans="2:5">
      <c r="B3423" s="943">
        <v>45065</v>
      </c>
      <c r="C3423" s="195">
        <f t="shared" si="107"/>
        <v>5</v>
      </c>
      <c r="D3423" s="195" t="s">
        <v>1436</v>
      </c>
      <c r="E3423" s="705">
        <f t="shared" si="108"/>
        <v>10</v>
      </c>
    </row>
    <row r="3424" spans="2:5">
      <c r="B3424" s="943">
        <v>45065</v>
      </c>
      <c r="C3424" s="195">
        <f t="shared" si="107"/>
        <v>5</v>
      </c>
      <c r="D3424" s="195">
        <v>50.2</v>
      </c>
      <c r="E3424" s="705">
        <f t="shared" si="108"/>
        <v>10.111111111111112</v>
      </c>
    </row>
    <row r="3425" spans="2:5">
      <c r="B3425" s="943">
        <v>45065</v>
      </c>
      <c r="C3425" s="195">
        <f t="shared" si="107"/>
        <v>5</v>
      </c>
      <c r="D3425" s="195">
        <v>50.9</v>
      </c>
      <c r="E3425" s="705">
        <f t="shared" si="108"/>
        <v>10.499999999999998</v>
      </c>
    </row>
    <row r="3426" spans="2:5">
      <c r="B3426" s="943">
        <v>45065</v>
      </c>
      <c r="C3426" s="195">
        <f t="shared" si="107"/>
        <v>5</v>
      </c>
      <c r="D3426" s="195">
        <v>52.2</v>
      </c>
      <c r="E3426" s="705">
        <f t="shared" si="108"/>
        <v>11.222222222222223</v>
      </c>
    </row>
    <row r="3427" spans="2:5">
      <c r="B3427" s="943">
        <v>45065</v>
      </c>
      <c r="C3427" s="195">
        <f t="shared" si="107"/>
        <v>5</v>
      </c>
      <c r="D3427" s="195">
        <v>52.9</v>
      </c>
      <c r="E3427" s="705">
        <f t="shared" si="108"/>
        <v>11.611111111111111</v>
      </c>
    </row>
    <row r="3428" spans="2:5">
      <c r="B3428" s="943">
        <v>45065</v>
      </c>
      <c r="C3428" s="195">
        <f t="shared" si="107"/>
        <v>5</v>
      </c>
      <c r="D3428" s="195">
        <v>53.6</v>
      </c>
      <c r="E3428" s="705">
        <f t="shared" si="108"/>
        <v>12</v>
      </c>
    </row>
    <row r="3429" spans="2:5">
      <c r="B3429" s="943">
        <v>45065</v>
      </c>
      <c r="C3429" s="195">
        <f t="shared" si="107"/>
        <v>5</v>
      </c>
      <c r="D3429" s="195" t="s">
        <v>1438</v>
      </c>
      <c r="E3429" s="705">
        <f t="shared" si="108"/>
        <v>12.222222222222221</v>
      </c>
    </row>
    <row r="3430" spans="2:5">
      <c r="B3430" s="943">
        <v>45065</v>
      </c>
      <c r="C3430" s="195">
        <f t="shared" si="107"/>
        <v>5</v>
      </c>
      <c r="D3430" s="195">
        <v>53.6</v>
      </c>
      <c r="E3430" s="705">
        <f t="shared" si="108"/>
        <v>12</v>
      </c>
    </row>
    <row r="3431" spans="2:5">
      <c r="B3431" s="943">
        <v>45065</v>
      </c>
      <c r="C3431" s="195">
        <f t="shared" si="107"/>
        <v>5</v>
      </c>
      <c r="D3431" s="195">
        <v>52.5</v>
      </c>
      <c r="E3431" s="705">
        <f t="shared" si="108"/>
        <v>11.388888888888889</v>
      </c>
    </row>
    <row r="3432" spans="2:5">
      <c r="B3432" s="943">
        <v>45065</v>
      </c>
      <c r="C3432" s="195">
        <f t="shared" si="107"/>
        <v>5</v>
      </c>
      <c r="D3432" s="195">
        <v>50.2</v>
      </c>
      <c r="E3432" s="705">
        <f t="shared" si="108"/>
        <v>10.111111111111112</v>
      </c>
    </row>
    <row r="3433" spans="2:5">
      <c r="B3433" s="943">
        <v>45065</v>
      </c>
      <c r="C3433" s="195">
        <f t="shared" si="107"/>
        <v>5</v>
      </c>
      <c r="D3433" s="195">
        <v>48.7</v>
      </c>
      <c r="E3433" s="705">
        <f t="shared" si="108"/>
        <v>9.2777777777777786</v>
      </c>
    </row>
    <row r="3434" spans="2:5">
      <c r="B3434" s="943">
        <v>45065</v>
      </c>
      <c r="C3434" s="195">
        <f t="shared" si="107"/>
        <v>5</v>
      </c>
      <c r="D3434" s="195">
        <v>48.7</v>
      </c>
      <c r="E3434" s="705">
        <f t="shared" si="108"/>
        <v>9.2777777777777786</v>
      </c>
    </row>
    <row r="3435" spans="2:5">
      <c r="B3435" s="943">
        <v>45065</v>
      </c>
      <c r="C3435" s="195">
        <f t="shared" si="107"/>
        <v>5</v>
      </c>
      <c r="D3435" s="195" t="s">
        <v>1435</v>
      </c>
      <c r="E3435" s="705">
        <f t="shared" si="108"/>
        <v>8.8888888888888893</v>
      </c>
    </row>
    <row r="3436" spans="2:5">
      <c r="B3436" s="943">
        <v>45065</v>
      </c>
      <c r="C3436" s="195">
        <f t="shared" si="107"/>
        <v>5</v>
      </c>
      <c r="D3436" s="195">
        <v>48.9</v>
      </c>
      <c r="E3436" s="705">
        <f t="shared" si="108"/>
        <v>9.3888888888888875</v>
      </c>
    </row>
    <row r="3437" spans="2:5">
      <c r="B3437" s="943">
        <v>45065</v>
      </c>
      <c r="C3437" s="195">
        <f t="shared" si="107"/>
        <v>5</v>
      </c>
      <c r="D3437" s="195">
        <v>49.6</v>
      </c>
      <c r="E3437" s="705">
        <f t="shared" si="108"/>
        <v>9.7777777777777786</v>
      </c>
    </row>
    <row r="3438" spans="2:5">
      <c r="B3438" s="943">
        <v>45065</v>
      </c>
      <c r="C3438" s="195">
        <f t="shared" si="107"/>
        <v>5</v>
      </c>
      <c r="D3438" s="195">
        <v>51.1</v>
      </c>
      <c r="E3438" s="705">
        <f t="shared" si="108"/>
        <v>10.611111111111112</v>
      </c>
    </row>
    <row r="3439" spans="2:5">
      <c r="B3439" s="943">
        <v>45065</v>
      </c>
      <c r="C3439" s="195">
        <f t="shared" si="107"/>
        <v>5</v>
      </c>
      <c r="D3439" s="195">
        <v>52.9</v>
      </c>
      <c r="E3439" s="705">
        <f t="shared" si="108"/>
        <v>11.611111111111111</v>
      </c>
    </row>
    <row r="3440" spans="2:5">
      <c r="B3440" s="943">
        <v>45065</v>
      </c>
      <c r="C3440" s="195">
        <f t="shared" si="107"/>
        <v>5</v>
      </c>
      <c r="D3440" s="195" t="s">
        <v>1438</v>
      </c>
      <c r="E3440" s="705">
        <f t="shared" si="108"/>
        <v>12.222222222222221</v>
      </c>
    </row>
    <row r="3441" spans="2:5">
      <c r="B3441" s="943">
        <v>45066</v>
      </c>
      <c r="C3441" s="195">
        <f t="shared" si="107"/>
        <v>5</v>
      </c>
      <c r="D3441" s="195">
        <v>54.3</v>
      </c>
      <c r="E3441" s="705">
        <f t="shared" si="108"/>
        <v>12.388888888888888</v>
      </c>
    </row>
    <row r="3442" spans="2:5">
      <c r="B3442" s="943">
        <v>45066</v>
      </c>
      <c r="C3442" s="195">
        <f t="shared" si="107"/>
        <v>5</v>
      </c>
      <c r="D3442" s="195">
        <v>53.6</v>
      </c>
      <c r="E3442" s="705">
        <f t="shared" si="108"/>
        <v>12</v>
      </c>
    </row>
    <row r="3443" spans="2:5">
      <c r="B3443" s="943">
        <v>45066</v>
      </c>
      <c r="C3443" s="195">
        <f t="shared" si="107"/>
        <v>5</v>
      </c>
      <c r="D3443" s="195">
        <v>51.8</v>
      </c>
      <c r="E3443" s="705">
        <f t="shared" si="108"/>
        <v>10.999999999999998</v>
      </c>
    </row>
    <row r="3444" spans="2:5">
      <c r="B3444" s="943">
        <v>45066</v>
      </c>
      <c r="C3444" s="195">
        <f t="shared" si="107"/>
        <v>5</v>
      </c>
      <c r="D3444" s="195">
        <v>50.4</v>
      </c>
      <c r="E3444" s="705">
        <f t="shared" si="108"/>
        <v>10.222222222222221</v>
      </c>
    </row>
    <row r="3445" spans="2:5">
      <c r="B3445" s="943">
        <v>45066</v>
      </c>
      <c r="C3445" s="195">
        <f t="shared" si="107"/>
        <v>5</v>
      </c>
      <c r="D3445" s="195">
        <v>48.9</v>
      </c>
      <c r="E3445" s="705">
        <f t="shared" si="108"/>
        <v>9.3888888888888875</v>
      </c>
    </row>
    <row r="3446" spans="2:5">
      <c r="B3446" s="943">
        <v>45066</v>
      </c>
      <c r="C3446" s="195">
        <f t="shared" si="107"/>
        <v>5</v>
      </c>
      <c r="D3446" s="195">
        <v>48.4</v>
      </c>
      <c r="E3446" s="705">
        <f t="shared" si="108"/>
        <v>9.1111111111111107</v>
      </c>
    </row>
    <row r="3447" spans="2:5">
      <c r="B3447" s="943">
        <v>45066</v>
      </c>
      <c r="C3447" s="195">
        <f t="shared" si="107"/>
        <v>5</v>
      </c>
      <c r="D3447" s="195">
        <v>48.4</v>
      </c>
      <c r="E3447" s="705">
        <f t="shared" si="108"/>
        <v>9.1111111111111107</v>
      </c>
    </row>
    <row r="3448" spans="2:5">
      <c r="B3448" s="943">
        <v>45066</v>
      </c>
      <c r="C3448" s="195">
        <f t="shared" si="107"/>
        <v>5</v>
      </c>
      <c r="D3448" s="195">
        <v>48.6</v>
      </c>
      <c r="E3448" s="705">
        <f t="shared" si="108"/>
        <v>9.2222222222222232</v>
      </c>
    </row>
    <row r="3449" spans="2:5">
      <c r="B3449" s="943">
        <v>45066</v>
      </c>
      <c r="C3449" s="195">
        <f t="shared" si="107"/>
        <v>5</v>
      </c>
      <c r="D3449" s="195">
        <v>49.1</v>
      </c>
      <c r="E3449" s="705">
        <f t="shared" si="108"/>
        <v>9.5</v>
      </c>
    </row>
    <row r="3450" spans="2:5">
      <c r="B3450" s="943">
        <v>45066</v>
      </c>
      <c r="C3450" s="195">
        <f t="shared" si="107"/>
        <v>5</v>
      </c>
      <c r="D3450" s="195">
        <v>50.5</v>
      </c>
      <c r="E3450" s="705">
        <f t="shared" si="108"/>
        <v>10.277777777777777</v>
      </c>
    </row>
    <row r="3451" spans="2:5">
      <c r="B3451" s="943">
        <v>45066</v>
      </c>
      <c r="C3451" s="195">
        <f t="shared" si="107"/>
        <v>5</v>
      </c>
      <c r="D3451" s="195" t="s">
        <v>1437</v>
      </c>
      <c r="E3451" s="705">
        <f t="shared" si="108"/>
        <v>11.111111111111111</v>
      </c>
    </row>
    <row r="3452" spans="2:5">
      <c r="B3452" s="943">
        <v>45066</v>
      </c>
      <c r="C3452" s="195">
        <f t="shared" si="107"/>
        <v>5</v>
      </c>
      <c r="D3452" s="195">
        <v>53.2</v>
      </c>
      <c r="E3452" s="705">
        <f t="shared" si="108"/>
        <v>11.777777777777779</v>
      </c>
    </row>
    <row r="3453" spans="2:5">
      <c r="B3453" s="943">
        <v>45066</v>
      </c>
      <c r="C3453" s="195">
        <f t="shared" si="107"/>
        <v>5</v>
      </c>
      <c r="D3453" s="195">
        <v>54.1</v>
      </c>
      <c r="E3453" s="705">
        <f t="shared" si="108"/>
        <v>12.277777777777779</v>
      </c>
    </row>
    <row r="3454" spans="2:5">
      <c r="B3454" s="943">
        <v>45066</v>
      </c>
      <c r="C3454" s="195">
        <f t="shared" si="107"/>
        <v>5</v>
      </c>
      <c r="D3454" s="195">
        <v>54.5</v>
      </c>
      <c r="E3454" s="705">
        <f t="shared" si="108"/>
        <v>12.5</v>
      </c>
    </row>
    <row r="3455" spans="2:5">
      <c r="B3455" s="943">
        <v>45066</v>
      </c>
      <c r="C3455" s="195">
        <f t="shared" si="107"/>
        <v>5</v>
      </c>
      <c r="D3455" s="195">
        <v>53.6</v>
      </c>
      <c r="E3455" s="705">
        <f t="shared" si="108"/>
        <v>12</v>
      </c>
    </row>
    <row r="3456" spans="2:5">
      <c r="B3456" s="943">
        <v>45066</v>
      </c>
      <c r="C3456" s="195">
        <f t="shared" si="107"/>
        <v>5</v>
      </c>
      <c r="D3456" s="195" t="s">
        <v>1437</v>
      </c>
      <c r="E3456" s="705">
        <f t="shared" si="108"/>
        <v>11.111111111111111</v>
      </c>
    </row>
    <row r="3457" spans="2:5">
      <c r="B3457" s="943">
        <v>45066</v>
      </c>
      <c r="C3457" s="195">
        <f t="shared" si="107"/>
        <v>5</v>
      </c>
      <c r="D3457" s="195">
        <v>49.3</v>
      </c>
      <c r="E3457" s="705">
        <f t="shared" si="108"/>
        <v>9.6111111111111089</v>
      </c>
    </row>
    <row r="3458" spans="2:5">
      <c r="B3458" s="943">
        <v>45066</v>
      </c>
      <c r="C3458" s="195">
        <f t="shared" si="107"/>
        <v>5</v>
      </c>
      <c r="D3458" s="195">
        <v>47.7</v>
      </c>
      <c r="E3458" s="705">
        <f t="shared" si="108"/>
        <v>8.7222222222222232</v>
      </c>
    </row>
    <row r="3459" spans="2:5">
      <c r="B3459" s="943">
        <v>45066</v>
      </c>
      <c r="C3459" s="195">
        <f t="shared" si="107"/>
        <v>5</v>
      </c>
      <c r="D3459" s="195">
        <v>47.3</v>
      </c>
      <c r="E3459" s="705">
        <f t="shared" si="108"/>
        <v>8.4999999999999982</v>
      </c>
    </row>
    <row r="3460" spans="2:5">
      <c r="B3460" s="943">
        <v>45066</v>
      </c>
      <c r="C3460" s="195">
        <f t="shared" si="107"/>
        <v>5</v>
      </c>
      <c r="D3460" s="195">
        <v>47.1</v>
      </c>
      <c r="E3460" s="705">
        <f t="shared" si="108"/>
        <v>8.3888888888888893</v>
      </c>
    </row>
    <row r="3461" spans="2:5">
      <c r="B3461" s="943">
        <v>45066</v>
      </c>
      <c r="C3461" s="195">
        <f t="shared" si="107"/>
        <v>5</v>
      </c>
      <c r="D3461" s="195">
        <v>47.3</v>
      </c>
      <c r="E3461" s="705">
        <f t="shared" si="108"/>
        <v>8.4999999999999982</v>
      </c>
    </row>
    <row r="3462" spans="2:5">
      <c r="B3462" s="943">
        <v>45066</v>
      </c>
      <c r="C3462" s="195">
        <f t="shared" si="107"/>
        <v>5</v>
      </c>
      <c r="D3462" s="195">
        <v>48.6</v>
      </c>
      <c r="E3462" s="705">
        <f t="shared" si="108"/>
        <v>9.2222222222222232</v>
      </c>
    </row>
    <row r="3463" spans="2:5">
      <c r="B3463" s="943">
        <v>45066</v>
      </c>
      <c r="C3463" s="195">
        <f t="shared" si="107"/>
        <v>5</v>
      </c>
      <c r="D3463" s="195">
        <v>50.5</v>
      </c>
      <c r="E3463" s="705">
        <f t="shared" si="108"/>
        <v>10.277777777777777</v>
      </c>
    </row>
    <row r="3464" spans="2:5">
      <c r="B3464" s="943">
        <v>45066</v>
      </c>
      <c r="C3464" s="195">
        <f t="shared" si="107"/>
        <v>5</v>
      </c>
      <c r="D3464" s="195">
        <v>52.5</v>
      </c>
      <c r="E3464" s="705">
        <f t="shared" si="108"/>
        <v>11.388888888888889</v>
      </c>
    </row>
    <row r="3465" spans="2:5">
      <c r="B3465" s="943">
        <v>45067</v>
      </c>
      <c r="C3465" s="195">
        <f t="shared" si="107"/>
        <v>5</v>
      </c>
      <c r="D3465" s="195">
        <v>53.2</v>
      </c>
      <c r="E3465" s="705">
        <f t="shared" si="108"/>
        <v>11.777777777777779</v>
      </c>
    </row>
    <row r="3466" spans="2:5">
      <c r="B3466" s="943">
        <v>45067</v>
      </c>
      <c r="C3466" s="195">
        <f t="shared" ref="C3466:C3529" si="109">MONTH(B3466)</f>
        <v>5</v>
      </c>
      <c r="D3466" s="195">
        <v>53.6</v>
      </c>
      <c r="E3466" s="705">
        <f t="shared" ref="E3466:E3529" si="110">CONVERT(D3466,"F","C")</f>
        <v>12</v>
      </c>
    </row>
    <row r="3467" spans="2:5">
      <c r="B3467" s="943">
        <v>45067</v>
      </c>
      <c r="C3467" s="195">
        <f t="shared" si="109"/>
        <v>5</v>
      </c>
      <c r="D3467" s="195">
        <v>51.3</v>
      </c>
      <c r="E3467" s="705">
        <f t="shared" si="110"/>
        <v>10.72222222222222</v>
      </c>
    </row>
    <row r="3468" spans="2:5">
      <c r="B3468" s="943">
        <v>45067</v>
      </c>
      <c r="C3468" s="195">
        <f t="shared" si="109"/>
        <v>5</v>
      </c>
      <c r="D3468" s="195">
        <v>50.4</v>
      </c>
      <c r="E3468" s="705">
        <f t="shared" si="110"/>
        <v>10.222222222222221</v>
      </c>
    </row>
    <row r="3469" spans="2:5">
      <c r="B3469" s="943">
        <v>45067</v>
      </c>
      <c r="C3469" s="195">
        <f t="shared" si="109"/>
        <v>5</v>
      </c>
      <c r="D3469" s="195">
        <v>48.2</v>
      </c>
      <c r="E3469" s="705">
        <f t="shared" si="110"/>
        <v>9.0000000000000018</v>
      </c>
    </row>
    <row r="3470" spans="2:5">
      <c r="B3470" s="943">
        <v>45067</v>
      </c>
      <c r="C3470" s="195">
        <f t="shared" si="109"/>
        <v>5</v>
      </c>
      <c r="D3470" s="195">
        <v>47.5</v>
      </c>
      <c r="E3470" s="705">
        <f t="shared" si="110"/>
        <v>8.6111111111111107</v>
      </c>
    </row>
    <row r="3471" spans="2:5">
      <c r="B3471" s="943">
        <v>45067</v>
      </c>
      <c r="C3471" s="195">
        <f t="shared" si="109"/>
        <v>5</v>
      </c>
      <c r="D3471" s="195">
        <v>47.3</v>
      </c>
      <c r="E3471" s="705">
        <f t="shared" si="110"/>
        <v>8.4999999999999982</v>
      </c>
    </row>
    <row r="3472" spans="2:5">
      <c r="B3472" s="943">
        <v>45067</v>
      </c>
      <c r="C3472" s="195">
        <f t="shared" si="109"/>
        <v>5</v>
      </c>
      <c r="D3472" s="195">
        <v>47.3</v>
      </c>
      <c r="E3472" s="705">
        <f t="shared" si="110"/>
        <v>8.4999999999999982</v>
      </c>
    </row>
    <row r="3473" spans="2:5">
      <c r="B3473" s="943">
        <v>45067</v>
      </c>
      <c r="C3473" s="195">
        <f t="shared" si="109"/>
        <v>5</v>
      </c>
      <c r="D3473" s="195">
        <v>47.5</v>
      </c>
      <c r="E3473" s="705">
        <f t="shared" si="110"/>
        <v>8.6111111111111107</v>
      </c>
    </row>
    <row r="3474" spans="2:5">
      <c r="B3474" s="943">
        <v>45067</v>
      </c>
      <c r="C3474" s="195">
        <f t="shared" si="109"/>
        <v>5</v>
      </c>
      <c r="D3474" s="195">
        <v>48.2</v>
      </c>
      <c r="E3474" s="705">
        <f t="shared" si="110"/>
        <v>9.0000000000000018</v>
      </c>
    </row>
    <row r="3475" spans="2:5">
      <c r="B3475" s="943">
        <v>45067</v>
      </c>
      <c r="C3475" s="195">
        <f t="shared" si="109"/>
        <v>5</v>
      </c>
      <c r="D3475" s="195" t="s">
        <v>1436</v>
      </c>
      <c r="E3475" s="705">
        <f t="shared" si="110"/>
        <v>10</v>
      </c>
    </row>
    <row r="3476" spans="2:5">
      <c r="B3476" s="943">
        <v>45067</v>
      </c>
      <c r="C3476" s="195">
        <f t="shared" si="109"/>
        <v>5</v>
      </c>
      <c r="D3476" s="195">
        <v>51.6</v>
      </c>
      <c r="E3476" s="705">
        <f t="shared" si="110"/>
        <v>10.888888888888889</v>
      </c>
    </row>
    <row r="3477" spans="2:5">
      <c r="B3477" s="943">
        <v>45067</v>
      </c>
      <c r="C3477" s="195">
        <f t="shared" si="109"/>
        <v>5</v>
      </c>
      <c r="D3477" s="195">
        <v>52.9</v>
      </c>
      <c r="E3477" s="705">
        <f t="shared" si="110"/>
        <v>11.611111111111111</v>
      </c>
    </row>
    <row r="3478" spans="2:5">
      <c r="B3478" s="943">
        <v>45067</v>
      </c>
      <c r="C3478" s="195">
        <f t="shared" si="109"/>
        <v>5</v>
      </c>
      <c r="D3478" s="195" t="s">
        <v>1438</v>
      </c>
      <c r="E3478" s="705">
        <f t="shared" si="110"/>
        <v>12.222222222222221</v>
      </c>
    </row>
    <row r="3479" spans="2:5">
      <c r="B3479" s="943">
        <v>45067</v>
      </c>
      <c r="C3479" s="195">
        <f t="shared" si="109"/>
        <v>5</v>
      </c>
      <c r="D3479" s="195">
        <v>54.3</v>
      </c>
      <c r="E3479" s="705">
        <f t="shared" si="110"/>
        <v>12.388888888888888</v>
      </c>
    </row>
    <row r="3480" spans="2:5">
      <c r="B3480" s="943">
        <v>45067</v>
      </c>
      <c r="C3480" s="195">
        <f t="shared" si="109"/>
        <v>5</v>
      </c>
      <c r="D3480" s="195">
        <v>52.3</v>
      </c>
      <c r="E3480" s="705">
        <f t="shared" si="110"/>
        <v>11.277777777777777</v>
      </c>
    </row>
    <row r="3481" spans="2:5">
      <c r="B3481" s="943">
        <v>45067</v>
      </c>
      <c r="C3481" s="195">
        <f t="shared" si="109"/>
        <v>5</v>
      </c>
      <c r="D3481" s="195">
        <v>50.7</v>
      </c>
      <c r="E3481" s="705">
        <f t="shared" si="110"/>
        <v>10.388888888888891</v>
      </c>
    </row>
    <row r="3482" spans="2:5">
      <c r="B3482" s="943">
        <v>45067</v>
      </c>
      <c r="C3482" s="195">
        <f t="shared" si="109"/>
        <v>5</v>
      </c>
      <c r="D3482" s="195">
        <v>49.1</v>
      </c>
      <c r="E3482" s="705">
        <f t="shared" si="110"/>
        <v>9.5</v>
      </c>
    </row>
    <row r="3483" spans="2:5">
      <c r="B3483" s="943">
        <v>45067</v>
      </c>
      <c r="C3483" s="195">
        <f t="shared" si="109"/>
        <v>5</v>
      </c>
      <c r="D3483" s="195">
        <v>47.7</v>
      </c>
      <c r="E3483" s="705">
        <f t="shared" si="110"/>
        <v>8.7222222222222232</v>
      </c>
    </row>
    <row r="3484" spans="2:5">
      <c r="B3484" s="943">
        <v>45067</v>
      </c>
      <c r="C3484" s="195">
        <f t="shared" si="109"/>
        <v>5</v>
      </c>
      <c r="D3484" s="195">
        <v>47.3</v>
      </c>
      <c r="E3484" s="705">
        <f t="shared" si="110"/>
        <v>8.4999999999999982</v>
      </c>
    </row>
    <row r="3485" spans="2:5">
      <c r="B3485" s="943">
        <v>45067</v>
      </c>
      <c r="C3485" s="195">
        <f t="shared" si="109"/>
        <v>5</v>
      </c>
      <c r="D3485" s="195">
        <v>47.5</v>
      </c>
      <c r="E3485" s="705">
        <f t="shared" si="110"/>
        <v>8.6111111111111107</v>
      </c>
    </row>
    <row r="3486" spans="2:5">
      <c r="B3486" s="943">
        <v>45067</v>
      </c>
      <c r="C3486" s="195">
        <f t="shared" si="109"/>
        <v>5</v>
      </c>
      <c r="D3486" s="195">
        <v>48.2</v>
      </c>
      <c r="E3486" s="705">
        <f t="shared" si="110"/>
        <v>9.0000000000000018</v>
      </c>
    </row>
    <row r="3487" spans="2:5">
      <c r="B3487" s="943">
        <v>45067</v>
      </c>
      <c r="C3487" s="195">
        <f t="shared" si="109"/>
        <v>5</v>
      </c>
      <c r="D3487" s="195" t="s">
        <v>1436</v>
      </c>
      <c r="E3487" s="705">
        <f t="shared" si="110"/>
        <v>10</v>
      </c>
    </row>
    <row r="3488" spans="2:5">
      <c r="B3488" s="943">
        <v>45067</v>
      </c>
      <c r="C3488" s="195">
        <f t="shared" si="109"/>
        <v>5</v>
      </c>
      <c r="D3488" s="195">
        <v>52.5</v>
      </c>
      <c r="E3488" s="705">
        <f t="shared" si="110"/>
        <v>11.388888888888889</v>
      </c>
    </row>
    <row r="3489" spans="2:5">
      <c r="B3489" s="943">
        <v>45068</v>
      </c>
      <c r="C3489" s="195">
        <f t="shared" si="109"/>
        <v>5</v>
      </c>
      <c r="D3489" s="195">
        <v>54.3</v>
      </c>
      <c r="E3489" s="705">
        <f t="shared" si="110"/>
        <v>12.388888888888888</v>
      </c>
    </row>
    <row r="3490" spans="2:5">
      <c r="B3490" s="943">
        <v>45068</v>
      </c>
      <c r="C3490" s="195">
        <f t="shared" si="109"/>
        <v>5</v>
      </c>
      <c r="D3490" s="195" t="s">
        <v>1439</v>
      </c>
      <c r="E3490" s="705">
        <f t="shared" si="110"/>
        <v>12.777777777777777</v>
      </c>
    </row>
    <row r="3491" spans="2:5">
      <c r="B3491" s="943">
        <v>45068</v>
      </c>
      <c r="C3491" s="195">
        <f t="shared" si="109"/>
        <v>5</v>
      </c>
      <c r="D3491" s="195">
        <v>54.7</v>
      </c>
      <c r="E3491" s="705">
        <f t="shared" si="110"/>
        <v>12.611111111111112</v>
      </c>
    </row>
    <row r="3492" spans="2:5">
      <c r="B3492" s="943">
        <v>45068</v>
      </c>
      <c r="C3492" s="195">
        <f t="shared" si="109"/>
        <v>5</v>
      </c>
      <c r="D3492" s="195">
        <v>52.3</v>
      </c>
      <c r="E3492" s="705">
        <f t="shared" si="110"/>
        <v>11.277777777777777</v>
      </c>
    </row>
    <row r="3493" spans="2:5">
      <c r="B3493" s="943">
        <v>45068</v>
      </c>
      <c r="C3493" s="195">
        <f t="shared" si="109"/>
        <v>5</v>
      </c>
      <c r="D3493" s="195">
        <v>50.2</v>
      </c>
      <c r="E3493" s="705">
        <f t="shared" si="110"/>
        <v>10.111111111111112</v>
      </c>
    </row>
    <row r="3494" spans="2:5">
      <c r="B3494" s="943">
        <v>45068</v>
      </c>
      <c r="C3494" s="195">
        <f t="shared" si="109"/>
        <v>5</v>
      </c>
      <c r="D3494" s="195">
        <v>48.2</v>
      </c>
      <c r="E3494" s="705">
        <f t="shared" si="110"/>
        <v>9.0000000000000018</v>
      </c>
    </row>
    <row r="3495" spans="2:5">
      <c r="B3495" s="943">
        <v>45068</v>
      </c>
      <c r="C3495" s="195">
        <f t="shared" si="109"/>
        <v>5</v>
      </c>
      <c r="D3495" s="195">
        <v>47.1</v>
      </c>
      <c r="E3495" s="705">
        <f t="shared" si="110"/>
        <v>8.3888888888888893</v>
      </c>
    </row>
    <row r="3496" spans="2:5">
      <c r="B3496" s="943">
        <v>45068</v>
      </c>
      <c r="C3496" s="195">
        <f t="shared" si="109"/>
        <v>5</v>
      </c>
      <c r="D3496" s="195">
        <v>46.9</v>
      </c>
      <c r="E3496" s="705">
        <f t="shared" si="110"/>
        <v>8.2777777777777768</v>
      </c>
    </row>
    <row r="3497" spans="2:5">
      <c r="B3497" s="943">
        <v>45068</v>
      </c>
      <c r="C3497" s="195">
        <f t="shared" si="109"/>
        <v>5</v>
      </c>
      <c r="D3497" s="195">
        <v>47.1</v>
      </c>
      <c r="E3497" s="705">
        <f t="shared" si="110"/>
        <v>8.3888888888888893</v>
      </c>
    </row>
    <row r="3498" spans="2:5">
      <c r="B3498" s="943">
        <v>45068</v>
      </c>
      <c r="C3498" s="195">
        <f t="shared" si="109"/>
        <v>5</v>
      </c>
      <c r="D3498" s="195">
        <v>47.5</v>
      </c>
      <c r="E3498" s="705">
        <f t="shared" si="110"/>
        <v>8.6111111111111107</v>
      </c>
    </row>
    <row r="3499" spans="2:5">
      <c r="B3499" s="943">
        <v>45068</v>
      </c>
      <c r="C3499" s="195">
        <f t="shared" si="109"/>
        <v>5</v>
      </c>
      <c r="D3499" s="195">
        <v>49.1</v>
      </c>
      <c r="E3499" s="705">
        <f t="shared" si="110"/>
        <v>9.5</v>
      </c>
    </row>
    <row r="3500" spans="2:5">
      <c r="B3500" s="943">
        <v>45068</v>
      </c>
      <c r="C3500" s="195">
        <f t="shared" si="109"/>
        <v>5</v>
      </c>
      <c r="D3500" s="195">
        <v>51.6</v>
      </c>
      <c r="E3500" s="705">
        <f t="shared" si="110"/>
        <v>10.888888888888889</v>
      </c>
    </row>
    <row r="3501" spans="2:5">
      <c r="B3501" s="943">
        <v>45068</v>
      </c>
      <c r="C3501" s="195">
        <f t="shared" si="109"/>
        <v>5</v>
      </c>
      <c r="D3501" s="195">
        <v>53.2</v>
      </c>
      <c r="E3501" s="705">
        <f t="shared" si="110"/>
        <v>11.777777777777779</v>
      </c>
    </row>
    <row r="3502" spans="2:5">
      <c r="B3502" s="943">
        <v>45068</v>
      </c>
      <c r="C3502" s="195">
        <f t="shared" si="109"/>
        <v>5</v>
      </c>
      <c r="D3502" s="195">
        <v>54.7</v>
      </c>
      <c r="E3502" s="705">
        <f t="shared" si="110"/>
        <v>12.611111111111112</v>
      </c>
    </row>
    <row r="3503" spans="2:5">
      <c r="B3503" s="943">
        <v>45068</v>
      </c>
      <c r="C3503" s="195">
        <f t="shared" si="109"/>
        <v>5</v>
      </c>
      <c r="D3503" s="195">
        <v>55.4</v>
      </c>
      <c r="E3503" s="705">
        <f t="shared" si="110"/>
        <v>12.999999999999998</v>
      </c>
    </row>
    <row r="3504" spans="2:5">
      <c r="B3504" s="943">
        <v>45068</v>
      </c>
      <c r="C3504" s="195">
        <f t="shared" si="109"/>
        <v>5</v>
      </c>
      <c r="D3504" s="195">
        <v>54.9</v>
      </c>
      <c r="E3504" s="705">
        <f t="shared" si="110"/>
        <v>12.722222222222221</v>
      </c>
    </row>
    <row r="3505" spans="2:5">
      <c r="B3505" s="943">
        <v>45068</v>
      </c>
      <c r="C3505" s="195">
        <f t="shared" si="109"/>
        <v>5</v>
      </c>
      <c r="D3505" s="195">
        <v>52.7</v>
      </c>
      <c r="E3505" s="705">
        <f t="shared" si="110"/>
        <v>11.500000000000002</v>
      </c>
    </row>
    <row r="3506" spans="2:5">
      <c r="B3506" s="943">
        <v>45068</v>
      </c>
      <c r="C3506" s="195">
        <f t="shared" si="109"/>
        <v>5</v>
      </c>
      <c r="D3506" s="195">
        <v>50.9</v>
      </c>
      <c r="E3506" s="705">
        <f t="shared" si="110"/>
        <v>10.499999999999998</v>
      </c>
    </row>
    <row r="3507" spans="2:5">
      <c r="B3507" s="943">
        <v>45068</v>
      </c>
      <c r="C3507" s="195">
        <f t="shared" si="109"/>
        <v>5</v>
      </c>
      <c r="D3507" s="195">
        <v>49.6</v>
      </c>
      <c r="E3507" s="705">
        <f t="shared" si="110"/>
        <v>9.7777777777777786</v>
      </c>
    </row>
    <row r="3508" spans="2:5">
      <c r="B3508" s="943">
        <v>45068</v>
      </c>
      <c r="C3508" s="195">
        <f t="shared" si="109"/>
        <v>5</v>
      </c>
      <c r="D3508" s="195">
        <v>49.1</v>
      </c>
      <c r="E3508" s="705">
        <f t="shared" si="110"/>
        <v>9.5</v>
      </c>
    </row>
    <row r="3509" spans="2:5">
      <c r="B3509" s="943">
        <v>45068</v>
      </c>
      <c r="C3509" s="195">
        <f t="shared" si="109"/>
        <v>5</v>
      </c>
      <c r="D3509" s="195">
        <v>49.3</v>
      </c>
      <c r="E3509" s="705">
        <f t="shared" si="110"/>
        <v>9.6111111111111089</v>
      </c>
    </row>
    <row r="3510" spans="2:5">
      <c r="B3510" s="943">
        <v>45068</v>
      </c>
      <c r="C3510" s="195">
        <f t="shared" si="109"/>
        <v>5</v>
      </c>
      <c r="D3510" s="195" t="s">
        <v>1436</v>
      </c>
      <c r="E3510" s="705">
        <f t="shared" si="110"/>
        <v>10</v>
      </c>
    </row>
    <row r="3511" spans="2:5">
      <c r="B3511" s="943">
        <v>45068</v>
      </c>
      <c r="C3511" s="195">
        <f t="shared" si="109"/>
        <v>5</v>
      </c>
      <c r="D3511" s="195">
        <v>50.2</v>
      </c>
      <c r="E3511" s="705">
        <f t="shared" si="110"/>
        <v>10.111111111111112</v>
      </c>
    </row>
    <row r="3512" spans="2:5">
      <c r="B3512" s="943">
        <v>45068</v>
      </c>
      <c r="C3512" s="195">
        <f t="shared" si="109"/>
        <v>5</v>
      </c>
      <c r="D3512" s="195">
        <v>51.1</v>
      </c>
      <c r="E3512" s="705">
        <f t="shared" si="110"/>
        <v>10.611111111111112</v>
      </c>
    </row>
    <row r="3513" spans="2:5">
      <c r="B3513" s="943">
        <v>45069</v>
      </c>
      <c r="C3513" s="195">
        <f t="shared" si="109"/>
        <v>5</v>
      </c>
      <c r="D3513" s="195">
        <v>53.2</v>
      </c>
      <c r="E3513" s="705">
        <f t="shared" si="110"/>
        <v>11.777777777777779</v>
      </c>
    </row>
    <row r="3514" spans="2:5">
      <c r="B3514" s="943">
        <v>45069</v>
      </c>
      <c r="C3514" s="195">
        <f t="shared" si="109"/>
        <v>5</v>
      </c>
      <c r="D3514" s="195">
        <v>54.5</v>
      </c>
      <c r="E3514" s="705">
        <f t="shared" si="110"/>
        <v>12.5</v>
      </c>
    </row>
    <row r="3515" spans="2:5">
      <c r="B3515" s="943">
        <v>45069</v>
      </c>
      <c r="C3515" s="195">
        <f t="shared" si="109"/>
        <v>5</v>
      </c>
      <c r="D3515" s="195" t="s">
        <v>1439</v>
      </c>
      <c r="E3515" s="705">
        <f t="shared" si="110"/>
        <v>12.777777777777777</v>
      </c>
    </row>
    <row r="3516" spans="2:5">
      <c r="B3516" s="943">
        <v>45069</v>
      </c>
      <c r="C3516" s="195">
        <f t="shared" si="109"/>
        <v>5</v>
      </c>
      <c r="D3516" s="195" t="s">
        <v>1438</v>
      </c>
      <c r="E3516" s="705">
        <f t="shared" si="110"/>
        <v>12.222222222222221</v>
      </c>
    </row>
    <row r="3517" spans="2:5">
      <c r="B3517" s="943">
        <v>45069</v>
      </c>
      <c r="C3517" s="195">
        <f t="shared" si="109"/>
        <v>5</v>
      </c>
      <c r="D3517" s="195">
        <v>52.2</v>
      </c>
      <c r="E3517" s="705">
        <f t="shared" si="110"/>
        <v>11.222222222222223</v>
      </c>
    </row>
    <row r="3518" spans="2:5">
      <c r="B3518" s="943">
        <v>45069</v>
      </c>
      <c r="C3518" s="195">
        <f t="shared" si="109"/>
        <v>5</v>
      </c>
      <c r="D3518" s="195">
        <v>51.3</v>
      </c>
      <c r="E3518" s="705">
        <f t="shared" si="110"/>
        <v>10.72222222222222</v>
      </c>
    </row>
    <row r="3519" spans="2:5">
      <c r="B3519" s="943">
        <v>45069</v>
      </c>
      <c r="C3519" s="195">
        <f t="shared" si="109"/>
        <v>5</v>
      </c>
      <c r="D3519" s="195">
        <v>50.7</v>
      </c>
      <c r="E3519" s="705">
        <f t="shared" si="110"/>
        <v>10.388888888888891</v>
      </c>
    </row>
    <row r="3520" spans="2:5">
      <c r="B3520" s="943">
        <v>45069</v>
      </c>
      <c r="C3520" s="195">
        <f t="shared" si="109"/>
        <v>5</v>
      </c>
      <c r="D3520" s="195" t="s">
        <v>1436</v>
      </c>
      <c r="E3520" s="705">
        <f t="shared" si="110"/>
        <v>10</v>
      </c>
    </row>
    <row r="3521" spans="2:5">
      <c r="B3521" s="943">
        <v>45069</v>
      </c>
      <c r="C3521" s="195">
        <f t="shared" si="109"/>
        <v>5</v>
      </c>
      <c r="D3521" s="195">
        <v>49.8</v>
      </c>
      <c r="E3521" s="705">
        <f t="shared" si="110"/>
        <v>9.8888888888888875</v>
      </c>
    </row>
    <row r="3522" spans="2:5">
      <c r="B3522" s="943">
        <v>45069</v>
      </c>
      <c r="C3522" s="195">
        <f t="shared" si="109"/>
        <v>5</v>
      </c>
      <c r="D3522" s="195">
        <v>49.6</v>
      </c>
      <c r="E3522" s="705">
        <f t="shared" si="110"/>
        <v>9.7777777777777786</v>
      </c>
    </row>
    <row r="3523" spans="2:5">
      <c r="B3523" s="943">
        <v>45069</v>
      </c>
      <c r="C3523" s="195">
        <f t="shared" si="109"/>
        <v>5</v>
      </c>
      <c r="D3523" s="195">
        <v>50.4</v>
      </c>
      <c r="E3523" s="705">
        <f t="shared" si="110"/>
        <v>10.222222222222221</v>
      </c>
    </row>
    <row r="3524" spans="2:5">
      <c r="B3524" s="943">
        <v>45069</v>
      </c>
      <c r="C3524" s="195">
        <f t="shared" si="109"/>
        <v>5</v>
      </c>
      <c r="D3524" s="195">
        <v>51.6</v>
      </c>
      <c r="E3524" s="705">
        <f t="shared" si="110"/>
        <v>10.888888888888889</v>
      </c>
    </row>
    <row r="3525" spans="2:5">
      <c r="B3525" s="943">
        <v>45069</v>
      </c>
      <c r="C3525" s="195">
        <f t="shared" si="109"/>
        <v>5</v>
      </c>
      <c r="D3525" s="195">
        <v>53.4</v>
      </c>
      <c r="E3525" s="705">
        <f t="shared" si="110"/>
        <v>11.888888888888888</v>
      </c>
    </row>
    <row r="3526" spans="2:5">
      <c r="B3526" s="943">
        <v>45069</v>
      </c>
      <c r="C3526" s="195">
        <f t="shared" si="109"/>
        <v>5</v>
      </c>
      <c r="D3526" s="195">
        <v>54.5</v>
      </c>
      <c r="E3526" s="705">
        <f t="shared" si="110"/>
        <v>12.5</v>
      </c>
    </row>
    <row r="3527" spans="2:5">
      <c r="B3527" s="943">
        <v>45069</v>
      </c>
      <c r="C3527" s="195">
        <f t="shared" si="109"/>
        <v>5</v>
      </c>
      <c r="D3527" s="195">
        <v>55.6</v>
      </c>
      <c r="E3527" s="705">
        <f t="shared" si="110"/>
        <v>13.111111111111111</v>
      </c>
    </row>
    <row r="3528" spans="2:5">
      <c r="B3528" s="943">
        <v>45069</v>
      </c>
      <c r="C3528" s="195">
        <f t="shared" si="109"/>
        <v>5</v>
      </c>
      <c r="D3528" s="195">
        <v>56.1</v>
      </c>
      <c r="E3528" s="705">
        <f t="shared" si="110"/>
        <v>13.388888888888889</v>
      </c>
    </row>
    <row r="3529" spans="2:5">
      <c r="B3529" s="943">
        <v>45069</v>
      </c>
      <c r="C3529" s="195">
        <f t="shared" si="109"/>
        <v>5</v>
      </c>
      <c r="D3529" s="195">
        <v>55.4</v>
      </c>
      <c r="E3529" s="705">
        <f t="shared" si="110"/>
        <v>12.999999999999998</v>
      </c>
    </row>
    <row r="3530" spans="2:5">
      <c r="B3530" s="943">
        <v>45069</v>
      </c>
      <c r="C3530" s="195">
        <f t="shared" ref="C3530:C3593" si="111">MONTH(B3530)</f>
        <v>5</v>
      </c>
      <c r="D3530" s="195">
        <v>52.9</v>
      </c>
      <c r="E3530" s="705">
        <f t="shared" ref="E3530:E3593" si="112">CONVERT(D3530,"F","C")</f>
        <v>11.611111111111111</v>
      </c>
    </row>
    <row r="3531" spans="2:5">
      <c r="B3531" s="943">
        <v>45069</v>
      </c>
      <c r="C3531" s="195">
        <f t="shared" si="111"/>
        <v>5</v>
      </c>
      <c r="D3531" s="195">
        <v>51.8</v>
      </c>
      <c r="E3531" s="705">
        <f t="shared" si="112"/>
        <v>10.999999999999998</v>
      </c>
    </row>
    <row r="3532" spans="2:5">
      <c r="B3532" s="943">
        <v>45069</v>
      </c>
      <c r="C3532" s="195">
        <f t="shared" si="111"/>
        <v>5</v>
      </c>
      <c r="D3532" s="195">
        <v>50.9</v>
      </c>
      <c r="E3532" s="705">
        <f t="shared" si="112"/>
        <v>10.499999999999998</v>
      </c>
    </row>
    <row r="3533" spans="2:5">
      <c r="B3533" s="943">
        <v>45069</v>
      </c>
      <c r="C3533" s="195">
        <f t="shared" si="111"/>
        <v>5</v>
      </c>
      <c r="D3533" s="195" t="s">
        <v>1436</v>
      </c>
      <c r="E3533" s="705">
        <f t="shared" si="112"/>
        <v>10</v>
      </c>
    </row>
    <row r="3534" spans="2:5">
      <c r="B3534" s="943">
        <v>45069</v>
      </c>
      <c r="C3534" s="195">
        <f t="shared" si="111"/>
        <v>5</v>
      </c>
      <c r="D3534" s="195">
        <v>50.2</v>
      </c>
      <c r="E3534" s="705">
        <f t="shared" si="112"/>
        <v>10.111111111111112</v>
      </c>
    </row>
    <row r="3535" spans="2:5">
      <c r="B3535" s="943">
        <v>45069</v>
      </c>
      <c r="C3535" s="195">
        <f t="shared" si="111"/>
        <v>5</v>
      </c>
      <c r="D3535" s="195">
        <v>50.7</v>
      </c>
      <c r="E3535" s="705">
        <f t="shared" si="112"/>
        <v>10.388888888888891</v>
      </c>
    </row>
    <row r="3536" spans="2:5">
      <c r="B3536" s="943">
        <v>45069</v>
      </c>
      <c r="C3536" s="195">
        <f t="shared" si="111"/>
        <v>5</v>
      </c>
      <c r="D3536" s="195">
        <v>50.9</v>
      </c>
      <c r="E3536" s="705">
        <f t="shared" si="112"/>
        <v>10.499999999999998</v>
      </c>
    </row>
    <row r="3537" spans="2:5">
      <c r="B3537" s="943">
        <v>45070</v>
      </c>
      <c r="C3537" s="195">
        <f t="shared" si="111"/>
        <v>5</v>
      </c>
      <c r="D3537" s="195">
        <v>52.3</v>
      </c>
      <c r="E3537" s="705">
        <f t="shared" si="112"/>
        <v>11.277777777777777</v>
      </c>
    </row>
    <row r="3538" spans="2:5">
      <c r="B3538" s="943">
        <v>45070</v>
      </c>
      <c r="C3538" s="195">
        <f t="shared" si="111"/>
        <v>5</v>
      </c>
      <c r="D3538" s="195">
        <v>54.3</v>
      </c>
      <c r="E3538" s="705">
        <f t="shared" si="112"/>
        <v>12.388888888888888</v>
      </c>
    </row>
    <row r="3539" spans="2:5">
      <c r="B3539" s="943">
        <v>45070</v>
      </c>
      <c r="C3539" s="195">
        <f t="shared" si="111"/>
        <v>5</v>
      </c>
      <c r="D3539" s="195">
        <v>55.4</v>
      </c>
      <c r="E3539" s="705">
        <f t="shared" si="112"/>
        <v>12.999999999999998</v>
      </c>
    </row>
    <row r="3540" spans="2:5">
      <c r="B3540" s="943">
        <v>45070</v>
      </c>
      <c r="C3540" s="195">
        <f t="shared" si="111"/>
        <v>5</v>
      </c>
      <c r="D3540" s="195">
        <v>55.6</v>
      </c>
      <c r="E3540" s="705">
        <f t="shared" si="112"/>
        <v>13.111111111111111</v>
      </c>
    </row>
    <row r="3541" spans="2:5">
      <c r="B3541" s="943">
        <v>45070</v>
      </c>
      <c r="C3541" s="195">
        <f t="shared" si="111"/>
        <v>5</v>
      </c>
      <c r="D3541" s="195">
        <v>54.3</v>
      </c>
      <c r="E3541" s="705">
        <f t="shared" si="112"/>
        <v>12.388888888888888</v>
      </c>
    </row>
    <row r="3542" spans="2:5">
      <c r="B3542" s="943">
        <v>45070</v>
      </c>
      <c r="C3542" s="195">
        <f t="shared" si="111"/>
        <v>5</v>
      </c>
      <c r="D3542" s="195">
        <v>52.5</v>
      </c>
      <c r="E3542" s="705">
        <f t="shared" si="112"/>
        <v>11.388888888888889</v>
      </c>
    </row>
    <row r="3543" spans="2:5">
      <c r="B3543" s="943">
        <v>45070</v>
      </c>
      <c r="C3543" s="195">
        <f t="shared" si="111"/>
        <v>5</v>
      </c>
      <c r="D3543" s="195">
        <v>51.3</v>
      </c>
      <c r="E3543" s="705">
        <f t="shared" si="112"/>
        <v>10.72222222222222</v>
      </c>
    </row>
    <row r="3544" spans="2:5">
      <c r="B3544" s="943">
        <v>45070</v>
      </c>
      <c r="C3544" s="195">
        <f t="shared" si="111"/>
        <v>5</v>
      </c>
      <c r="D3544" s="195">
        <v>50.2</v>
      </c>
      <c r="E3544" s="705">
        <f t="shared" si="112"/>
        <v>10.111111111111112</v>
      </c>
    </row>
    <row r="3545" spans="2:5">
      <c r="B3545" s="943">
        <v>45070</v>
      </c>
      <c r="C3545" s="195">
        <f t="shared" si="111"/>
        <v>5</v>
      </c>
      <c r="D3545" s="195">
        <v>49.5</v>
      </c>
      <c r="E3545" s="705">
        <f t="shared" si="112"/>
        <v>9.7222222222222214</v>
      </c>
    </row>
    <row r="3546" spans="2:5">
      <c r="B3546" s="943">
        <v>45070</v>
      </c>
      <c r="C3546" s="195">
        <f t="shared" si="111"/>
        <v>5</v>
      </c>
      <c r="D3546" s="195">
        <v>48.7</v>
      </c>
      <c r="E3546" s="705">
        <f t="shared" si="112"/>
        <v>9.2777777777777786</v>
      </c>
    </row>
    <row r="3547" spans="2:5">
      <c r="B3547" s="943">
        <v>45070</v>
      </c>
      <c r="C3547" s="195">
        <f t="shared" si="111"/>
        <v>5</v>
      </c>
      <c r="D3547" s="195">
        <v>49.3</v>
      </c>
      <c r="E3547" s="705">
        <f t="shared" si="112"/>
        <v>9.6111111111111089</v>
      </c>
    </row>
    <row r="3548" spans="2:5">
      <c r="B3548" s="943">
        <v>45070</v>
      </c>
      <c r="C3548" s="195">
        <f t="shared" si="111"/>
        <v>5</v>
      </c>
      <c r="D3548" s="195">
        <v>50.4</v>
      </c>
      <c r="E3548" s="705">
        <f t="shared" si="112"/>
        <v>10.222222222222221</v>
      </c>
    </row>
    <row r="3549" spans="2:5">
      <c r="B3549" s="943">
        <v>45070</v>
      </c>
      <c r="C3549" s="195">
        <f t="shared" si="111"/>
        <v>5</v>
      </c>
      <c r="D3549" s="195">
        <v>52.2</v>
      </c>
      <c r="E3549" s="705">
        <f t="shared" si="112"/>
        <v>11.222222222222223</v>
      </c>
    </row>
    <row r="3550" spans="2:5">
      <c r="B3550" s="943">
        <v>45070</v>
      </c>
      <c r="C3550" s="195">
        <f t="shared" si="111"/>
        <v>5</v>
      </c>
      <c r="D3550" s="195" t="s">
        <v>1438</v>
      </c>
      <c r="E3550" s="705">
        <f t="shared" si="112"/>
        <v>12.222222222222221</v>
      </c>
    </row>
    <row r="3551" spans="2:5">
      <c r="B3551" s="943">
        <v>45070</v>
      </c>
      <c r="C3551" s="195">
        <f t="shared" si="111"/>
        <v>5</v>
      </c>
      <c r="D3551" s="195">
        <v>55.4</v>
      </c>
      <c r="E3551" s="705">
        <f t="shared" si="112"/>
        <v>12.999999999999998</v>
      </c>
    </row>
    <row r="3552" spans="2:5">
      <c r="B3552" s="943">
        <v>45070</v>
      </c>
      <c r="C3552" s="195">
        <f t="shared" si="111"/>
        <v>5</v>
      </c>
      <c r="D3552" s="195">
        <v>56.1</v>
      </c>
      <c r="E3552" s="705">
        <f t="shared" si="112"/>
        <v>13.388888888888889</v>
      </c>
    </row>
    <row r="3553" spans="2:5">
      <c r="B3553" s="943">
        <v>45070</v>
      </c>
      <c r="C3553" s="195">
        <f t="shared" si="111"/>
        <v>5</v>
      </c>
      <c r="D3553" s="195">
        <v>56.3</v>
      </c>
      <c r="E3553" s="705">
        <f t="shared" si="112"/>
        <v>13.499999999999998</v>
      </c>
    </row>
    <row r="3554" spans="2:5">
      <c r="B3554" s="943">
        <v>45070</v>
      </c>
      <c r="C3554" s="195">
        <f t="shared" si="111"/>
        <v>5</v>
      </c>
      <c r="D3554" s="195">
        <v>54.7</v>
      </c>
      <c r="E3554" s="705">
        <f t="shared" si="112"/>
        <v>12.611111111111112</v>
      </c>
    </row>
    <row r="3555" spans="2:5">
      <c r="B3555" s="943">
        <v>45070</v>
      </c>
      <c r="C3555" s="195">
        <f t="shared" si="111"/>
        <v>5</v>
      </c>
      <c r="D3555" s="195">
        <v>51.6</v>
      </c>
      <c r="E3555" s="705">
        <f t="shared" si="112"/>
        <v>10.888888888888889</v>
      </c>
    </row>
    <row r="3556" spans="2:5">
      <c r="B3556" s="943">
        <v>45070</v>
      </c>
      <c r="C3556" s="195">
        <f t="shared" si="111"/>
        <v>5</v>
      </c>
      <c r="D3556" s="195">
        <v>51.3</v>
      </c>
      <c r="E3556" s="705">
        <f t="shared" si="112"/>
        <v>10.72222222222222</v>
      </c>
    </row>
    <row r="3557" spans="2:5">
      <c r="B3557" s="943">
        <v>45070</v>
      </c>
      <c r="C3557" s="195">
        <f t="shared" si="111"/>
        <v>5</v>
      </c>
      <c r="D3557" s="195">
        <v>50.9</v>
      </c>
      <c r="E3557" s="705">
        <f t="shared" si="112"/>
        <v>10.499999999999998</v>
      </c>
    </row>
    <row r="3558" spans="2:5">
      <c r="B3558" s="943">
        <v>45070</v>
      </c>
      <c r="C3558" s="195">
        <f t="shared" si="111"/>
        <v>5</v>
      </c>
      <c r="D3558" s="195">
        <v>49.8</v>
      </c>
      <c r="E3558" s="705">
        <f t="shared" si="112"/>
        <v>9.8888888888888875</v>
      </c>
    </row>
    <row r="3559" spans="2:5">
      <c r="B3559" s="943">
        <v>45070</v>
      </c>
      <c r="C3559" s="195">
        <f t="shared" si="111"/>
        <v>5</v>
      </c>
      <c r="D3559" s="195">
        <v>49.8</v>
      </c>
      <c r="E3559" s="705">
        <f t="shared" si="112"/>
        <v>9.8888888888888875</v>
      </c>
    </row>
    <row r="3560" spans="2:5">
      <c r="B3560" s="943">
        <v>45070</v>
      </c>
      <c r="C3560" s="195">
        <f t="shared" si="111"/>
        <v>5</v>
      </c>
      <c r="D3560" s="195">
        <v>49.6</v>
      </c>
      <c r="E3560" s="705">
        <f t="shared" si="112"/>
        <v>9.7777777777777786</v>
      </c>
    </row>
    <row r="3561" spans="2:5">
      <c r="B3561" s="943">
        <v>45071</v>
      </c>
      <c r="C3561" s="195">
        <f t="shared" si="111"/>
        <v>5</v>
      </c>
      <c r="D3561" s="195">
        <v>50.5</v>
      </c>
      <c r="E3561" s="705">
        <f t="shared" si="112"/>
        <v>10.277777777777777</v>
      </c>
    </row>
    <row r="3562" spans="2:5">
      <c r="B3562" s="943">
        <v>45071</v>
      </c>
      <c r="C3562" s="195">
        <f t="shared" si="111"/>
        <v>5</v>
      </c>
      <c r="D3562" s="195">
        <v>52.3</v>
      </c>
      <c r="E3562" s="705">
        <f t="shared" si="112"/>
        <v>11.277777777777777</v>
      </c>
    </row>
    <row r="3563" spans="2:5">
      <c r="B3563" s="943">
        <v>45071</v>
      </c>
      <c r="C3563" s="195">
        <f t="shared" si="111"/>
        <v>5</v>
      </c>
      <c r="D3563" s="195">
        <v>54.3</v>
      </c>
      <c r="E3563" s="705">
        <f t="shared" si="112"/>
        <v>12.388888888888888</v>
      </c>
    </row>
    <row r="3564" spans="2:5">
      <c r="B3564" s="943">
        <v>45071</v>
      </c>
      <c r="C3564" s="195">
        <f t="shared" si="111"/>
        <v>5</v>
      </c>
      <c r="D3564" s="195">
        <v>55.2</v>
      </c>
      <c r="E3564" s="705">
        <f t="shared" si="112"/>
        <v>12.888888888888889</v>
      </c>
    </row>
    <row r="3565" spans="2:5">
      <c r="B3565" s="943">
        <v>45071</v>
      </c>
      <c r="C3565" s="195">
        <f t="shared" si="111"/>
        <v>5</v>
      </c>
      <c r="D3565" s="195">
        <v>54.9</v>
      </c>
      <c r="E3565" s="705">
        <f t="shared" si="112"/>
        <v>12.722222222222221</v>
      </c>
    </row>
    <row r="3566" spans="2:5">
      <c r="B3566" s="943">
        <v>45071</v>
      </c>
      <c r="C3566" s="195">
        <f t="shared" si="111"/>
        <v>5</v>
      </c>
      <c r="D3566" s="195">
        <v>52.9</v>
      </c>
      <c r="E3566" s="705">
        <f t="shared" si="112"/>
        <v>11.611111111111111</v>
      </c>
    </row>
    <row r="3567" spans="2:5">
      <c r="B3567" s="943">
        <v>45071</v>
      </c>
      <c r="C3567" s="195">
        <f t="shared" si="111"/>
        <v>5</v>
      </c>
      <c r="D3567" s="195">
        <v>51.4</v>
      </c>
      <c r="E3567" s="705">
        <f t="shared" si="112"/>
        <v>10.777777777777777</v>
      </c>
    </row>
    <row r="3568" spans="2:5">
      <c r="B3568" s="943">
        <v>45071</v>
      </c>
      <c r="C3568" s="195">
        <f t="shared" si="111"/>
        <v>5</v>
      </c>
      <c r="D3568" s="195">
        <v>50.4</v>
      </c>
      <c r="E3568" s="705">
        <f t="shared" si="112"/>
        <v>10.222222222222221</v>
      </c>
    </row>
    <row r="3569" spans="2:5">
      <c r="B3569" s="943">
        <v>45071</v>
      </c>
      <c r="C3569" s="195">
        <f t="shared" si="111"/>
        <v>5</v>
      </c>
      <c r="D3569" s="195">
        <v>49.3</v>
      </c>
      <c r="E3569" s="705">
        <f t="shared" si="112"/>
        <v>9.6111111111111089</v>
      </c>
    </row>
    <row r="3570" spans="2:5">
      <c r="B3570" s="943">
        <v>45071</v>
      </c>
      <c r="C3570" s="195">
        <f t="shared" si="111"/>
        <v>5</v>
      </c>
      <c r="D3570" s="195">
        <v>48.9</v>
      </c>
      <c r="E3570" s="705">
        <f t="shared" si="112"/>
        <v>9.3888888888888875</v>
      </c>
    </row>
    <row r="3571" spans="2:5">
      <c r="B3571" s="943">
        <v>45071</v>
      </c>
      <c r="C3571" s="195">
        <f t="shared" si="111"/>
        <v>5</v>
      </c>
      <c r="D3571" s="195">
        <v>48.6</v>
      </c>
      <c r="E3571" s="705">
        <f t="shared" si="112"/>
        <v>9.2222222222222232</v>
      </c>
    </row>
    <row r="3572" spans="2:5">
      <c r="B3572" s="943">
        <v>45071</v>
      </c>
      <c r="C3572" s="195">
        <f t="shared" si="111"/>
        <v>5</v>
      </c>
      <c r="D3572" s="195">
        <v>48.9</v>
      </c>
      <c r="E3572" s="705">
        <f t="shared" si="112"/>
        <v>9.3888888888888875</v>
      </c>
    </row>
    <row r="3573" spans="2:5">
      <c r="B3573" s="943">
        <v>45071</v>
      </c>
      <c r="C3573" s="195">
        <f t="shared" si="111"/>
        <v>5</v>
      </c>
      <c r="D3573" s="195">
        <v>50.2</v>
      </c>
      <c r="E3573" s="705">
        <f t="shared" si="112"/>
        <v>10.111111111111112</v>
      </c>
    </row>
    <row r="3574" spans="2:5">
      <c r="B3574" s="943">
        <v>45071</v>
      </c>
      <c r="C3574" s="195">
        <f t="shared" si="111"/>
        <v>5</v>
      </c>
      <c r="D3574" s="195">
        <v>52.2</v>
      </c>
      <c r="E3574" s="705">
        <f t="shared" si="112"/>
        <v>11.222222222222223</v>
      </c>
    </row>
    <row r="3575" spans="2:5">
      <c r="B3575" s="943">
        <v>45071</v>
      </c>
      <c r="C3575" s="195">
        <f t="shared" si="111"/>
        <v>5</v>
      </c>
      <c r="D3575" s="195" t="s">
        <v>1438</v>
      </c>
      <c r="E3575" s="705">
        <f t="shared" si="112"/>
        <v>12.222222222222221</v>
      </c>
    </row>
    <row r="3576" spans="2:5">
      <c r="B3576" s="943">
        <v>45071</v>
      </c>
      <c r="C3576" s="195">
        <f t="shared" si="111"/>
        <v>5</v>
      </c>
      <c r="D3576" s="195">
        <v>55.2</v>
      </c>
      <c r="E3576" s="705">
        <f t="shared" si="112"/>
        <v>12.888888888888889</v>
      </c>
    </row>
    <row r="3577" spans="2:5">
      <c r="B3577" s="943">
        <v>45071</v>
      </c>
      <c r="C3577" s="195">
        <f t="shared" si="111"/>
        <v>5</v>
      </c>
      <c r="D3577" s="195">
        <v>55.9</v>
      </c>
      <c r="E3577" s="705">
        <f t="shared" si="112"/>
        <v>13.277777777777777</v>
      </c>
    </row>
    <row r="3578" spans="2:5">
      <c r="B3578" s="943">
        <v>45071</v>
      </c>
      <c r="C3578" s="195">
        <f t="shared" si="111"/>
        <v>5</v>
      </c>
      <c r="D3578" s="195">
        <v>55.8</v>
      </c>
      <c r="E3578" s="705">
        <f t="shared" si="112"/>
        <v>13.22222222222222</v>
      </c>
    </row>
    <row r="3579" spans="2:5">
      <c r="B3579" s="943">
        <v>45071</v>
      </c>
      <c r="C3579" s="195">
        <f t="shared" si="111"/>
        <v>5</v>
      </c>
      <c r="D3579" s="195">
        <v>54.3</v>
      </c>
      <c r="E3579" s="705">
        <f t="shared" si="112"/>
        <v>12.388888888888888</v>
      </c>
    </row>
    <row r="3580" spans="2:5">
      <c r="B3580" s="943">
        <v>45071</v>
      </c>
      <c r="C3580" s="195">
        <f t="shared" si="111"/>
        <v>5</v>
      </c>
      <c r="D3580" s="195" t="s">
        <v>1437</v>
      </c>
      <c r="E3580" s="705">
        <f t="shared" si="112"/>
        <v>11.111111111111111</v>
      </c>
    </row>
    <row r="3581" spans="2:5">
      <c r="B3581" s="943">
        <v>45071</v>
      </c>
      <c r="C3581" s="195">
        <f t="shared" si="111"/>
        <v>5</v>
      </c>
      <c r="D3581" s="195">
        <v>51.4</v>
      </c>
      <c r="E3581" s="705">
        <f t="shared" si="112"/>
        <v>10.777777777777777</v>
      </c>
    </row>
    <row r="3582" spans="2:5">
      <c r="B3582" s="943">
        <v>45071</v>
      </c>
      <c r="C3582" s="195">
        <f t="shared" si="111"/>
        <v>5</v>
      </c>
      <c r="D3582" s="195">
        <v>51.3</v>
      </c>
      <c r="E3582" s="705">
        <f t="shared" si="112"/>
        <v>10.72222222222222</v>
      </c>
    </row>
    <row r="3583" spans="2:5">
      <c r="B3583" s="943">
        <v>45071</v>
      </c>
      <c r="C3583" s="195">
        <f t="shared" si="111"/>
        <v>5</v>
      </c>
      <c r="D3583" s="195">
        <v>50.7</v>
      </c>
      <c r="E3583" s="705">
        <f t="shared" si="112"/>
        <v>10.388888888888891</v>
      </c>
    </row>
    <row r="3584" spans="2:5">
      <c r="B3584" s="943">
        <v>45071</v>
      </c>
      <c r="C3584" s="195">
        <f t="shared" si="111"/>
        <v>5</v>
      </c>
      <c r="D3584" s="195">
        <v>51.1</v>
      </c>
      <c r="E3584" s="705">
        <f t="shared" si="112"/>
        <v>10.611111111111112</v>
      </c>
    </row>
    <row r="3585" spans="2:5">
      <c r="B3585" s="943">
        <v>45072</v>
      </c>
      <c r="C3585" s="195">
        <f t="shared" si="111"/>
        <v>5</v>
      </c>
      <c r="D3585" s="195">
        <v>51.3</v>
      </c>
      <c r="E3585" s="705">
        <f t="shared" si="112"/>
        <v>10.72222222222222</v>
      </c>
    </row>
    <row r="3586" spans="2:5">
      <c r="B3586" s="943">
        <v>45072</v>
      </c>
      <c r="C3586" s="195">
        <f t="shared" si="111"/>
        <v>5</v>
      </c>
      <c r="D3586" s="195" t="s">
        <v>1437</v>
      </c>
      <c r="E3586" s="705">
        <f t="shared" si="112"/>
        <v>11.111111111111111</v>
      </c>
    </row>
    <row r="3587" spans="2:5">
      <c r="B3587" s="943">
        <v>45072</v>
      </c>
      <c r="C3587" s="195">
        <f t="shared" si="111"/>
        <v>5</v>
      </c>
      <c r="D3587" s="195">
        <v>53.4</v>
      </c>
      <c r="E3587" s="705">
        <f t="shared" si="112"/>
        <v>11.888888888888888</v>
      </c>
    </row>
    <row r="3588" spans="2:5">
      <c r="B3588" s="943">
        <v>45072</v>
      </c>
      <c r="C3588" s="195">
        <f t="shared" si="111"/>
        <v>5</v>
      </c>
      <c r="D3588" s="195">
        <v>54.9</v>
      </c>
      <c r="E3588" s="705">
        <f t="shared" si="112"/>
        <v>12.722222222222221</v>
      </c>
    </row>
    <row r="3589" spans="2:5">
      <c r="B3589" s="943">
        <v>45072</v>
      </c>
      <c r="C3589" s="195">
        <f t="shared" si="111"/>
        <v>5</v>
      </c>
      <c r="D3589" s="195">
        <v>55.4</v>
      </c>
      <c r="E3589" s="705">
        <f t="shared" si="112"/>
        <v>12.999999999999998</v>
      </c>
    </row>
    <row r="3590" spans="2:5">
      <c r="B3590" s="943">
        <v>45072</v>
      </c>
      <c r="C3590" s="195">
        <f t="shared" si="111"/>
        <v>5</v>
      </c>
      <c r="D3590" s="195" t="s">
        <v>1439</v>
      </c>
      <c r="E3590" s="705">
        <f t="shared" si="112"/>
        <v>12.777777777777777</v>
      </c>
    </row>
    <row r="3591" spans="2:5">
      <c r="B3591" s="943">
        <v>45072</v>
      </c>
      <c r="C3591" s="195">
        <f t="shared" si="111"/>
        <v>5</v>
      </c>
      <c r="D3591" s="195">
        <v>53.6</v>
      </c>
      <c r="E3591" s="705">
        <f t="shared" si="112"/>
        <v>12</v>
      </c>
    </row>
    <row r="3592" spans="2:5">
      <c r="B3592" s="943">
        <v>45072</v>
      </c>
      <c r="C3592" s="195">
        <f t="shared" si="111"/>
        <v>5</v>
      </c>
      <c r="D3592" s="195">
        <v>52.3</v>
      </c>
      <c r="E3592" s="705">
        <f t="shared" si="112"/>
        <v>11.277777777777777</v>
      </c>
    </row>
    <row r="3593" spans="2:5">
      <c r="B3593" s="943">
        <v>45072</v>
      </c>
      <c r="C3593" s="195">
        <f t="shared" si="111"/>
        <v>5</v>
      </c>
      <c r="D3593" s="195" t="s">
        <v>1437</v>
      </c>
      <c r="E3593" s="705">
        <f t="shared" si="112"/>
        <v>11.111111111111111</v>
      </c>
    </row>
    <row r="3594" spans="2:5">
      <c r="B3594" s="943">
        <v>45072</v>
      </c>
      <c r="C3594" s="195">
        <f t="shared" ref="C3594:C3657" si="113">MONTH(B3594)</f>
        <v>5</v>
      </c>
      <c r="D3594" s="195">
        <v>51.3</v>
      </c>
      <c r="E3594" s="705">
        <f t="shared" ref="E3594:E3657" si="114">CONVERT(D3594,"F","C")</f>
        <v>10.72222222222222</v>
      </c>
    </row>
    <row r="3595" spans="2:5">
      <c r="B3595" s="943">
        <v>45072</v>
      </c>
      <c r="C3595" s="195">
        <f t="shared" si="113"/>
        <v>5</v>
      </c>
      <c r="D3595" s="195">
        <v>51.1</v>
      </c>
      <c r="E3595" s="705">
        <f t="shared" si="114"/>
        <v>10.611111111111112</v>
      </c>
    </row>
    <row r="3596" spans="2:5">
      <c r="B3596" s="943">
        <v>45072</v>
      </c>
      <c r="C3596" s="195">
        <f t="shared" si="113"/>
        <v>5</v>
      </c>
      <c r="D3596" s="195">
        <v>51.1</v>
      </c>
      <c r="E3596" s="705">
        <f t="shared" si="114"/>
        <v>10.611111111111112</v>
      </c>
    </row>
    <row r="3597" spans="2:5">
      <c r="B3597" s="943">
        <v>45072</v>
      </c>
      <c r="C3597" s="195">
        <f t="shared" si="113"/>
        <v>5</v>
      </c>
      <c r="D3597" s="195">
        <v>51.3</v>
      </c>
      <c r="E3597" s="705">
        <f t="shared" si="114"/>
        <v>10.72222222222222</v>
      </c>
    </row>
    <row r="3598" spans="2:5">
      <c r="B3598" s="943">
        <v>45072</v>
      </c>
      <c r="C3598" s="195">
        <f t="shared" si="113"/>
        <v>5</v>
      </c>
      <c r="D3598" s="195" t="s">
        <v>1437</v>
      </c>
      <c r="E3598" s="705">
        <f t="shared" si="114"/>
        <v>11.111111111111111</v>
      </c>
    </row>
    <row r="3599" spans="2:5">
      <c r="B3599" s="943">
        <v>45072</v>
      </c>
      <c r="C3599" s="195">
        <f t="shared" si="113"/>
        <v>5</v>
      </c>
      <c r="D3599" s="195">
        <v>53.4</v>
      </c>
      <c r="E3599" s="705">
        <f t="shared" si="114"/>
        <v>11.888888888888888</v>
      </c>
    </row>
    <row r="3600" spans="2:5">
      <c r="B3600" s="943">
        <v>45072</v>
      </c>
      <c r="C3600" s="195">
        <f t="shared" si="113"/>
        <v>5</v>
      </c>
      <c r="D3600" s="195">
        <v>54.9</v>
      </c>
      <c r="E3600" s="705">
        <f t="shared" si="114"/>
        <v>12.722222222222221</v>
      </c>
    </row>
    <row r="3601" spans="2:5">
      <c r="B3601" s="943">
        <v>45072</v>
      </c>
      <c r="C3601" s="195">
        <f t="shared" si="113"/>
        <v>5</v>
      </c>
      <c r="D3601" s="195">
        <v>55.8</v>
      </c>
      <c r="E3601" s="705">
        <f t="shared" si="114"/>
        <v>13.22222222222222</v>
      </c>
    </row>
    <row r="3602" spans="2:5">
      <c r="B3602" s="943">
        <v>45072</v>
      </c>
      <c r="C3602" s="195">
        <f t="shared" si="113"/>
        <v>5</v>
      </c>
      <c r="D3602" s="195">
        <v>56.3</v>
      </c>
      <c r="E3602" s="705">
        <f t="shared" si="114"/>
        <v>13.499999999999998</v>
      </c>
    </row>
    <row r="3603" spans="2:5">
      <c r="B3603" s="943">
        <v>45072</v>
      </c>
      <c r="C3603" s="195">
        <f t="shared" si="113"/>
        <v>5</v>
      </c>
      <c r="D3603" s="195">
        <v>55.8</v>
      </c>
      <c r="E3603" s="705">
        <f t="shared" si="114"/>
        <v>13.22222222222222</v>
      </c>
    </row>
    <row r="3604" spans="2:5">
      <c r="B3604" s="943">
        <v>45072</v>
      </c>
      <c r="C3604" s="195">
        <f t="shared" si="113"/>
        <v>5</v>
      </c>
      <c r="D3604" s="195" t="s">
        <v>1439</v>
      </c>
      <c r="E3604" s="705">
        <f t="shared" si="114"/>
        <v>12.777777777777777</v>
      </c>
    </row>
    <row r="3605" spans="2:5">
      <c r="B3605" s="943">
        <v>45072</v>
      </c>
      <c r="C3605" s="195">
        <f t="shared" si="113"/>
        <v>5</v>
      </c>
      <c r="D3605" s="195">
        <v>53.8</v>
      </c>
      <c r="E3605" s="705">
        <f t="shared" si="114"/>
        <v>12.111111111111109</v>
      </c>
    </row>
    <row r="3606" spans="2:5">
      <c r="B3606" s="943">
        <v>45072</v>
      </c>
      <c r="C3606" s="195">
        <f t="shared" si="113"/>
        <v>5</v>
      </c>
      <c r="D3606" s="195">
        <v>52.9</v>
      </c>
      <c r="E3606" s="705">
        <f t="shared" si="114"/>
        <v>11.611111111111111</v>
      </c>
    </row>
    <row r="3607" spans="2:5">
      <c r="B3607" s="943">
        <v>45072</v>
      </c>
      <c r="C3607" s="195">
        <f t="shared" si="113"/>
        <v>5</v>
      </c>
      <c r="D3607" s="195">
        <v>52.9</v>
      </c>
      <c r="E3607" s="705">
        <f t="shared" si="114"/>
        <v>11.611111111111111</v>
      </c>
    </row>
    <row r="3608" spans="2:5">
      <c r="B3608" s="943">
        <v>45072</v>
      </c>
      <c r="C3608" s="195">
        <f t="shared" si="113"/>
        <v>5</v>
      </c>
      <c r="D3608" s="195">
        <v>52.5</v>
      </c>
      <c r="E3608" s="705">
        <f t="shared" si="114"/>
        <v>11.388888888888889</v>
      </c>
    </row>
    <row r="3609" spans="2:5">
      <c r="B3609" s="943">
        <v>45073</v>
      </c>
      <c r="C3609" s="195">
        <f t="shared" si="113"/>
        <v>5</v>
      </c>
      <c r="D3609" s="195">
        <v>53.2</v>
      </c>
      <c r="E3609" s="705">
        <f t="shared" si="114"/>
        <v>11.777777777777779</v>
      </c>
    </row>
    <row r="3610" spans="2:5">
      <c r="B3610" s="943">
        <v>45073</v>
      </c>
      <c r="C3610" s="195">
        <f t="shared" si="113"/>
        <v>5</v>
      </c>
      <c r="D3610" s="195">
        <v>53.2</v>
      </c>
      <c r="E3610" s="705">
        <f t="shared" si="114"/>
        <v>11.777777777777779</v>
      </c>
    </row>
    <row r="3611" spans="2:5">
      <c r="B3611" s="943">
        <v>45073</v>
      </c>
      <c r="C3611" s="195">
        <f t="shared" si="113"/>
        <v>5</v>
      </c>
      <c r="D3611" s="195">
        <v>53.6</v>
      </c>
      <c r="E3611" s="705">
        <f t="shared" si="114"/>
        <v>12</v>
      </c>
    </row>
    <row r="3612" spans="2:5">
      <c r="B3612" s="943">
        <v>45073</v>
      </c>
      <c r="C3612" s="195">
        <f t="shared" si="113"/>
        <v>5</v>
      </c>
      <c r="D3612" s="195">
        <v>54.9</v>
      </c>
      <c r="E3612" s="705">
        <f t="shared" si="114"/>
        <v>12.722222222222221</v>
      </c>
    </row>
    <row r="3613" spans="2:5">
      <c r="B3613" s="943">
        <v>45073</v>
      </c>
      <c r="C3613" s="195">
        <f t="shared" si="113"/>
        <v>5</v>
      </c>
      <c r="D3613" s="195">
        <v>55.9</v>
      </c>
      <c r="E3613" s="705">
        <f t="shared" si="114"/>
        <v>13.277777777777777</v>
      </c>
    </row>
    <row r="3614" spans="2:5">
      <c r="B3614" s="943">
        <v>45073</v>
      </c>
      <c r="C3614" s="195">
        <f t="shared" si="113"/>
        <v>5</v>
      </c>
      <c r="D3614" s="195">
        <v>56.3</v>
      </c>
      <c r="E3614" s="705">
        <f t="shared" si="114"/>
        <v>13.499999999999998</v>
      </c>
    </row>
    <row r="3615" spans="2:5">
      <c r="B3615" s="943">
        <v>45073</v>
      </c>
      <c r="C3615" s="195">
        <f t="shared" si="113"/>
        <v>5</v>
      </c>
      <c r="D3615" s="195">
        <v>55.8</v>
      </c>
      <c r="E3615" s="705">
        <f t="shared" si="114"/>
        <v>13.22222222222222</v>
      </c>
    </row>
    <row r="3616" spans="2:5">
      <c r="B3616" s="943">
        <v>45073</v>
      </c>
      <c r="C3616" s="195">
        <f t="shared" si="113"/>
        <v>5</v>
      </c>
      <c r="D3616" s="195">
        <v>54.3</v>
      </c>
      <c r="E3616" s="705">
        <f t="shared" si="114"/>
        <v>12.388888888888888</v>
      </c>
    </row>
    <row r="3617" spans="2:5">
      <c r="B3617" s="943">
        <v>45073</v>
      </c>
      <c r="C3617" s="195">
        <f t="shared" si="113"/>
        <v>5</v>
      </c>
      <c r="D3617" s="195">
        <v>53.8</v>
      </c>
      <c r="E3617" s="705">
        <f t="shared" si="114"/>
        <v>12.111111111111109</v>
      </c>
    </row>
    <row r="3618" spans="2:5">
      <c r="B3618" s="943">
        <v>45073</v>
      </c>
      <c r="C3618" s="195">
        <f t="shared" si="113"/>
        <v>5</v>
      </c>
      <c r="D3618" s="195">
        <v>53.2</v>
      </c>
      <c r="E3618" s="705">
        <f t="shared" si="114"/>
        <v>11.777777777777779</v>
      </c>
    </row>
    <row r="3619" spans="2:5">
      <c r="B3619" s="943">
        <v>45073</v>
      </c>
      <c r="C3619" s="195">
        <f t="shared" si="113"/>
        <v>5</v>
      </c>
      <c r="D3619" s="195">
        <v>52.5</v>
      </c>
      <c r="E3619" s="705">
        <f t="shared" si="114"/>
        <v>11.388888888888889</v>
      </c>
    </row>
    <row r="3620" spans="2:5">
      <c r="B3620" s="943">
        <v>45073</v>
      </c>
      <c r="C3620" s="195">
        <f t="shared" si="113"/>
        <v>5</v>
      </c>
      <c r="D3620" s="195" t="s">
        <v>1437</v>
      </c>
      <c r="E3620" s="705">
        <f t="shared" si="114"/>
        <v>11.111111111111111</v>
      </c>
    </row>
    <row r="3621" spans="2:5">
      <c r="B3621" s="943">
        <v>45073</v>
      </c>
      <c r="C3621" s="195">
        <f t="shared" si="113"/>
        <v>5</v>
      </c>
      <c r="D3621" s="195">
        <v>52.5</v>
      </c>
      <c r="E3621" s="705">
        <f t="shared" si="114"/>
        <v>11.388888888888889</v>
      </c>
    </row>
    <row r="3622" spans="2:5">
      <c r="B3622" s="943">
        <v>45073</v>
      </c>
      <c r="C3622" s="195">
        <f t="shared" si="113"/>
        <v>5</v>
      </c>
      <c r="D3622" s="195">
        <v>52.7</v>
      </c>
      <c r="E3622" s="705">
        <f t="shared" si="114"/>
        <v>11.500000000000002</v>
      </c>
    </row>
    <row r="3623" spans="2:5">
      <c r="B3623" s="943">
        <v>45073</v>
      </c>
      <c r="C3623" s="195">
        <f t="shared" si="113"/>
        <v>5</v>
      </c>
      <c r="D3623" s="195">
        <v>53.6</v>
      </c>
      <c r="E3623" s="705">
        <f t="shared" si="114"/>
        <v>12</v>
      </c>
    </row>
    <row r="3624" spans="2:5">
      <c r="B3624" s="943">
        <v>45073</v>
      </c>
      <c r="C3624" s="195">
        <f t="shared" si="113"/>
        <v>5</v>
      </c>
      <c r="D3624" s="195">
        <v>55.2</v>
      </c>
      <c r="E3624" s="705">
        <f t="shared" si="114"/>
        <v>12.888888888888889</v>
      </c>
    </row>
    <row r="3625" spans="2:5">
      <c r="B3625" s="943">
        <v>45073</v>
      </c>
      <c r="C3625" s="195">
        <f t="shared" si="113"/>
        <v>5</v>
      </c>
      <c r="D3625" s="195">
        <v>56.3</v>
      </c>
      <c r="E3625" s="705">
        <f t="shared" si="114"/>
        <v>13.499999999999998</v>
      </c>
    </row>
    <row r="3626" spans="2:5">
      <c r="B3626" s="943">
        <v>45073</v>
      </c>
      <c r="C3626" s="195">
        <f t="shared" si="113"/>
        <v>5</v>
      </c>
      <c r="D3626" s="195">
        <v>57.4</v>
      </c>
      <c r="E3626" s="705">
        <f t="shared" si="114"/>
        <v>14.111111111111111</v>
      </c>
    </row>
    <row r="3627" spans="2:5">
      <c r="B3627" s="943">
        <v>45073</v>
      </c>
      <c r="C3627" s="195">
        <f t="shared" si="113"/>
        <v>5</v>
      </c>
      <c r="D3627" s="195">
        <v>57.7</v>
      </c>
      <c r="E3627" s="705">
        <f t="shared" si="114"/>
        <v>14.277777777777779</v>
      </c>
    </row>
    <row r="3628" spans="2:5">
      <c r="B3628" s="943">
        <v>45073</v>
      </c>
      <c r="C3628" s="195">
        <f t="shared" si="113"/>
        <v>5</v>
      </c>
      <c r="D3628" s="195" t="s">
        <v>1440</v>
      </c>
      <c r="E3628" s="705">
        <f t="shared" si="114"/>
        <v>13.888888888888889</v>
      </c>
    </row>
    <row r="3629" spans="2:5">
      <c r="B3629" s="943">
        <v>45073</v>
      </c>
      <c r="C3629" s="195">
        <f t="shared" si="113"/>
        <v>5</v>
      </c>
      <c r="D3629" s="195">
        <v>55.4</v>
      </c>
      <c r="E3629" s="705">
        <f t="shared" si="114"/>
        <v>12.999999999999998</v>
      </c>
    </row>
    <row r="3630" spans="2:5">
      <c r="B3630" s="943">
        <v>45073</v>
      </c>
      <c r="C3630" s="195">
        <f t="shared" si="113"/>
        <v>5</v>
      </c>
      <c r="D3630" s="195">
        <v>54.7</v>
      </c>
      <c r="E3630" s="705">
        <f t="shared" si="114"/>
        <v>12.611111111111112</v>
      </c>
    </row>
    <row r="3631" spans="2:5">
      <c r="B3631" s="943">
        <v>45073</v>
      </c>
      <c r="C3631" s="195">
        <f t="shared" si="113"/>
        <v>5</v>
      </c>
      <c r="D3631" s="195" t="s">
        <v>1438</v>
      </c>
      <c r="E3631" s="705">
        <f t="shared" si="114"/>
        <v>12.222222222222221</v>
      </c>
    </row>
    <row r="3632" spans="2:5">
      <c r="B3632" s="943">
        <v>45073</v>
      </c>
      <c r="C3632" s="195">
        <f t="shared" si="113"/>
        <v>5</v>
      </c>
      <c r="D3632" s="195">
        <v>53.4</v>
      </c>
      <c r="E3632" s="705">
        <f t="shared" si="114"/>
        <v>11.888888888888888</v>
      </c>
    </row>
    <row r="3633" spans="2:5">
      <c r="B3633" s="943">
        <v>45074</v>
      </c>
      <c r="C3633" s="195">
        <f t="shared" si="113"/>
        <v>5</v>
      </c>
      <c r="D3633" s="195">
        <v>53.1</v>
      </c>
      <c r="E3633" s="705">
        <f t="shared" si="114"/>
        <v>11.722222222222223</v>
      </c>
    </row>
    <row r="3634" spans="2:5">
      <c r="B3634" s="943">
        <v>45074</v>
      </c>
      <c r="C3634" s="195">
        <f t="shared" si="113"/>
        <v>5</v>
      </c>
      <c r="D3634" s="195">
        <v>53.8</v>
      </c>
      <c r="E3634" s="705">
        <f t="shared" si="114"/>
        <v>12.111111111111109</v>
      </c>
    </row>
    <row r="3635" spans="2:5">
      <c r="B3635" s="943">
        <v>45074</v>
      </c>
      <c r="C3635" s="195">
        <f t="shared" si="113"/>
        <v>5</v>
      </c>
      <c r="D3635" s="195" t="s">
        <v>1438</v>
      </c>
      <c r="E3635" s="705">
        <f t="shared" si="114"/>
        <v>12.222222222222221</v>
      </c>
    </row>
    <row r="3636" spans="2:5">
      <c r="B3636" s="943">
        <v>45074</v>
      </c>
      <c r="C3636" s="195">
        <f t="shared" si="113"/>
        <v>5</v>
      </c>
      <c r="D3636" s="195">
        <v>54.7</v>
      </c>
      <c r="E3636" s="705">
        <f t="shared" si="114"/>
        <v>12.611111111111112</v>
      </c>
    </row>
    <row r="3637" spans="2:5">
      <c r="B3637" s="943">
        <v>45074</v>
      </c>
      <c r="C3637" s="195">
        <f t="shared" si="113"/>
        <v>5</v>
      </c>
      <c r="D3637" s="195">
        <v>55.9</v>
      </c>
      <c r="E3637" s="705">
        <f t="shared" si="114"/>
        <v>13.277777777777777</v>
      </c>
    </row>
    <row r="3638" spans="2:5">
      <c r="B3638" s="943">
        <v>45074</v>
      </c>
      <c r="C3638" s="195">
        <f t="shared" si="113"/>
        <v>5</v>
      </c>
      <c r="D3638" s="195">
        <v>56.8</v>
      </c>
      <c r="E3638" s="705">
        <f t="shared" si="114"/>
        <v>13.777777777777775</v>
      </c>
    </row>
    <row r="3639" spans="2:5">
      <c r="B3639" s="943">
        <v>45074</v>
      </c>
      <c r="C3639" s="195">
        <f t="shared" si="113"/>
        <v>5</v>
      </c>
      <c r="D3639" s="195">
        <v>57.4</v>
      </c>
      <c r="E3639" s="705">
        <f t="shared" si="114"/>
        <v>14.111111111111111</v>
      </c>
    </row>
    <row r="3640" spans="2:5">
      <c r="B3640" s="943">
        <v>45074</v>
      </c>
      <c r="C3640" s="195">
        <f t="shared" si="113"/>
        <v>5</v>
      </c>
      <c r="D3640" s="195">
        <v>56.5</v>
      </c>
      <c r="E3640" s="705">
        <f t="shared" si="114"/>
        <v>13.611111111111111</v>
      </c>
    </row>
    <row r="3641" spans="2:5">
      <c r="B3641" s="943">
        <v>45074</v>
      </c>
      <c r="C3641" s="195">
        <f t="shared" si="113"/>
        <v>5</v>
      </c>
      <c r="D3641" s="195">
        <v>55.8</v>
      </c>
      <c r="E3641" s="705">
        <f t="shared" si="114"/>
        <v>13.22222222222222</v>
      </c>
    </row>
    <row r="3642" spans="2:5">
      <c r="B3642" s="943">
        <v>45074</v>
      </c>
      <c r="C3642" s="195">
        <f t="shared" si="113"/>
        <v>5</v>
      </c>
      <c r="D3642" s="195">
        <v>54.7</v>
      </c>
      <c r="E3642" s="705">
        <f t="shared" si="114"/>
        <v>12.611111111111112</v>
      </c>
    </row>
    <row r="3643" spans="2:5">
      <c r="B3643" s="943">
        <v>45074</v>
      </c>
      <c r="C3643" s="195">
        <f t="shared" si="113"/>
        <v>5</v>
      </c>
      <c r="D3643" s="195">
        <v>53.6</v>
      </c>
      <c r="E3643" s="705">
        <f t="shared" si="114"/>
        <v>12</v>
      </c>
    </row>
    <row r="3644" spans="2:5">
      <c r="B3644" s="943">
        <v>45074</v>
      </c>
      <c r="C3644" s="195">
        <f t="shared" si="113"/>
        <v>5</v>
      </c>
      <c r="D3644" s="195">
        <v>52.9</v>
      </c>
      <c r="E3644" s="705">
        <f t="shared" si="114"/>
        <v>11.611111111111111</v>
      </c>
    </row>
    <row r="3645" spans="2:5">
      <c r="B3645" s="943">
        <v>45074</v>
      </c>
      <c r="C3645" s="195">
        <f t="shared" si="113"/>
        <v>5</v>
      </c>
      <c r="D3645" s="195">
        <v>52.3</v>
      </c>
      <c r="E3645" s="705">
        <f t="shared" si="114"/>
        <v>11.277777777777777</v>
      </c>
    </row>
    <row r="3646" spans="2:5">
      <c r="B3646" s="943">
        <v>45074</v>
      </c>
      <c r="C3646" s="195">
        <f t="shared" si="113"/>
        <v>5</v>
      </c>
      <c r="D3646" s="195">
        <v>53.1</v>
      </c>
      <c r="E3646" s="705">
        <f t="shared" si="114"/>
        <v>11.722222222222223</v>
      </c>
    </row>
    <row r="3647" spans="2:5">
      <c r="B3647" s="943">
        <v>45074</v>
      </c>
      <c r="C3647" s="195">
        <f t="shared" si="113"/>
        <v>5</v>
      </c>
      <c r="D3647" s="195">
        <v>53.4</v>
      </c>
      <c r="E3647" s="705">
        <f t="shared" si="114"/>
        <v>11.888888888888888</v>
      </c>
    </row>
    <row r="3648" spans="2:5">
      <c r="B3648" s="943">
        <v>45074</v>
      </c>
      <c r="C3648" s="195">
        <f t="shared" si="113"/>
        <v>5</v>
      </c>
      <c r="D3648" s="195">
        <v>54.5</v>
      </c>
      <c r="E3648" s="705">
        <f t="shared" si="114"/>
        <v>12.5</v>
      </c>
    </row>
    <row r="3649" spans="2:5">
      <c r="B3649" s="943">
        <v>45074</v>
      </c>
      <c r="C3649" s="195">
        <f t="shared" si="113"/>
        <v>5</v>
      </c>
      <c r="D3649" s="195">
        <v>56.3</v>
      </c>
      <c r="E3649" s="705">
        <f t="shared" si="114"/>
        <v>13.499999999999998</v>
      </c>
    </row>
    <row r="3650" spans="2:5">
      <c r="B3650" s="943">
        <v>45074</v>
      </c>
      <c r="C3650" s="195">
        <f t="shared" si="113"/>
        <v>5</v>
      </c>
      <c r="D3650" s="195">
        <v>57.9</v>
      </c>
      <c r="E3650" s="705">
        <f t="shared" si="114"/>
        <v>14.388888888888888</v>
      </c>
    </row>
    <row r="3651" spans="2:5">
      <c r="B3651" s="943">
        <v>45074</v>
      </c>
      <c r="C3651" s="195">
        <f t="shared" si="113"/>
        <v>5</v>
      </c>
      <c r="D3651" s="195">
        <v>58.8</v>
      </c>
      <c r="E3651" s="705">
        <f t="shared" si="114"/>
        <v>14.888888888888888</v>
      </c>
    </row>
    <row r="3652" spans="2:5">
      <c r="B3652" s="943">
        <v>45074</v>
      </c>
      <c r="C3652" s="195">
        <f t="shared" si="113"/>
        <v>5</v>
      </c>
      <c r="D3652" s="195">
        <v>59.4</v>
      </c>
      <c r="E3652" s="705">
        <f t="shared" si="114"/>
        <v>15.222222222222221</v>
      </c>
    </row>
    <row r="3653" spans="2:5">
      <c r="B3653" s="943">
        <v>45074</v>
      </c>
      <c r="C3653" s="195">
        <f t="shared" si="113"/>
        <v>5</v>
      </c>
      <c r="D3653" s="195">
        <v>58.3</v>
      </c>
      <c r="E3653" s="705">
        <f t="shared" si="114"/>
        <v>14.611111111111109</v>
      </c>
    </row>
    <row r="3654" spans="2:5">
      <c r="B3654" s="943">
        <v>45074</v>
      </c>
      <c r="C3654" s="195">
        <f t="shared" si="113"/>
        <v>5</v>
      </c>
      <c r="D3654" s="195">
        <v>56.1</v>
      </c>
      <c r="E3654" s="705">
        <f t="shared" si="114"/>
        <v>13.388888888888889</v>
      </c>
    </row>
    <row r="3655" spans="2:5">
      <c r="B3655" s="943">
        <v>45074</v>
      </c>
      <c r="C3655" s="195">
        <f t="shared" si="113"/>
        <v>5</v>
      </c>
      <c r="D3655" s="195" t="s">
        <v>1438</v>
      </c>
      <c r="E3655" s="705">
        <f t="shared" si="114"/>
        <v>12.222222222222221</v>
      </c>
    </row>
    <row r="3656" spans="2:5">
      <c r="B3656" s="943">
        <v>45074</v>
      </c>
      <c r="C3656" s="195">
        <f t="shared" si="113"/>
        <v>5</v>
      </c>
      <c r="D3656" s="195">
        <v>53.8</v>
      </c>
      <c r="E3656" s="705">
        <f t="shared" si="114"/>
        <v>12.111111111111109</v>
      </c>
    </row>
    <row r="3657" spans="2:5">
      <c r="B3657" s="943">
        <v>45075</v>
      </c>
      <c r="C3657" s="195">
        <f t="shared" si="113"/>
        <v>5</v>
      </c>
      <c r="D3657" s="195">
        <v>52.2</v>
      </c>
      <c r="E3657" s="705">
        <f t="shared" si="114"/>
        <v>11.222222222222223</v>
      </c>
    </row>
    <row r="3658" spans="2:5">
      <c r="B3658" s="943">
        <v>45075</v>
      </c>
      <c r="C3658" s="195">
        <f t="shared" ref="C3658:C3721" si="115">MONTH(B3658)</f>
        <v>5</v>
      </c>
      <c r="D3658" s="195" t="s">
        <v>1437</v>
      </c>
      <c r="E3658" s="705">
        <f t="shared" ref="E3658:E3721" si="116">CONVERT(D3658,"F","C")</f>
        <v>11.111111111111111</v>
      </c>
    </row>
    <row r="3659" spans="2:5">
      <c r="B3659" s="943">
        <v>45075</v>
      </c>
      <c r="C3659" s="195">
        <f t="shared" si="115"/>
        <v>5</v>
      </c>
      <c r="D3659" s="195">
        <v>52.9</v>
      </c>
      <c r="E3659" s="705">
        <f t="shared" si="116"/>
        <v>11.611111111111111</v>
      </c>
    </row>
    <row r="3660" spans="2:5">
      <c r="B3660" s="943">
        <v>45075</v>
      </c>
      <c r="C3660" s="195">
        <f t="shared" si="115"/>
        <v>5</v>
      </c>
      <c r="D3660" s="195">
        <v>53.4</v>
      </c>
      <c r="E3660" s="705">
        <f t="shared" si="116"/>
        <v>11.888888888888888</v>
      </c>
    </row>
    <row r="3661" spans="2:5">
      <c r="B3661" s="943">
        <v>45075</v>
      </c>
      <c r="C3661" s="195">
        <f t="shared" si="115"/>
        <v>5</v>
      </c>
      <c r="D3661" s="195">
        <v>54.7</v>
      </c>
      <c r="E3661" s="705">
        <f t="shared" si="116"/>
        <v>12.611111111111112</v>
      </c>
    </row>
    <row r="3662" spans="2:5">
      <c r="B3662" s="943">
        <v>45075</v>
      </c>
      <c r="C3662" s="195">
        <f t="shared" si="115"/>
        <v>5</v>
      </c>
      <c r="D3662" s="195">
        <v>56.8</v>
      </c>
      <c r="E3662" s="705">
        <f t="shared" si="116"/>
        <v>13.777777777777775</v>
      </c>
    </row>
    <row r="3663" spans="2:5">
      <c r="B3663" s="943">
        <v>45075</v>
      </c>
      <c r="C3663" s="195">
        <f t="shared" si="115"/>
        <v>5</v>
      </c>
      <c r="D3663" s="195">
        <v>58.1</v>
      </c>
      <c r="E3663" s="705">
        <f t="shared" si="116"/>
        <v>14.5</v>
      </c>
    </row>
    <row r="3664" spans="2:5">
      <c r="B3664" s="943">
        <v>45075</v>
      </c>
      <c r="C3664" s="195">
        <f t="shared" si="115"/>
        <v>5</v>
      </c>
      <c r="D3664" s="195">
        <v>58.6</v>
      </c>
      <c r="E3664" s="705">
        <f t="shared" si="116"/>
        <v>14.777777777777779</v>
      </c>
    </row>
    <row r="3665" spans="2:5">
      <c r="B3665" s="943">
        <v>45075</v>
      </c>
      <c r="C3665" s="195">
        <f t="shared" si="115"/>
        <v>5</v>
      </c>
      <c r="D3665" s="195">
        <v>57.7</v>
      </c>
      <c r="E3665" s="705">
        <f t="shared" si="116"/>
        <v>14.277777777777779</v>
      </c>
    </row>
    <row r="3666" spans="2:5">
      <c r="B3666" s="943">
        <v>45075</v>
      </c>
      <c r="C3666" s="195">
        <f t="shared" si="115"/>
        <v>5</v>
      </c>
      <c r="D3666" s="195">
        <v>55.9</v>
      </c>
      <c r="E3666" s="705">
        <f t="shared" si="116"/>
        <v>13.277777777777777</v>
      </c>
    </row>
    <row r="3667" spans="2:5">
      <c r="B3667" s="943">
        <v>45075</v>
      </c>
      <c r="C3667" s="195">
        <f t="shared" si="115"/>
        <v>5</v>
      </c>
      <c r="D3667" s="195">
        <v>54.5</v>
      </c>
      <c r="E3667" s="705">
        <f t="shared" si="116"/>
        <v>12.5</v>
      </c>
    </row>
    <row r="3668" spans="2:5">
      <c r="B3668" s="943">
        <v>45075</v>
      </c>
      <c r="C3668" s="195">
        <f t="shared" si="115"/>
        <v>5</v>
      </c>
      <c r="D3668" s="195">
        <v>52.7</v>
      </c>
      <c r="E3668" s="705">
        <f t="shared" si="116"/>
        <v>11.500000000000002</v>
      </c>
    </row>
    <row r="3669" spans="2:5">
      <c r="B3669" s="943">
        <v>45075</v>
      </c>
      <c r="C3669" s="195">
        <f t="shared" si="115"/>
        <v>5</v>
      </c>
      <c r="D3669" s="195">
        <v>52.2</v>
      </c>
      <c r="E3669" s="705">
        <f t="shared" si="116"/>
        <v>11.222222222222223</v>
      </c>
    </row>
    <row r="3670" spans="2:5">
      <c r="B3670" s="943">
        <v>45075</v>
      </c>
      <c r="C3670" s="195">
        <f t="shared" si="115"/>
        <v>5</v>
      </c>
      <c r="D3670" s="195">
        <v>51.4</v>
      </c>
      <c r="E3670" s="705">
        <f t="shared" si="116"/>
        <v>10.777777777777777</v>
      </c>
    </row>
    <row r="3671" spans="2:5">
      <c r="B3671" s="943">
        <v>45075</v>
      </c>
      <c r="C3671" s="195">
        <f t="shared" si="115"/>
        <v>5</v>
      </c>
      <c r="D3671" s="195">
        <v>52.2</v>
      </c>
      <c r="E3671" s="705">
        <f t="shared" si="116"/>
        <v>11.222222222222223</v>
      </c>
    </row>
    <row r="3672" spans="2:5">
      <c r="B3672" s="943">
        <v>45075</v>
      </c>
      <c r="C3672" s="195">
        <f t="shared" si="115"/>
        <v>5</v>
      </c>
      <c r="D3672" s="195">
        <v>52.9</v>
      </c>
      <c r="E3672" s="705">
        <f t="shared" si="116"/>
        <v>11.611111111111111</v>
      </c>
    </row>
    <row r="3673" spans="2:5">
      <c r="B3673" s="943">
        <v>45075</v>
      </c>
      <c r="C3673" s="195">
        <f t="shared" si="115"/>
        <v>5</v>
      </c>
      <c r="D3673" s="195">
        <v>54.1</v>
      </c>
      <c r="E3673" s="705">
        <f t="shared" si="116"/>
        <v>12.277777777777779</v>
      </c>
    </row>
    <row r="3674" spans="2:5">
      <c r="B3674" s="943">
        <v>45075</v>
      </c>
      <c r="C3674" s="195">
        <f t="shared" si="115"/>
        <v>5</v>
      </c>
      <c r="D3674" s="195">
        <v>56.5</v>
      </c>
      <c r="E3674" s="705">
        <f t="shared" si="116"/>
        <v>13.611111111111111</v>
      </c>
    </row>
    <row r="3675" spans="2:5">
      <c r="B3675" s="943">
        <v>45075</v>
      </c>
      <c r="C3675" s="195">
        <f t="shared" si="115"/>
        <v>5</v>
      </c>
      <c r="D3675" s="195">
        <v>58.3</v>
      </c>
      <c r="E3675" s="705">
        <f t="shared" si="116"/>
        <v>14.611111111111109</v>
      </c>
    </row>
    <row r="3676" spans="2:5">
      <c r="B3676" s="943">
        <v>45075</v>
      </c>
      <c r="C3676" s="195">
        <f t="shared" si="115"/>
        <v>5</v>
      </c>
      <c r="D3676" s="195">
        <v>59.2</v>
      </c>
      <c r="E3676" s="705">
        <f t="shared" si="116"/>
        <v>15.111111111111112</v>
      </c>
    </row>
    <row r="3677" spans="2:5">
      <c r="B3677" s="943">
        <v>45075</v>
      </c>
      <c r="C3677" s="195">
        <f t="shared" si="115"/>
        <v>5</v>
      </c>
      <c r="D3677" s="195">
        <v>59.4</v>
      </c>
      <c r="E3677" s="705">
        <f t="shared" si="116"/>
        <v>15.222222222222221</v>
      </c>
    </row>
    <row r="3678" spans="2:5">
      <c r="B3678" s="943">
        <v>45075</v>
      </c>
      <c r="C3678" s="195">
        <f t="shared" si="115"/>
        <v>5</v>
      </c>
      <c r="D3678" s="195">
        <v>57.9</v>
      </c>
      <c r="E3678" s="705">
        <f t="shared" si="116"/>
        <v>14.388888888888888</v>
      </c>
    </row>
    <row r="3679" spans="2:5">
      <c r="B3679" s="943">
        <v>45075</v>
      </c>
      <c r="C3679" s="195">
        <f t="shared" si="115"/>
        <v>5</v>
      </c>
      <c r="D3679" s="195">
        <v>55.9</v>
      </c>
      <c r="E3679" s="705">
        <f t="shared" si="116"/>
        <v>13.277777777777777</v>
      </c>
    </row>
    <row r="3680" spans="2:5">
      <c r="B3680" s="943">
        <v>45075</v>
      </c>
      <c r="C3680" s="195">
        <f t="shared" si="115"/>
        <v>5</v>
      </c>
      <c r="D3680" s="195">
        <v>54.7</v>
      </c>
      <c r="E3680" s="705">
        <f t="shared" si="116"/>
        <v>12.611111111111112</v>
      </c>
    </row>
    <row r="3681" spans="2:5">
      <c r="B3681" s="943">
        <v>45076</v>
      </c>
      <c r="C3681" s="195">
        <f t="shared" si="115"/>
        <v>5</v>
      </c>
      <c r="D3681" s="195">
        <v>54.5</v>
      </c>
      <c r="E3681" s="705">
        <f t="shared" si="116"/>
        <v>12.5</v>
      </c>
    </row>
    <row r="3682" spans="2:5">
      <c r="B3682" s="943">
        <v>45076</v>
      </c>
      <c r="C3682" s="195">
        <f t="shared" si="115"/>
        <v>5</v>
      </c>
      <c r="D3682" s="195">
        <v>54.7</v>
      </c>
      <c r="E3682" s="705">
        <f t="shared" si="116"/>
        <v>12.611111111111112</v>
      </c>
    </row>
    <row r="3683" spans="2:5">
      <c r="B3683" s="943">
        <v>45076</v>
      </c>
      <c r="C3683" s="195">
        <f t="shared" si="115"/>
        <v>5</v>
      </c>
      <c r="D3683" s="195">
        <v>54.5</v>
      </c>
      <c r="E3683" s="705">
        <f t="shared" si="116"/>
        <v>12.5</v>
      </c>
    </row>
    <row r="3684" spans="2:5">
      <c r="B3684" s="943">
        <v>45076</v>
      </c>
      <c r="C3684" s="195">
        <f t="shared" si="115"/>
        <v>5</v>
      </c>
      <c r="D3684" s="195">
        <v>54.5</v>
      </c>
      <c r="E3684" s="705">
        <f t="shared" si="116"/>
        <v>12.5</v>
      </c>
    </row>
    <row r="3685" spans="2:5">
      <c r="B3685" s="943">
        <v>45076</v>
      </c>
      <c r="C3685" s="195">
        <f t="shared" si="115"/>
        <v>5</v>
      </c>
      <c r="D3685" s="195">
        <v>54.9</v>
      </c>
      <c r="E3685" s="705">
        <f t="shared" si="116"/>
        <v>12.722222222222221</v>
      </c>
    </row>
    <row r="3686" spans="2:5">
      <c r="B3686" s="943">
        <v>45076</v>
      </c>
      <c r="C3686" s="195">
        <f t="shared" si="115"/>
        <v>5</v>
      </c>
      <c r="D3686" s="195">
        <v>55.8</v>
      </c>
      <c r="E3686" s="705">
        <f t="shared" si="116"/>
        <v>13.22222222222222</v>
      </c>
    </row>
    <row r="3687" spans="2:5">
      <c r="B3687" s="943">
        <v>45076</v>
      </c>
      <c r="C3687" s="195">
        <f t="shared" si="115"/>
        <v>5</v>
      </c>
      <c r="D3687" s="195">
        <v>57.4</v>
      </c>
      <c r="E3687" s="705">
        <f t="shared" si="116"/>
        <v>14.111111111111111</v>
      </c>
    </row>
    <row r="3688" spans="2:5">
      <c r="B3688" s="943">
        <v>45076</v>
      </c>
      <c r="C3688" s="195">
        <f t="shared" si="115"/>
        <v>5</v>
      </c>
      <c r="D3688" s="195">
        <v>58.5</v>
      </c>
      <c r="E3688" s="705">
        <f t="shared" si="116"/>
        <v>14.722222222222221</v>
      </c>
    </row>
    <row r="3689" spans="2:5">
      <c r="B3689" s="943">
        <v>45076</v>
      </c>
      <c r="C3689" s="195">
        <f t="shared" si="115"/>
        <v>5</v>
      </c>
      <c r="D3689" s="195" t="s">
        <v>1441</v>
      </c>
      <c r="E3689" s="705">
        <f t="shared" si="116"/>
        <v>15</v>
      </c>
    </row>
    <row r="3690" spans="2:5">
      <c r="B3690" s="943">
        <v>45076</v>
      </c>
      <c r="C3690" s="195">
        <f t="shared" si="115"/>
        <v>5</v>
      </c>
      <c r="D3690" s="195">
        <v>58.1</v>
      </c>
      <c r="E3690" s="705">
        <f t="shared" si="116"/>
        <v>14.5</v>
      </c>
    </row>
    <row r="3691" spans="2:5">
      <c r="B3691" s="943">
        <v>45076</v>
      </c>
      <c r="C3691" s="195">
        <f t="shared" si="115"/>
        <v>5</v>
      </c>
      <c r="D3691" s="195">
        <v>57.2</v>
      </c>
      <c r="E3691" s="705">
        <f t="shared" si="116"/>
        <v>14.000000000000002</v>
      </c>
    </row>
    <row r="3692" spans="2:5">
      <c r="B3692" s="943">
        <v>45076</v>
      </c>
      <c r="C3692" s="195">
        <f t="shared" si="115"/>
        <v>5</v>
      </c>
      <c r="D3692" s="195">
        <v>55.6</v>
      </c>
      <c r="E3692" s="705">
        <f t="shared" si="116"/>
        <v>13.111111111111111</v>
      </c>
    </row>
    <row r="3693" spans="2:5">
      <c r="B3693" s="943">
        <v>45076</v>
      </c>
      <c r="C3693" s="195">
        <f t="shared" si="115"/>
        <v>5</v>
      </c>
      <c r="D3693" s="195">
        <v>54.5</v>
      </c>
      <c r="E3693" s="705">
        <f t="shared" si="116"/>
        <v>12.5</v>
      </c>
    </row>
    <row r="3694" spans="2:5">
      <c r="B3694" s="943">
        <v>45076</v>
      </c>
      <c r="C3694" s="195">
        <f t="shared" si="115"/>
        <v>5</v>
      </c>
      <c r="D3694" s="195">
        <v>53.4</v>
      </c>
      <c r="E3694" s="705">
        <f t="shared" si="116"/>
        <v>11.888888888888888</v>
      </c>
    </row>
    <row r="3695" spans="2:5">
      <c r="B3695" s="943">
        <v>45076</v>
      </c>
      <c r="C3695" s="195">
        <f t="shared" si="115"/>
        <v>5</v>
      </c>
      <c r="D3695" s="195">
        <v>52.2</v>
      </c>
      <c r="E3695" s="705">
        <f t="shared" si="116"/>
        <v>11.222222222222223</v>
      </c>
    </row>
    <row r="3696" spans="2:5">
      <c r="B3696" s="943">
        <v>45076</v>
      </c>
      <c r="C3696" s="195">
        <f t="shared" si="115"/>
        <v>5</v>
      </c>
      <c r="D3696" s="195">
        <v>53.1</v>
      </c>
      <c r="E3696" s="705">
        <f t="shared" si="116"/>
        <v>11.722222222222223</v>
      </c>
    </row>
    <row r="3697" spans="2:5">
      <c r="B3697" s="943">
        <v>45076</v>
      </c>
      <c r="C3697" s="195">
        <f t="shared" si="115"/>
        <v>5</v>
      </c>
      <c r="D3697" s="195">
        <v>54.3</v>
      </c>
      <c r="E3697" s="705">
        <f t="shared" si="116"/>
        <v>12.388888888888888</v>
      </c>
    </row>
    <row r="3698" spans="2:5">
      <c r="B3698" s="943">
        <v>45076</v>
      </c>
      <c r="C3698" s="195">
        <f t="shared" si="115"/>
        <v>5</v>
      </c>
      <c r="D3698" s="195">
        <v>55.6</v>
      </c>
      <c r="E3698" s="705">
        <f t="shared" si="116"/>
        <v>13.111111111111111</v>
      </c>
    </row>
    <row r="3699" spans="2:5">
      <c r="B3699" s="943">
        <v>45076</v>
      </c>
      <c r="C3699" s="195">
        <f t="shared" si="115"/>
        <v>5</v>
      </c>
      <c r="D3699" s="195">
        <v>57.7</v>
      </c>
      <c r="E3699" s="705">
        <f t="shared" si="116"/>
        <v>14.277777777777779</v>
      </c>
    </row>
    <row r="3700" spans="2:5">
      <c r="B3700" s="943">
        <v>45076</v>
      </c>
      <c r="C3700" s="195">
        <f t="shared" si="115"/>
        <v>5</v>
      </c>
      <c r="D3700" s="195">
        <v>59.2</v>
      </c>
      <c r="E3700" s="705">
        <f t="shared" si="116"/>
        <v>15.111111111111112</v>
      </c>
    </row>
    <row r="3701" spans="2:5">
      <c r="B3701" s="943">
        <v>45076</v>
      </c>
      <c r="C3701" s="195">
        <f t="shared" si="115"/>
        <v>5</v>
      </c>
      <c r="D3701" s="195">
        <v>59.9</v>
      </c>
      <c r="E3701" s="705">
        <f t="shared" si="116"/>
        <v>15.499999999999998</v>
      </c>
    </row>
    <row r="3702" spans="2:5">
      <c r="B3702" s="943">
        <v>45076</v>
      </c>
      <c r="C3702" s="195">
        <f t="shared" si="115"/>
        <v>5</v>
      </c>
      <c r="D3702" s="195">
        <v>59.7</v>
      </c>
      <c r="E3702" s="705">
        <f t="shared" si="116"/>
        <v>15.388888888888889</v>
      </c>
    </row>
    <row r="3703" spans="2:5">
      <c r="B3703" s="943">
        <v>45076</v>
      </c>
      <c r="C3703" s="195">
        <f t="shared" si="115"/>
        <v>5</v>
      </c>
      <c r="D3703" s="195">
        <v>58.1</v>
      </c>
      <c r="E3703" s="705">
        <f t="shared" si="116"/>
        <v>14.5</v>
      </c>
    </row>
    <row r="3704" spans="2:5">
      <c r="B3704" s="943">
        <v>45076</v>
      </c>
      <c r="C3704" s="195">
        <f t="shared" si="115"/>
        <v>5</v>
      </c>
      <c r="D3704" s="195">
        <v>56.7</v>
      </c>
      <c r="E3704" s="705">
        <f t="shared" si="116"/>
        <v>13.722222222222223</v>
      </c>
    </row>
    <row r="3705" spans="2:5">
      <c r="B3705" s="943">
        <v>45077</v>
      </c>
      <c r="C3705" s="195">
        <f t="shared" si="115"/>
        <v>5</v>
      </c>
      <c r="D3705" s="195">
        <v>55.8</v>
      </c>
      <c r="E3705" s="705">
        <f t="shared" si="116"/>
        <v>13.22222222222222</v>
      </c>
    </row>
    <row r="3706" spans="2:5">
      <c r="B3706" s="943">
        <v>45077</v>
      </c>
      <c r="C3706" s="195">
        <f t="shared" si="115"/>
        <v>5</v>
      </c>
      <c r="D3706" s="195">
        <v>54.9</v>
      </c>
      <c r="E3706" s="705">
        <f t="shared" si="116"/>
        <v>12.722222222222221</v>
      </c>
    </row>
    <row r="3707" spans="2:5">
      <c r="B3707" s="943">
        <v>45077</v>
      </c>
      <c r="C3707" s="195">
        <f t="shared" si="115"/>
        <v>5</v>
      </c>
      <c r="D3707" s="195">
        <v>54.3</v>
      </c>
      <c r="E3707" s="705">
        <f t="shared" si="116"/>
        <v>12.388888888888888</v>
      </c>
    </row>
    <row r="3708" spans="2:5">
      <c r="B3708" s="943">
        <v>45077</v>
      </c>
      <c r="C3708" s="195">
        <f t="shared" si="115"/>
        <v>5</v>
      </c>
      <c r="D3708" s="195">
        <v>54.1</v>
      </c>
      <c r="E3708" s="705">
        <f t="shared" si="116"/>
        <v>12.277777777777779</v>
      </c>
    </row>
    <row r="3709" spans="2:5">
      <c r="B3709" s="943">
        <v>45077</v>
      </c>
      <c r="C3709" s="195">
        <f t="shared" si="115"/>
        <v>5</v>
      </c>
      <c r="D3709" s="195">
        <v>54.1</v>
      </c>
      <c r="E3709" s="705">
        <f t="shared" si="116"/>
        <v>12.277777777777779</v>
      </c>
    </row>
    <row r="3710" spans="2:5">
      <c r="B3710" s="943">
        <v>45077</v>
      </c>
      <c r="C3710" s="195">
        <f t="shared" si="115"/>
        <v>5</v>
      </c>
      <c r="D3710" s="195">
        <v>55.4</v>
      </c>
      <c r="E3710" s="705">
        <f t="shared" si="116"/>
        <v>12.999999999999998</v>
      </c>
    </row>
    <row r="3711" spans="2:5">
      <c r="B3711" s="943">
        <v>45077</v>
      </c>
      <c r="C3711" s="195">
        <f t="shared" si="115"/>
        <v>5</v>
      </c>
      <c r="D3711" s="195">
        <v>56.8</v>
      </c>
      <c r="E3711" s="705">
        <f t="shared" si="116"/>
        <v>13.777777777777775</v>
      </c>
    </row>
    <row r="3712" spans="2:5">
      <c r="B3712" s="943">
        <v>45077</v>
      </c>
      <c r="C3712" s="195">
        <f t="shared" si="115"/>
        <v>5</v>
      </c>
      <c r="D3712" s="195">
        <v>58.5</v>
      </c>
      <c r="E3712" s="705">
        <f t="shared" si="116"/>
        <v>14.722222222222221</v>
      </c>
    </row>
    <row r="3713" spans="2:5">
      <c r="B3713" s="943">
        <v>45077</v>
      </c>
      <c r="C3713" s="195">
        <f t="shared" si="115"/>
        <v>5</v>
      </c>
      <c r="D3713" s="195">
        <v>59.4</v>
      </c>
      <c r="E3713" s="705">
        <f t="shared" si="116"/>
        <v>15.222222222222221</v>
      </c>
    </row>
    <row r="3714" spans="2:5">
      <c r="B3714" s="943">
        <v>45077</v>
      </c>
      <c r="C3714" s="195">
        <f t="shared" si="115"/>
        <v>5</v>
      </c>
      <c r="D3714" s="195">
        <v>59.9</v>
      </c>
      <c r="E3714" s="705">
        <f t="shared" si="116"/>
        <v>15.499999999999998</v>
      </c>
    </row>
    <row r="3715" spans="2:5">
      <c r="B3715" s="943">
        <v>45077</v>
      </c>
      <c r="C3715" s="195">
        <f t="shared" si="115"/>
        <v>5</v>
      </c>
      <c r="D3715" s="195">
        <v>58.8</v>
      </c>
      <c r="E3715" s="705">
        <f t="shared" si="116"/>
        <v>14.888888888888888</v>
      </c>
    </row>
    <row r="3716" spans="2:5">
      <c r="B3716" s="943">
        <v>45077</v>
      </c>
      <c r="C3716" s="195">
        <f t="shared" si="115"/>
        <v>5</v>
      </c>
      <c r="D3716" s="195">
        <v>57.6</v>
      </c>
      <c r="E3716" s="705">
        <f t="shared" si="116"/>
        <v>14.222222222222223</v>
      </c>
    </row>
    <row r="3717" spans="2:5">
      <c r="B3717" s="943">
        <v>45077</v>
      </c>
      <c r="C3717" s="195">
        <f t="shared" si="115"/>
        <v>5</v>
      </c>
      <c r="D3717" s="195">
        <v>55.2</v>
      </c>
      <c r="E3717" s="705">
        <f t="shared" si="116"/>
        <v>12.888888888888889</v>
      </c>
    </row>
    <row r="3718" spans="2:5">
      <c r="B3718" s="943">
        <v>45077</v>
      </c>
      <c r="C3718" s="195">
        <f t="shared" si="115"/>
        <v>5</v>
      </c>
      <c r="D3718" s="195">
        <v>53.4</v>
      </c>
      <c r="E3718" s="705">
        <f t="shared" si="116"/>
        <v>11.888888888888888</v>
      </c>
    </row>
    <row r="3719" spans="2:5">
      <c r="B3719" s="943">
        <v>45077</v>
      </c>
      <c r="C3719" s="195">
        <f t="shared" si="115"/>
        <v>5</v>
      </c>
      <c r="D3719" s="195">
        <v>52.2</v>
      </c>
      <c r="E3719" s="705">
        <f t="shared" si="116"/>
        <v>11.222222222222223</v>
      </c>
    </row>
    <row r="3720" spans="2:5">
      <c r="B3720" s="943">
        <v>45077</v>
      </c>
      <c r="C3720" s="195">
        <f t="shared" si="115"/>
        <v>5</v>
      </c>
      <c r="D3720" s="195">
        <v>51.1</v>
      </c>
      <c r="E3720" s="705">
        <f t="shared" si="116"/>
        <v>10.611111111111112</v>
      </c>
    </row>
    <row r="3721" spans="2:5">
      <c r="B3721" s="943">
        <v>45077</v>
      </c>
      <c r="C3721" s="195">
        <f t="shared" si="115"/>
        <v>5</v>
      </c>
      <c r="D3721" s="195">
        <v>52.3</v>
      </c>
      <c r="E3721" s="705">
        <f t="shared" si="116"/>
        <v>11.277777777777777</v>
      </c>
    </row>
    <row r="3722" spans="2:5">
      <c r="B3722" s="943">
        <v>45077</v>
      </c>
      <c r="C3722" s="195">
        <f t="shared" ref="C3722:C3785" si="117">MONTH(B3722)</f>
        <v>5</v>
      </c>
      <c r="D3722" s="195">
        <v>53.6</v>
      </c>
      <c r="E3722" s="705">
        <f t="shared" ref="E3722:E3785" si="118">CONVERT(D3722,"F","C")</f>
        <v>12</v>
      </c>
    </row>
    <row r="3723" spans="2:5">
      <c r="B3723" s="943">
        <v>45077</v>
      </c>
      <c r="C3723" s="195">
        <f t="shared" si="117"/>
        <v>5</v>
      </c>
      <c r="D3723" s="195">
        <v>55.6</v>
      </c>
      <c r="E3723" s="705">
        <f t="shared" si="118"/>
        <v>13.111111111111111</v>
      </c>
    </row>
    <row r="3724" spans="2:5">
      <c r="B3724" s="943">
        <v>45077</v>
      </c>
      <c r="C3724" s="195">
        <f t="shared" si="117"/>
        <v>5</v>
      </c>
      <c r="D3724" s="195">
        <v>58.5</v>
      </c>
      <c r="E3724" s="705">
        <f t="shared" si="118"/>
        <v>14.722222222222221</v>
      </c>
    </row>
    <row r="3725" spans="2:5">
      <c r="B3725" s="943">
        <v>45077</v>
      </c>
      <c r="C3725" s="195">
        <f t="shared" si="117"/>
        <v>5</v>
      </c>
      <c r="D3725" s="195">
        <v>60.1</v>
      </c>
      <c r="E3725" s="705">
        <f t="shared" si="118"/>
        <v>15.611111111111111</v>
      </c>
    </row>
    <row r="3726" spans="2:5">
      <c r="B3726" s="943">
        <v>45077</v>
      </c>
      <c r="C3726" s="195">
        <f t="shared" si="117"/>
        <v>5</v>
      </c>
      <c r="D3726" s="195">
        <v>60.6</v>
      </c>
      <c r="E3726" s="705">
        <f t="shared" si="118"/>
        <v>15.888888888888889</v>
      </c>
    </row>
    <row r="3727" spans="2:5">
      <c r="B3727" s="943">
        <v>45077</v>
      </c>
      <c r="C3727" s="195">
        <f t="shared" si="117"/>
        <v>5</v>
      </c>
      <c r="D3727" s="195">
        <v>59.4</v>
      </c>
      <c r="E3727" s="705">
        <f t="shared" si="118"/>
        <v>15.222222222222221</v>
      </c>
    </row>
    <row r="3728" spans="2:5">
      <c r="B3728" s="943">
        <v>45077</v>
      </c>
      <c r="C3728" s="195">
        <f t="shared" si="117"/>
        <v>5</v>
      </c>
      <c r="D3728" s="195">
        <v>57.4</v>
      </c>
      <c r="E3728" s="705">
        <f t="shared" si="118"/>
        <v>14.111111111111111</v>
      </c>
    </row>
    <row r="3729" spans="2:5">
      <c r="B3729" s="943">
        <v>45078</v>
      </c>
      <c r="C3729" s="195">
        <f t="shared" si="117"/>
        <v>6</v>
      </c>
      <c r="D3729" s="195">
        <v>54.1</v>
      </c>
      <c r="E3729" s="705">
        <f t="shared" si="118"/>
        <v>12.277777777777779</v>
      </c>
    </row>
    <row r="3730" spans="2:5">
      <c r="B3730" s="943">
        <v>45078</v>
      </c>
      <c r="C3730" s="195">
        <f t="shared" si="117"/>
        <v>6</v>
      </c>
      <c r="D3730" s="195">
        <v>52.5</v>
      </c>
      <c r="E3730" s="705">
        <f t="shared" si="118"/>
        <v>11.388888888888889</v>
      </c>
    </row>
    <row r="3731" spans="2:5">
      <c r="B3731" s="943">
        <v>45078</v>
      </c>
      <c r="C3731" s="195">
        <f t="shared" si="117"/>
        <v>6</v>
      </c>
      <c r="D3731" s="195">
        <v>51.3</v>
      </c>
      <c r="E3731" s="705">
        <f t="shared" si="118"/>
        <v>10.72222222222222</v>
      </c>
    </row>
    <row r="3732" spans="2:5">
      <c r="B3732" s="943">
        <v>45078</v>
      </c>
      <c r="C3732" s="195">
        <f t="shared" si="117"/>
        <v>6</v>
      </c>
      <c r="D3732" s="195" t="s">
        <v>1436</v>
      </c>
      <c r="E3732" s="705">
        <f t="shared" si="118"/>
        <v>10</v>
      </c>
    </row>
    <row r="3733" spans="2:5">
      <c r="B3733" s="943">
        <v>45078</v>
      </c>
      <c r="C3733" s="195">
        <f t="shared" si="117"/>
        <v>6</v>
      </c>
      <c r="D3733" s="195">
        <v>51.3</v>
      </c>
      <c r="E3733" s="705">
        <f t="shared" si="118"/>
        <v>10.72222222222222</v>
      </c>
    </row>
    <row r="3734" spans="2:5">
      <c r="B3734" s="943">
        <v>45078</v>
      </c>
      <c r="C3734" s="195">
        <f t="shared" si="117"/>
        <v>6</v>
      </c>
      <c r="D3734" s="195">
        <v>51.1</v>
      </c>
      <c r="E3734" s="705">
        <f t="shared" si="118"/>
        <v>10.611111111111112</v>
      </c>
    </row>
    <row r="3735" spans="2:5">
      <c r="B3735" s="943">
        <v>45078</v>
      </c>
      <c r="C3735" s="195">
        <f t="shared" si="117"/>
        <v>6</v>
      </c>
      <c r="D3735" s="195">
        <v>52.9</v>
      </c>
      <c r="E3735" s="705">
        <f t="shared" si="118"/>
        <v>11.611111111111111</v>
      </c>
    </row>
    <row r="3736" spans="2:5">
      <c r="B3736" s="943">
        <v>45078</v>
      </c>
      <c r="C3736" s="195">
        <f t="shared" si="117"/>
        <v>6</v>
      </c>
      <c r="D3736" s="195">
        <v>55.9</v>
      </c>
      <c r="E3736" s="705">
        <f t="shared" si="118"/>
        <v>13.277777777777777</v>
      </c>
    </row>
    <row r="3737" spans="2:5">
      <c r="B3737" s="943">
        <v>45078</v>
      </c>
      <c r="C3737" s="195">
        <f t="shared" si="117"/>
        <v>6</v>
      </c>
      <c r="D3737" s="195">
        <v>58.3</v>
      </c>
      <c r="E3737" s="705">
        <f t="shared" si="118"/>
        <v>14.611111111111109</v>
      </c>
    </row>
    <row r="3738" spans="2:5">
      <c r="B3738" s="943">
        <v>45078</v>
      </c>
      <c r="C3738" s="195">
        <f t="shared" si="117"/>
        <v>6</v>
      </c>
      <c r="D3738" s="195">
        <v>59.5</v>
      </c>
      <c r="E3738" s="705">
        <f t="shared" si="118"/>
        <v>15.277777777777777</v>
      </c>
    </row>
    <row r="3739" spans="2:5">
      <c r="B3739" s="943">
        <v>45078</v>
      </c>
      <c r="C3739" s="195">
        <f t="shared" si="117"/>
        <v>6</v>
      </c>
      <c r="D3739" s="195">
        <v>59.9</v>
      </c>
      <c r="E3739" s="705">
        <f t="shared" si="118"/>
        <v>15.499999999999998</v>
      </c>
    </row>
    <row r="3740" spans="2:5">
      <c r="B3740" s="943">
        <v>45078</v>
      </c>
      <c r="C3740" s="195">
        <f t="shared" si="117"/>
        <v>6</v>
      </c>
      <c r="D3740" s="195" t="s">
        <v>1441</v>
      </c>
      <c r="E3740" s="705">
        <f t="shared" si="118"/>
        <v>15</v>
      </c>
    </row>
    <row r="3741" spans="2:5">
      <c r="B3741" s="943">
        <v>45078</v>
      </c>
      <c r="C3741" s="195">
        <f t="shared" si="117"/>
        <v>6</v>
      </c>
      <c r="D3741" s="195">
        <v>55.8</v>
      </c>
      <c r="E3741" s="705">
        <f t="shared" si="118"/>
        <v>13.22222222222222</v>
      </c>
    </row>
    <row r="3742" spans="2:5">
      <c r="B3742" s="943">
        <v>45078</v>
      </c>
      <c r="C3742" s="195">
        <f t="shared" si="117"/>
        <v>6</v>
      </c>
      <c r="D3742" s="195">
        <v>53.1</v>
      </c>
      <c r="E3742" s="705">
        <f t="shared" si="118"/>
        <v>11.722222222222223</v>
      </c>
    </row>
    <row r="3743" spans="2:5">
      <c r="B3743" s="943">
        <v>45078</v>
      </c>
      <c r="C3743" s="195">
        <f t="shared" si="117"/>
        <v>6</v>
      </c>
      <c r="D3743" s="195">
        <v>51.6</v>
      </c>
      <c r="E3743" s="705">
        <f t="shared" si="118"/>
        <v>10.888888888888889</v>
      </c>
    </row>
    <row r="3744" spans="2:5">
      <c r="B3744" s="943">
        <v>45078</v>
      </c>
      <c r="C3744" s="195">
        <f t="shared" si="117"/>
        <v>6</v>
      </c>
      <c r="D3744" s="195">
        <v>50.2</v>
      </c>
      <c r="E3744" s="705">
        <f t="shared" si="118"/>
        <v>10.111111111111112</v>
      </c>
    </row>
    <row r="3745" spans="2:5">
      <c r="B3745" s="943">
        <v>45078</v>
      </c>
      <c r="C3745" s="195">
        <f t="shared" si="117"/>
        <v>6</v>
      </c>
      <c r="D3745" s="195">
        <v>49.3</v>
      </c>
      <c r="E3745" s="705">
        <f t="shared" si="118"/>
        <v>9.6111111111111089</v>
      </c>
    </row>
    <row r="3746" spans="2:5">
      <c r="B3746" s="943">
        <v>45078</v>
      </c>
      <c r="C3746" s="195">
        <f t="shared" si="117"/>
        <v>6</v>
      </c>
      <c r="D3746" s="195">
        <v>50.4</v>
      </c>
      <c r="E3746" s="705">
        <f t="shared" si="118"/>
        <v>10.222222222222221</v>
      </c>
    </row>
    <row r="3747" spans="2:5">
      <c r="B3747" s="943">
        <v>45078</v>
      </c>
      <c r="C3747" s="195">
        <f t="shared" si="117"/>
        <v>6</v>
      </c>
      <c r="D3747" s="195">
        <v>52.2</v>
      </c>
      <c r="E3747" s="705">
        <f t="shared" si="118"/>
        <v>11.222222222222223</v>
      </c>
    </row>
    <row r="3748" spans="2:5">
      <c r="B3748" s="943">
        <v>45078</v>
      </c>
      <c r="C3748" s="195">
        <f t="shared" si="117"/>
        <v>6</v>
      </c>
      <c r="D3748" s="195">
        <v>54.5</v>
      </c>
      <c r="E3748" s="705">
        <f t="shared" si="118"/>
        <v>12.5</v>
      </c>
    </row>
    <row r="3749" spans="2:5">
      <c r="B3749" s="943">
        <v>45078</v>
      </c>
      <c r="C3749" s="195">
        <f t="shared" si="117"/>
        <v>6</v>
      </c>
      <c r="D3749" s="195">
        <v>58.1</v>
      </c>
      <c r="E3749" s="705">
        <f t="shared" si="118"/>
        <v>14.5</v>
      </c>
    </row>
    <row r="3750" spans="2:5">
      <c r="B3750" s="943">
        <v>45078</v>
      </c>
      <c r="C3750" s="195">
        <f t="shared" si="117"/>
        <v>6</v>
      </c>
      <c r="D3750" s="195">
        <v>59.7</v>
      </c>
      <c r="E3750" s="705">
        <f t="shared" si="118"/>
        <v>15.388888888888889</v>
      </c>
    </row>
    <row r="3751" spans="2:5">
      <c r="B3751" s="943">
        <v>45078</v>
      </c>
      <c r="C3751" s="195">
        <f t="shared" si="117"/>
        <v>6</v>
      </c>
      <c r="D3751" s="195">
        <v>60.3</v>
      </c>
      <c r="E3751" s="705">
        <f t="shared" si="118"/>
        <v>15.72222222222222</v>
      </c>
    </row>
    <row r="3752" spans="2:5">
      <c r="B3752" s="943">
        <v>45078</v>
      </c>
      <c r="C3752" s="195">
        <f t="shared" si="117"/>
        <v>6</v>
      </c>
      <c r="D3752" s="195">
        <v>58.8</v>
      </c>
      <c r="E3752" s="705">
        <f t="shared" si="118"/>
        <v>14.888888888888888</v>
      </c>
    </row>
    <row r="3753" spans="2:5">
      <c r="B3753" s="943">
        <v>45079</v>
      </c>
      <c r="C3753" s="195">
        <f t="shared" si="117"/>
        <v>6</v>
      </c>
      <c r="D3753" s="195" t="s">
        <v>1439</v>
      </c>
      <c r="E3753" s="705">
        <f t="shared" si="118"/>
        <v>12.777777777777777</v>
      </c>
    </row>
    <row r="3754" spans="2:5">
      <c r="B3754" s="943">
        <v>45079</v>
      </c>
      <c r="C3754" s="195">
        <f t="shared" si="117"/>
        <v>6</v>
      </c>
      <c r="D3754" s="195">
        <v>53.1</v>
      </c>
      <c r="E3754" s="705">
        <f t="shared" si="118"/>
        <v>11.722222222222223</v>
      </c>
    </row>
    <row r="3755" spans="2:5">
      <c r="B3755" s="943">
        <v>45079</v>
      </c>
      <c r="C3755" s="195">
        <f t="shared" si="117"/>
        <v>6</v>
      </c>
      <c r="D3755" s="195">
        <v>50.4</v>
      </c>
      <c r="E3755" s="705">
        <f t="shared" si="118"/>
        <v>10.222222222222221</v>
      </c>
    </row>
    <row r="3756" spans="2:5">
      <c r="B3756" s="943">
        <v>45079</v>
      </c>
      <c r="C3756" s="195">
        <f t="shared" si="117"/>
        <v>6</v>
      </c>
      <c r="D3756" s="195">
        <v>49.5</v>
      </c>
      <c r="E3756" s="705">
        <f t="shared" si="118"/>
        <v>9.7222222222222214</v>
      </c>
    </row>
    <row r="3757" spans="2:5">
      <c r="B3757" s="943">
        <v>45079</v>
      </c>
      <c r="C3757" s="195">
        <f t="shared" si="117"/>
        <v>6</v>
      </c>
      <c r="D3757" s="195">
        <v>49.5</v>
      </c>
      <c r="E3757" s="705">
        <f t="shared" si="118"/>
        <v>9.7222222222222214</v>
      </c>
    </row>
    <row r="3758" spans="2:5">
      <c r="B3758" s="943">
        <v>45079</v>
      </c>
      <c r="C3758" s="195">
        <f t="shared" si="117"/>
        <v>6</v>
      </c>
      <c r="D3758" s="195">
        <v>49.8</v>
      </c>
      <c r="E3758" s="705">
        <f t="shared" si="118"/>
        <v>9.8888888888888875</v>
      </c>
    </row>
    <row r="3759" spans="2:5">
      <c r="B3759" s="943">
        <v>45079</v>
      </c>
      <c r="C3759" s="195">
        <f t="shared" si="117"/>
        <v>6</v>
      </c>
      <c r="D3759" s="195">
        <v>51.1</v>
      </c>
      <c r="E3759" s="705">
        <f t="shared" si="118"/>
        <v>10.611111111111112</v>
      </c>
    </row>
    <row r="3760" spans="2:5">
      <c r="B3760" s="943">
        <v>45079</v>
      </c>
      <c r="C3760" s="195">
        <f t="shared" si="117"/>
        <v>6</v>
      </c>
      <c r="D3760" s="195">
        <v>53.2</v>
      </c>
      <c r="E3760" s="705">
        <f t="shared" si="118"/>
        <v>11.777777777777779</v>
      </c>
    </row>
    <row r="3761" spans="2:5">
      <c r="B3761" s="943">
        <v>45079</v>
      </c>
      <c r="C3761" s="195">
        <f t="shared" si="117"/>
        <v>6</v>
      </c>
      <c r="D3761" s="195">
        <v>56.3</v>
      </c>
      <c r="E3761" s="705">
        <f t="shared" si="118"/>
        <v>13.499999999999998</v>
      </c>
    </row>
    <row r="3762" spans="2:5">
      <c r="B3762" s="943">
        <v>45079</v>
      </c>
      <c r="C3762" s="195">
        <f t="shared" si="117"/>
        <v>6</v>
      </c>
      <c r="D3762" s="195">
        <v>58.3</v>
      </c>
      <c r="E3762" s="705">
        <f t="shared" si="118"/>
        <v>14.611111111111109</v>
      </c>
    </row>
    <row r="3763" spans="2:5">
      <c r="B3763" s="943">
        <v>45079</v>
      </c>
      <c r="C3763" s="195">
        <f t="shared" si="117"/>
        <v>6</v>
      </c>
      <c r="D3763" s="195">
        <v>59.7</v>
      </c>
      <c r="E3763" s="705">
        <f t="shared" si="118"/>
        <v>15.388888888888889</v>
      </c>
    </row>
    <row r="3764" spans="2:5">
      <c r="B3764" s="943">
        <v>45079</v>
      </c>
      <c r="C3764" s="195">
        <f t="shared" si="117"/>
        <v>6</v>
      </c>
      <c r="D3764" s="195">
        <v>60.3</v>
      </c>
      <c r="E3764" s="705">
        <f t="shared" si="118"/>
        <v>15.72222222222222</v>
      </c>
    </row>
    <row r="3765" spans="2:5">
      <c r="B3765" s="943">
        <v>45079</v>
      </c>
      <c r="C3765" s="195">
        <f t="shared" si="117"/>
        <v>6</v>
      </c>
      <c r="D3765" s="195" t="s">
        <v>1441</v>
      </c>
      <c r="E3765" s="705">
        <f t="shared" si="118"/>
        <v>15</v>
      </c>
    </row>
    <row r="3766" spans="2:5">
      <c r="B3766" s="943">
        <v>45079</v>
      </c>
      <c r="C3766" s="195">
        <f t="shared" si="117"/>
        <v>6</v>
      </c>
      <c r="D3766" s="195">
        <v>55.8</v>
      </c>
      <c r="E3766" s="705">
        <f t="shared" si="118"/>
        <v>13.22222222222222</v>
      </c>
    </row>
    <row r="3767" spans="2:5">
      <c r="B3767" s="943">
        <v>45079</v>
      </c>
      <c r="C3767" s="195">
        <f t="shared" si="117"/>
        <v>6</v>
      </c>
      <c r="D3767" s="195">
        <v>53.6</v>
      </c>
      <c r="E3767" s="705">
        <f t="shared" si="118"/>
        <v>12</v>
      </c>
    </row>
    <row r="3768" spans="2:5">
      <c r="B3768" s="943">
        <v>45079</v>
      </c>
      <c r="C3768" s="195">
        <f t="shared" si="117"/>
        <v>6</v>
      </c>
      <c r="D3768" s="195">
        <v>51.1</v>
      </c>
      <c r="E3768" s="705">
        <f t="shared" si="118"/>
        <v>10.611111111111112</v>
      </c>
    </row>
    <row r="3769" spans="2:5">
      <c r="B3769" s="943">
        <v>45079</v>
      </c>
      <c r="C3769" s="195">
        <f t="shared" si="117"/>
        <v>6</v>
      </c>
      <c r="D3769" s="195">
        <v>50.5</v>
      </c>
      <c r="E3769" s="705">
        <f t="shared" si="118"/>
        <v>10.277777777777777</v>
      </c>
    </row>
    <row r="3770" spans="2:5">
      <c r="B3770" s="943">
        <v>45079</v>
      </c>
      <c r="C3770" s="195">
        <f t="shared" si="117"/>
        <v>6</v>
      </c>
      <c r="D3770" s="195">
        <v>49.8</v>
      </c>
      <c r="E3770" s="705">
        <f t="shared" si="118"/>
        <v>9.8888888888888875</v>
      </c>
    </row>
    <row r="3771" spans="2:5">
      <c r="B3771" s="943">
        <v>45079</v>
      </c>
      <c r="C3771" s="195">
        <f t="shared" si="117"/>
        <v>6</v>
      </c>
      <c r="D3771" s="195">
        <v>50.7</v>
      </c>
      <c r="E3771" s="705">
        <f t="shared" si="118"/>
        <v>10.388888888888891</v>
      </c>
    </row>
    <row r="3772" spans="2:5">
      <c r="B3772" s="943">
        <v>45079</v>
      </c>
      <c r="C3772" s="195">
        <f t="shared" si="117"/>
        <v>6</v>
      </c>
      <c r="D3772" s="195">
        <v>52.9</v>
      </c>
      <c r="E3772" s="705">
        <f t="shared" si="118"/>
        <v>11.611111111111111</v>
      </c>
    </row>
    <row r="3773" spans="2:5">
      <c r="B3773" s="943">
        <v>45079</v>
      </c>
      <c r="C3773" s="195">
        <f t="shared" si="117"/>
        <v>6</v>
      </c>
      <c r="D3773" s="195">
        <v>55.8</v>
      </c>
      <c r="E3773" s="705">
        <f t="shared" si="118"/>
        <v>13.22222222222222</v>
      </c>
    </row>
    <row r="3774" spans="2:5">
      <c r="B3774" s="943">
        <v>45079</v>
      </c>
      <c r="C3774" s="195">
        <f t="shared" si="117"/>
        <v>6</v>
      </c>
      <c r="D3774" s="195">
        <v>58.6</v>
      </c>
      <c r="E3774" s="705">
        <f t="shared" si="118"/>
        <v>14.777777777777779</v>
      </c>
    </row>
    <row r="3775" spans="2:5">
      <c r="B3775" s="943">
        <v>45079</v>
      </c>
      <c r="C3775" s="195">
        <f t="shared" si="117"/>
        <v>6</v>
      </c>
      <c r="D3775" s="195">
        <v>59.9</v>
      </c>
      <c r="E3775" s="705">
        <f t="shared" si="118"/>
        <v>15.499999999999998</v>
      </c>
    </row>
    <row r="3776" spans="2:5">
      <c r="B3776" s="943">
        <v>45079</v>
      </c>
      <c r="C3776" s="195">
        <f t="shared" si="117"/>
        <v>6</v>
      </c>
      <c r="D3776" s="195">
        <v>60.3</v>
      </c>
      <c r="E3776" s="705">
        <f t="shared" si="118"/>
        <v>15.72222222222222</v>
      </c>
    </row>
    <row r="3777" spans="2:5">
      <c r="B3777" s="943">
        <v>45080</v>
      </c>
      <c r="C3777" s="195">
        <f t="shared" si="117"/>
        <v>6</v>
      </c>
      <c r="D3777" s="195">
        <v>55.9</v>
      </c>
      <c r="E3777" s="705">
        <f t="shared" si="118"/>
        <v>13.277777777777777</v>
      </c>
    </row>
    <row r="3778" spans="2:5">
      <c r="B3778" s="943">
        <v>45080</v>
      </c>
      <c r="C3778" s="195">
        <f t="shared" si="117"/>
        <v>6</v>
      </c>
      <c r="D3778" s="195">
        <v>54.5</v>
      </c>
      <c r="E3778" s="705">
        <f t="shared" si="118"/>
        <v>12.5</v>
      </c>
    </row>
    <row r="3779" spans="2:5">
      <c r="B3779" s="943">
        <v>45080</v>
      </c>
      <c r="C3779" s="195">
        <f t="shared" si="117"/>
        <v>6</v>
      </c>
      <c r="D3779" s="195">
        <v>51.6</v>
      </c>
      <c r="E3779" s="705">
        <f t="shared" si="118"/>
        <v>10.888888888888889</v>
      </c>
    </row>
    <row r="3780" spans="2:5">
      <c r="B3780" s="943">
        <v>45080</v>
      </c>
      <c r="C3780" s="195">
        <f t="shared" si="117"/>
        <v>6</v>
      </c>
      <c r="D3780" s="195">
        <v>50.9</v>
      </c>
      <c r="E3780" s="705">
        <f t="shared" si="118"/>
        <v>10.499999999999998</v>
      </c>
    </row>
    <row r="3781" spans="2:5">
      <c r="B3781" s="943">
        <v>45080</v>
      </c>
      <c r="C3781" s="195">
        <f t="shared" si="117"/>
        <v>6</v>
      </c>
      <c r="D3781" s="195" t="s">
        <v>1436</v>
      </c>
      <c r="E3781" s="705">
        <f t="shared" si="118"/>
        <v>10</v>
      </c>
    </row>
    <row r="3782" spans="2:5">
      <c r="B3782" s="943">
        <v>45080</v>
      </c>
      <c r="C3782" s="195">
        <f t="shared" si="117"/>
        <v>6</v>
      </c>
      <c r="D3782" s="195">
        <v>49.8</v>
      </c>
      <c r="E3782" s="705">
        <f t="shared" si="118"/>
        <v>9.8888888888888875</v>
      </c>
    </row>
    <row r="3783" spans="2:5">
      <c r="B3783" s="943">
        <v>45080</v>
      </c>
      <c r="C3783" s="195">
        <f t="shared" si="117"/>
        <v>6</v>
      </c>
      <c r="D3783" s="195">
        <v>50.2</v>
      </c>
      <c r="E3783" s="705">
        <f t="shared" si="118"/>
        <v>10.111111111111112</v>
      </c>
    </row>
    <row r="3784" spans="2:5">
      <c r="B3784" s="943">
        <v>45080</v>
      </c>
      <c r="C3784" s="195">
        <f t="shared" si="117"/>
        <v>6</v>
      </c>
      <c r="D3784" s="195">
        <v>51.8</v>
      </c>
      <c r="E3784" s="705">
        <f t="shared" si="118"/>
        <v>10.999999999999998</v>
      </c>
    </row>
    <row r="3785" spans="2:5">
      <c r="B3785" s="943">
        <v>45080</v>
      </c>
      <c r="C3785" s="195">
        <f t="shared" si="117"/>
        <v>6</v>
      </c>
      <c r="D3785" s="195">
        <v>54.3</v>
      </c>
      <c r="E3785" s="705">
        <f t="shared" si="118"/>
        <v>12.388888888888888</v>
      </c>
    </row>
    <row r="3786" spans="2:5">
      <c r="B3786" s="943">
        <v>45080</v>
      </c>
      <c r="C3786" s="195">
        <f t="shared" ref="C3786:C3849" si="119">MONTH(B3786)</f>
        <v>6</v>
      </c>
      <c r="D3786" s="195">
        <v>56.7</v>
      </c>
      <c r="E3786" s="705">
        <f t="shared" ref="E3786:E3849" si="120">CONVERT(D3786,"F","C")</f>
        <v>13.722222222222223</v>
      </c>
    </row>
    <row r="3787" spans="2:5">
      <c r="B3787" s="943">
        <v>45080</v>
      </c>
      <c r="C3787" s="195">
        <f t="shared" si="119"/>
        <v>6</v>
      </c>
      <c r="D3787" s="195">
        <v>58.5</v>
      </c>
      <c r="E3787" s="705">
        <f t="shared" si="120"/>
        <v>14.722222222222221</v>
      </c>
    </row>
    <row r="3788" spans="2:5">
      <c r="B3788" s="943">
        <v>45080</v>
      </c>
      <c r="C3788" s="195">
        <f t="shared" si="119"/>
        <v>6</v>
      </c>
      <c r="D3788" s="195">
        <v>59.9</v>
      </c>
      <c r="E3788" s="705">
        <f t="shared" si="120"/>
        <v>15.499999999999998</v>
      </c>
    </row>
    <row r="3789" spans="2:5">
      <c r="B3789" s="943">
        <v>45080</v>
      </c>
      <c r="C3789" s="195">
        <f t="shared" si="119"/>
        <v>6</v>
      </c>
      <c r="D3789" s="195">
        <v>60.1</v>
      </c>
      <c r="E3789" s="705">
        <f t="shared" si="120"/>
        <v>15.611111111111111</v>
      </c>
    </row>
    <row r="3790" spans="2:5">
      <c r="B3790" s="943">
        <v>45080</v>
      </c>
      <c r="C3790" s="195">
        <f t="shared" si="119"/>
        <v>6</v>
      </c>
      <c r="D3790" s="195">
        <v>56.7</v>
      </c>
      <c r="E3790" s="705">
        <f t="shared" si="120"/>
        <v>13.722222222222223</v>
      </c>
    </row>
    <row r="3791" spans="2:5">
      <c r="B3791" s="943">
        <v>45080</v>
      </c>
      <c r="C3791" s="195">
        <f t="shared" si="119"/>
        <v>6</v>
      </c>
      <c r="D3791" s="195">
        <v>55.2</v>
      </c>
      <c r="E3791" s="705">
        <f t="shared" si="120"/>
        <v>12.888888888888889</v>
      </c>
    </row>
    <row r="3792" spans="2:5">
      <c r="B3792" s="943">
        <v>45080</v>
      </c>
      <c r="C3792" s="195">
        <f t="shared" si="119"/>
        <v>6</v>
      </c>
      <c r="D3792" s="195">
        <v>54.3</v>
      </c>
      <c r="E3792" s="705">
        <f t="shared" si="120"/>
        <v>12.388888888888888</v>
      </c>
    </row>
    <row r="3793" spans="2:5">
      <c r="B3793" s="943">
        <v>45080</v>
      </c>
      <c r="C3793" s="195">
        <f t="shared" si="119"/>
        <v>6</v>
      </c>
      <c r="D3793" s="195">
        <v>54.7</v>
      </c>
      <c r="E3793" s="705">
        <f t="shared" si="120"/>
        <v>12.611111111111112</v>
      </c>
    </row>
    <row r="3794" spans="2:5">
      <c r="B3794" s="943">
        <v>45080</v>
      </c>
      <c r="C3794" s="195">
        <f t="shared" si="119"/>
        <v>6</v>
      </c>
      <c r="D3794" s="195">
        <v>54.9</v>
      </c>
      <c r="E3794" s="705">
        <f t="shared" si="120"/>
        <v>12.722222222222221</v>
      </c>
    </row>
    <row r="3795" spans="2:5">
      <c r="B3795" s="943">
        <v>45080</v>
      </c>
      <c r="C3795" s="195">
        <f t="shared" si="119"/>
        <v>6</v>
      </c>
      <c r="D3795" s="195">
        <v>54.9</v>
      </c>
      <c r="E3795" s="705">
        <f t="shared" si="120"/>
        <v>12.722222222222221</v>
      </c>
    </row>
    <row r="3796" spans="2:5">
      <c r="B3796" s="943">
        <v>45080</v>
      </c>
      <c r="C3796" s="195">
        <f t="shared" si="119"/>
        <v>6</v>
      </c>
      <c r="D3796" s="195">
        <v>54.9</v>
      </c>
      <c r="E3796" s="705">
        <f t="shared" si="120"/>
        <v>12.722222222222221</v>
      </c>
    </row>
    <row r="3797" spans="2:5">
      <c r="B3797" s="943">
        <v>45080</v>
      </c>
      <c r="C3797" s="195">
        <f t="shared" si="119"/>
        <v>6</v>
      </c>
      <c r="D3797" s="195">
        <v>55.2</v>
      </c>
      <c r="E3797" s="705">
        <f t="shared" si="120"/>
        <v>12.888888888888889</v>
      </c>
    </row>
    <row r="3798" spans="2:5">
      <c r="B3798" s="943">
        <v>45080</v>
      </c>
      <c r="C3798" s="195">
        <f t="shared" si="119"/>
        <v>6</v>
      </c>
      <c r="D3798" s="195">
        <v>56.5</v>
      </c>
      <c r="E3798" s="705">
        <f t="shared" si="120"/>
        <v>13.611111111111111</v>
      </c>
    </row>
    <row r="3799" spans="2:5">
      <c r="B3799" s="943">
        <v>45080</v>
      </c>
      <c r="C3799" s="195">
        <f t="shared" si="119"/>
        <v>6</v>
      </c>
      <c r="D3799" s="195">
        <v>57.7</v>
      </c>
      <c r="E3799" s="705">
        <f t="shared" si="120"/>
        <v>14.277777777777779</v>
      </c>
    </row>
    <row r="3800" spans="2:5">
      <c r="B3800" s="943">
        <v>45080</v>
      </c>
      <c r="C3800" s="195">
        <f t="shared" si="119"/>
        <v>6</v>
      </c>
      <c r="D3800" s="195">
        <v>58.6</v>
      </c>
      <c r="E3800" s="705">
        <f t="shared" si="120"/>
        <v>14.777777777777779</v>
      </c>
    </row>
    <row r="3801" spans="2:5">
      <c r="B3801" s="943">
        <v>45081</v>
      </c>
      <c r="C3801" s="195">
        <f t="shared" si="119"/>
        <v>6</v>
      </c>
      <c r="D3801" s="195">
        <v>58.6</v>
      </c>
      <c r="E3801" s="705">
        <f t="shared" si="120"/>
        <v>14.777777777777779</v>
      </c>
    </row>
    <row r="3802" spans="2:5">
      <c r="B3802" s="943">
        <v>45081</v>
      </c>
      <c r="C3802" s="195">
        <f t="shared" si="119"/>
        <v>6</v>
      </c>
      <c r="D3802" s="195">
        <v>56.5</v>
      </c>
      <c r="E3802" s="705">
        <f t="shared" si="120"/>
        <v>13.611111111111111</v>
      </c>
    </row>
    <row r="3803" spans="2:5">
      <c r="B3803" s="943">
        <v>45081</v>
      </c>
      <c r="C3803" s="195">
        <f t="shared" si="119"/>
        <v>6</v>
      </c>
      <c r="D3803" s="195">
        <v>55.6</v>
      </c>
      <c r="E3803" s="705">
        <f t="shared" si="120"/>
        <v>13.111111111111111</v>
      </c>
    </row>
    <row r="3804" spans="2:5">
      <c r="B3804" s="943">
        <v>45081</v>
      </c>
      <c r="C3804" s="195">
        <f t="shared" si="119"/>
        <v>6</v>
      </c>
      <c r="D3804" s="195">
        <v>54.9</v>
      </c>
      <c r="E3804" s="705">
        <f t="shared" si="120"/>
        <v>12.722222222222221</v>
      </c>
    </row>
    <row r="3805" spans="2:5">
      <c r="B3805" s="943">
        <v>45081</v>
      </c>
      <c r="C3805" s="195">
        <f t="shared" si="119"/>
        <v>6</v>
      </c>
      <c r="D3805" s="195">
        <v>54.5</v>
      </c>
      <c r="E3805" s="705">
        <f t="shared" si="120"/>
        <v>12.5</v>
      </c>
    </row>
    <row r="3806" spans="2:5">
      <c r="B3806" s="943">
        <v>45081</v>
      </c>
      <c r="C3806" s="195">
        <f t="shared" si="119"/>
        <v>6</v>
      </c>
      <c r="D3806" s="195">
        <v>54.3</v>
      </c>
      <c r="E3806" s="705">
        <f t="shared" si="120"/>
        <v>12.388888888888888</v>
      </c>
    </row>
    <row r="3807" spans="2:5">
      <c r="B3807" s="943">
        <v>45081</v>
      </c>
      <c r="C3807" s="195">
        <f t="shared" si="119"/>
        <v>6</v>
      </c>
      <c r="D3807" s="195">
        <v>54.1</v>
      </c>
      <c r="E3807" s="705">
        <f t="shared" si="120"/>
        <v>12.277777777777779</v>
      </c>
    </row>
    <row r="3808" spans="2:5">
      <c r="B3808" s="943">
        <v>45081</v>
      </c>
      <c r="C3808" s="195">
        <f t="shared" si="119"/>
        <v>6</v>
      </c>
      <c r="D3808" s="195">
        <v>54.3</v>
      </c>
      <c r="E3808" s="705">
        <f t="shared" si="120"/>
        <v>12.388888888888888</v>
      </c>
    </row>
    <row r="3809" spans="2:5">
      <c r="B3809" s="943">
        <v>45081</v>
      </c>
      <c r="C3809" s="195">
        <f t="shared" si="119"/>
        <v>6</v>
      </c>
      <c r="D3809" s="195" t="s">
        <v>1439</v>
      </c>
      <c r="E3809" s="705">
        <f t="shared" si="120"/>
        <v>12.777777777777777</v>
      </c>
    </row>
    <row r="3810" spans="2:5">
      <c r="B3810" s="943">
        <v>45081</v>
      </c>
      <c r="C3810" s="195">
        <f t="shared" si="119"/>
        <v>6</v>
      </c>
      <c r="D3810" s="195">
        <v>56.3</v>
      </c>
      <c r="E3810" s="705">
        <f t="shared" si="120"/>
        <v>13.499999999999998</v>
      </c>
    </row>
    <row r="3811" spans="2:5">
      <c r="B3811" s="943">
        <v>45081</v>
      </c>
      <c r="C3811" s="195">
        <f t="shared" si="119"/>
        <v>6</v>
      </c>
      <c r="D3811" s="195">
        <v>57.2</v>
      </c>
      <c r="E3811" s="705">
        <f t="shared" si="120"/>
        <v>14.000000000000002</v>
      </c>
    </row>
    <row r="3812" spans="2:5">
      <c r="B3812" s="943">
        <v>45081</v>
      </c>
      <c r="C3812" s="195">
        <f t="shared" si="119"/>
        <v>6</v>
      </c>
      <c r="D3812" s="195">
        <v>58.1</v>
      </c>
      <c r="E3812" s="705">
        <f t="shared" si="120"/>
        <v>14.5</v>
      </c>
    </row>
    <row r="3813" spans="2:5">
      <c r="B3813" s="943">
        <v>45081</v>
      </c>
      <c r="C3813" s="195">
        <f t="shared" si="119"/>
        <v>6</v>
      </c>
      <c r="D3813" s="195">
        <v>58.8</v>
      </c>
      <c r="E3813" s="705">
        <f t="shared" si="120"/>
        <v>14.888888888888888</v>
      </c>
    </row>
    <row r="3814" spans="2:5">
      <c r="B3814" s="943">
        <v>45081</v>
      </c>
      <c r="C3814" s="195">
        <f t="shared" si="119"/>
        <v>6</v>
      </c>
      <c r="D3814" s="195">
        <v>58.8</v>
      </c>
      <c r="E3814" s="705">
        <f t="shared" si="120"/>
        <v>14.888888888888888</v>
      </c>
    </row>
    <row r="3815" spans="2:5">
      <c r="B3815" s="943">
        <v>45081</v>
      </c>
      <c r="C3815" s="195">
        <f t="shared" si="119"/>
        <v>6</v>
      </c>
      <c r="D3815" s="195">
        <v>56.8</v>
      </c>
      <c r="E3815" s="705">
        <f t="shared" si="120"/>
        <v>13.777777777777775</v>
      </c>
    </row>
    <row r="3816" spans="2:5">
      <c r="B3816" s="943">
        <v>45081</v>
      </c>
      <c r="C3816" s="195">
        <f t="shared" si="119"/>
        <v>6</v>
      </c>
      <c r="D3816" s="195">
        <v>55.4</v>
      </c>
      <c r="E3816" s="705">
        <f t="shared" si="120"/>
        <v>12.999999999999998</v>
      </c>
    </row>
    <row r="3817" spans="2:5">
      <c r="B3817" s="943">
        <v>45081</v>
      </c>
      <c r="C3817" s="195">
        <f t="shared" si="119"/>
        <v>6</v>
      </c>
      <c r="D3817" s="195">
        <v>54.7</v>
      </c>
      <c r="E3817" s="705">
        <f t="shared" si="120"/>
        <v>12.611111111111112</v>
      </c>
    </row>
    <row r="3818" spans="2:5">
      <c r="B3818" s="943">
        <v>45081</v>
      </c>
      <c r="C3818" s="195">
        <f t="shared" si="119"/>
        <v>6</v>
      </c>
      <c r="D3818" s="195">
        <v>54.5</v>
      </c>
      <c r="E3818" s="705">
        <f t="shared" si="120"/>
        <v>12.5</v>
      </c>
    </row>
    <row r="3819" spans="2:5">
      <c r="B3819" s="943">
        <v>45081</v>
      </c>
      <c r="C3819" s="195">
        <f t="shared" si="119"/>
        <v>6</v>
      </c>
      <c r="D3819" s="195">
        <v>54.5</v>
      </c>
      <c r="E3819" s="705">
        <f t="shared" si="120"/>
        <v>12.5</v>
      </c>
    </row>
    <row r="3820" spans="2:5">
      <c r="B3820" s="943">
        <v>45081</v>
      </c>
      <c r="C3820" s="195">
        <f t="shared" si="119"/>
        <v>6</v>
      </c>
      <c r="D3820" s="195">
        <v>54.7</v>
      </c>
      <c r="E3820" s="705">
        <f t="shared" si="120"/>
        <v>12.611111111111112</v>
      </c>
    </row>
    <row r="3821" spans="2:5">
      <c r="B3821" s="943">
        <v>45081</v>
      </c>
      <c r="C3821" s="195">
        <f t="shared" si="119"/>
        <v>6</v>
      </c>
      <c r="D3821" s="195">
        <v>54.9</v>
      </c>
      <c r="E3821" s="705">
        <f t="shared" si="120"/>
        <v>12.722222222222221</v>
      </c>
    </row>
    <row r="3822" spans="2:5">
      <c r="B3822" s="943">
        <v>45081</v>
      </c>
      <c r="C3822" s="195">
        <f t="shared" si="119"/>
        <v>6</v>
      </c>
      <c r="D3822" s="195">
        <v>55.6</v>
      </c>
      <c r="E3822" s="705">
        <f t="shared" si="120"/>
        <v>13.111111111111111</v>
      </c>
    </row>
    <row r="3823" spans="2:5">
      <c r="B3823" s="943">
        <v>45081</v>
      </c>
      <c r="C3823" s="195">
        <f t="shared" si="119"/>
        <v>6</v>
      </c>
      <c r="D3823" s="195">
        <v>56.8</v>
      </c>
      <c r="E3823" s="705">
        <f t="shared" si="120"/>
        <v>13.777777777777775</v>
      </c>
    </row>
    <row r="3824" spans="2:5">
      <c r="B3824" s="943">
        <v>45081</v>
      </c>
      <c r="C3824" s="195">
        <f t="shared" si="119"/>
        <v>6</v>
      </c>
      <c r="D3824" s="195">
        <v>57.6</v>
      </c>
      <c r="E3824" s="705">
        <f t="shared" si="120"/>
        <v>14.222222222222223</v>
      </c>
    </row>
    <row r="3825" spans="2:5">
      <c r="B3825" s="943">
        <v>45082</v>
      </c>
      <c r="C3825" s="195">
        <f t="shared" si="119"/>
        <v>6</v>
      </c>
      <c r="D3825" s="195">
        <v>57.9</v>
      </c>
      <c r="E3825" s="705">
        <f t="shared" si="120"/>
        <v>14.388888888888888</v>
      </c>
    </row>
    <row r="3826" spans="2:5">
      <c r="B3826" s="943">
        <v>45082</v>
      </c>
      <c r="C3826" s="195">
        <f t="shared" si="119"/>
        <v>6</v>
      </c>
      <c r="D3826" s="195">
        <v>57.7</v>
      </c>
      <c r="E3826" s="705">
        <f t="shared" si="120"/>
        <v>14.277777777777779</v>
      </c>
    </row>
    <row r="3827" spans="2:5">
      <c r="B3827" s="943">
        <v>45082</v>
      </c>
      <c r="C3827" s="195">
        <f t="shared" si="119"/>
        <v>6</v>
      </c>
      <c r="D3827" s="195">
        <v>56.3</v>
      </c>
      <c r="E3827" s="705">
        <f t="shared" si="120"/>
        <v>13.499999999999998</v>
      </c>
    </row>
    <row r="3828" spans="2:5">
      <c r="B3828" s="943">
        <v>45082</v>
      </c>
      <c r="C3828" s="195">
        <f t="shared" si="119"/>
        <v>6</v>
      </c>
      <c r="D3828" s="195">
        <v>55.2</v>
      </c>
      <c r="E3828" s="705">
        <f t="shared" si="120"/>
        <v>12.888888888888889</v>
      </c>
    </row>
    <row r="3829" spans="2:5">
      <c r="B3829" s="943">
        <v>45082</v>
      </c>
      <c r="C3829" s="195">
        <f t="shared" si="119"/>
        <v>6</v>
      </c>
      <c r="D3829" s="195">
        <v>54.9</v>
      </c>
      <c r="E3829" s="705">
        <f t="shared" si="120"/>
        <v>12.722222222222221</v>
      </c>
    </row>
    <row r="3830" spans="2:5">
      <c r="B3830" s="943">
        <v>45082</v>
      </c>
      <c r="C3830" s="195">
        <f t="shared" si="119"/>
        <v>6</v>
      </c>
      <c r="D3830" s="195">
        <v>54.9</v>
      </c>
      <c r="E3830" s="705">
        <f t="shared" si="120"/>
        <v>12.722222222222221</v>
      </c>
    </row>
    <row r="3831" spans="2:5">
      <c r="B3831" s="943">
        <v>45082</v>
      </c>
      <c r="C3831" s="195">
        <f t="shared" si="119"/>
        <v>6</v>
      </c>
      <c r="D3831" s="195">
        <v>54.9</v>
      </c>
      <c r="E3831" s="705">
        <f t="shared" si="120"/>
        <v>12.722222222222221</v>
      </c>
    </row>
    <row r="3832" spans="2:5">
      <c r="B3832" s="943">
        <v>45082</v>
      </c>
      <c r="C3832" s="195">
        <f t="shared" si="119"/>
        <v>6</v>
      </c>
      <c r="D3832" s="195">
        <v>54.9</v>
      </c>
      <c r="E3832" s="705">
        <f t="shared" si="120"/>
        <v>12.722222222222221</v>
      </c>
    </row>
    <row r="3833" spans="2:5">
      <c r="B3833" s="943">
        <v>45082</v>
      </c>
      <c r="C3833" s="195">
        <f t="shared" si="119"/>
        <v>6</v>
      </c>
      <c r="D3833" s="195">
        <v>54.9</v>
      </c>
      <c r="E3833" s="705">
        <f t="shared" si="120"/>
        <v>12.722222222222221</v>
      </c>
    </row>
    <row r="3834" spans="2:5">
      <c r="B3834" s="943">
        <v>45082</v>
      </c>
      <c r="C3834" s="195">
        <f t="shared" si="119"/>
        <v>6</v>
      </c>
      <c r="D3834" s="195">
        <v>55.4</v>
      </c>
      <c r="E3834" s="705">
        <f t="shared" si="120"/>
        <v>12.999999999999998</v>
      </c>
    </row>
    <row r="3835" spans="2:5">
      <c r="B3835" s="943">
        <v>45082</v>
      </c>
      <c r="C3835" s="195">
        <f t="shared" si="119"/>
        <v>6</v>
      </c>
      <c r="D3835" s="195">
        <v>56.1</v>
      </c>
      <c r="E3835" s="705">
        <f t="shared" si="120"/>
        <v>13.388888888888889</v>
      </c>
    </row>
    <row r="3836" spans="2:5">
      <c r="B3836" s="943">
        <v>45082</v>
      </c>
      <c r="C3836" s="195">
        <f t="shared" si="119"/>
        <v>6</v>
      </c>
      <c r="D3836" s="195">
        <v>56.8</v>
      </c>
      <c r="E3836" s="705">
        <f t="shared" si="120"/>
        <v>13.777777777777775</v>
      </c>
    </row>
    <row r="3837" spans="2:5">
      <c r="B3837" s="943">
        <v>45082</v>
      </c>
      <c r="C3837" s="195">
        <f t="shared" si="119"/>
        <v>6</v>
      </c>
      <c r="D3837" s="195">
        <v>57.6</v>
      </c>
      <c r="E3837" s="705">
        <f t="shared" si="120"/>
        <v>14.222222222222223</v>
      </c>
    </row>
    <row r="3838" spans="2:5">
      <c r="B3838" s="943">
        <v>45082</v>
      </c>
      <c r="C3838" s="195">
        <f t="shared" si="119"/>
        <v>6</v>
      </c>
      <c r="D3838" s="195">
        <v>57.9</v>
      </c>
      <c r="E3838" s="705">
        <f t="shared" si="120"/>
        <v>14.388888888888888</v>
      </c>
    </row>
    <row r="3839" spans="2:5">
      <c r="B3839" s="943">
        <v>45082</v>
      </c>
      <c r="C3839" s="195">
        <f t="shared" si="119"/>
        <v>6</v>
      </c>
      <c r="D3839" s="195">
        <v>57.9</v>
      </c>
      <c r="E3839" s="705">
        <f t="shared" si="120"/>
        <v>14.388888888888888</v>
      </c>
    </row>
    <row r="3840" spans="2:5">
      <c r="B3840" s="943">
        <v>45082</v>
      </c>
      <c r="C3840" s="195">
        <f t="shared" si="119"/>
        <v>6</v>
      </c>
      <c r="D3840" s="195">
        <v>56.5</v>
      </c>
      <c r="E3840" s="705">
        <f t="shared" si="120"/>
        <v>13.611111111111111</v>
      </c>
    </row>
    <row r="3841" spans="2:5">
      <c r="B3841" s="943">
        <v>45082</v>
      </c>
      <c r="C3841" s="195">
        <f t="shared" si="119"/>
        <v>6</v>
      </c>
      <c r="D3841" s="195">
        <v>55.6</v>
      </c>
      <c r="E3841" s="705">
        <f t="shared" si="120"/>
        <v>13.111111111111111</v>
      </c>
    </row>
    <row r="3842" spans="2:5">
      <c r="B3842" s="943">
        <v>45082</v>
      </c>
      <c r="C3842" s="195">
        <f t="shared" si="119"/>
        <v>6</v>
      </c>
      <c r="D3842" s="195">
        <v>55.2</v>
      </c>
      <c r="E3842" s="705">
        <f t="shared" si="120"/>
        <v>12.888888888888889</v>
      </c>
    </row>
    <row r="3843" spans="2:5">
      <c r="B3843" s="943">
        <v>45082</v>
      </c>
      <c r="C3843" s="195">
        <f t="shared" si="119"/>
        <v>6</v>
      </c>
      <c r="D3843" s="195">
        <v>54.9</v>
      </c>
      <c r="E3843" s="705">
        <f t="shared" si="120"/>
        <v>12.722222222222221</v>
      </c>
    </row>
    <row r="3844" spans="2:5">
      <c r="B3844" s="943">
        <v>45082</v>
      </c>
      <c r="C3844" s="195">
        <f t="shared" si="119"/>
        <v>6</v>
      </c>
      <c r="D3844" s="195">
        <v>54.9</v>
      </c>
      <c r="E3844" s="705">
        <f t="shared" si="120"/>
        <v>12.722222222222221</v>
      </c>
    </row>
    <row r="3845" spans="2:5">
      <c r="B3845" s="943">
        <v>45082</v>
      </c>
      <c r="C3845" s="195">
        <f t="shared" si="119"/>
        <v>6</v>
      </c>
      <c r="D3845" s="195" t="s">
        <v>1439</v>
      </c>
      <c r="E3845" s="705">
        <f t="shared" si="120"/>
        <v>12.777777777777777</v>
      </c>
    </row>
    <row r="3846" spans="2:5">
      <c r="B3846" s="943">
        <v>45082</v>
      </c>
      <c r="C3846" s="195">
        <f t="shared" si="119"/>
        <v>6</v>
      </c>
      <c r="D3846" s="195">
        <v>55.4</v>
      </c>
      <c r="E3846" s="705">
        <f t="shared" si="120"/>
        <v>12.999999999999998</v>
      </c>
    </row>
    <row r="3847" spans="2:5">
      <c r="B3847" s="943">
        <v>45082</v>
      </c>
      <c r="C3847" s="195">
        <f t="shared" si="119"/>
        <v>6</v>
      </c>
      <c r="D3847" s="195">
        <v>56.1</v>
      </c>
      <c r="E3847" s="705">
        <f t="shared" si="120"/>
        <v>13.388888888888889</v>
      </c>
    </row>
    <row r="3848" spans="2:5">
      <c r="B3848" s="943">
        <v>45082</v>
      </c>
      <c r="C3848" s="195">
        <f t="shared" si="119"/>
        <v>6</v>
      </c>
      <c r="D3848" s="195" t="s">
        <v>1440</v>
      </c>
      <c r="E3848" s="705">
        <f t="shared" si="120"/>
        <v>13.888888888888889</v>
      </c>
    </row>
    <row r="3849" spans="2:5">
      <c r="B3849" s="943">
        <v>45083</v>
      </c>
      <c r="C3849" s="195">
        <f t="shared" si="119"/>
        <v>6</v>
      </c>
      <c r="D3849" s="195">
        <v>57.6</v>
      </c>
      <c r="E3849" s="705">
        <f t="shared" si="120"/>
        <v>14.222222222222223</v>
      </c>
    </row>
    <row r="3850" spans="2:5">
      <c r="B3850" s="943">
        <v>45083</v>
      </c>
      <c r="C3850" s="195">
        <f t="shared" ref="C3850:C3913" si="121">MONTH(B3850)</f>
        <v>6</v>
      </c>
      <c r="D3850" s="195">
        <v>57.9</v>
      </c>
      <c r="E3850" s="705">
        <f t="shared" ref="E3850:E3913" si="122">CONVERT(D3850,"F","C")</f>
        <v>14.388888888888888</v>
      </c>
    </row>
    <row r="3851" spans="2:5">
      <c r="B3851" s="943">
        <v>45083</v>
      </c>
      <c r="C3851" s="195">
        <f t="shared" si="121"/>
        <v>6</v>
      </c>
      <c r="D3851" s="195">
        <v>57.6</v>
      </c>
      <c r="E3851" s="705">
        <f t="shared" si="122"/>
        <v>14.222222222222223</v>
      </c>
    </row>
    <row r="3852" spans="2:5">
      <c r="B3852" s="943">
        <v>45083</v>
      </c>
      <c r="C3852" s="195">
        <f t="shared" si="121"/>
        <v>6</v>
      </c>
      <c r="D3852" s="195">
        <v>56.5</v>
      </c>
      <c r="E3852" s="705">
        <f t="shared" si="122"/>
        <v>13.611111111111111</v>
      </c>
    </row>
    <row r="3853" spans="2:5">
      <c r="B3853" s="943">
        <v>45083</v>
      </c>
      <c r="C3853" s="195">
        <f t="shared" si="121"/>
        <v>6</v>
      </c>
      <c r="D3853" s="195">
        <v>55.8</v>
      </c>
      <c r="E3853" s="705">
        <f t="shared" si="122"/>
        <v>13.22222222222222</v>
      </c>
    </row>
    <row r="3854" spans="2:5">
      <c r="B3854" s="943">
        <v>45083</v>
      </c>
      <c r="C3854" s="195">
        <f t="shared" si="121"/>
        <v>6</v>
      </c>
      <c r="D3854" s="195">
        <v>55.4</v>
      </c>
      <c r="E3854" s="705">
        <f t="shared" si="122"/>
        <v>12.999999999999998</v>
      </c>
    </row>
    <row r="3855" spans="2:5">
      <c r="B3855" s="943">
        <v>45083</v>
      </c>
      <c r="C3855" s="195">
        <f t="shared" si="121"/>
        <v>6</v>
      </c>
      <c r="D3855" s="195">
        <v>55.2</v>
      </c>
      <c r="E3855" s="705">
        <f t="shared" si="122"/>
        <v>12.888888888888889</v>
      </c>
    </row>
    <row r="3856" spans="2:5">
      <c r="B3856" s="943">
        <v>45083</v>
      </c>
      <c r="C3856" s="195">
        <f t="shared" si="121"/>
        <v>6</v>
      </c>
      <c r="D3856" s="195">
        <v>55.2</v>
      </c>
      <c r="E3856" s="705">
        <f t="shared" si="122"/>
        <v>12.888888888888889</v>
      </c>
    </row>
    <row r="3857" spans="2:5">
      <c r="B3857" s="943">
        <v>45083</v>
      </c>
      <c r="C3857" s="195">
        <f t="shared" si="121"/>
        <v>6</v>
      </c>
      <c r="D3857" s="195">
        <v>55.2</v>
      </c>
      <c r="E3857" s="705">
        <f t="shared" si="122"/>
        <v>12.888888888888889</v>
      </c>
    </row>
    <row r="3858" spans="2:5">
      <c r="B3858" s="943">
        <v>45083</v>
      </c>
      <c r="C3858" s="195">
        <f t="shared" si="121"/>
        <v>6</v>
      </c>
      <c r="D3858" s="195">
        <v>55.4</v>
      </c>
      <c r="E3858" s="705">
        <f t="shared" si="122"/>
        <v>12.999999999999998</v>
      </c>
    </row>
    <row r="3859" spans="2:5">
      <c r="B3859" s="943">
        <v>45083</v>
      </c>
      <c r="C3859" s="195">
        <f t="shared" si="121"/>
        <v>6</v>
      </c>
      <c r="D3859" s="195">
        <v>55.9</v>
      </c>
      <c r="E3859" s="705">
        <f t="shared" si="122"/>
        <v>13.277777777777777</v>
      </c>
    </row>
    <row r="3860" spans="2:5">
      <c r="B3860" s="943">
        <v>45083</v>
      </c>
      <c r="C3860" s="195">
        <f t="shared" si="121"/>
        <v>6</v>
      </c>
      <c r="D3860" s="195">
        <v>56.7</v>
      </c>
      <c r="E3860" s="705">
        <f t="shared" si="122"/>
        <v>13.722222222222223</v>
      </c>
    </row>
    <row r="3861" spans="2:5">
      <c r="B3861" s="943">
        <v>45083</v>
      </c>
      <c r="C3861" s="195">
        <f t="shared" si="121"/>
        <v>6</v>
      </c>
      <c r="D3861" s="195">
        <v>57.2</v>
      </c>
      <c r="E3861" s="705">
        <f t="shared" si="122"/>
        <v>14.000000000000002</v>
      </c>
    </row>
    <row r="3862" spans="2:5">
      <c r="B3862" s="943">
        <v>45083</v>
      </c>
      <c r="C3862" s="195">
        <f t="shared" si="121"/>
        <v>6</v>
      </c>
      <c r="D3862" s="195">
        <v>57.7</v>
      </c>
      <c r="E3862" s="705">
        <f t="shared" si="122"/>
        <v>14.277777777777779</v>
      </c>
    </row>
    <row r="3863" spans="2:5">
      <c r="B3863" s="943">
        <v>45083</v>
      </c>
      <c r="C3863" s="195">
        <f t="shared" si="121"/>
        <v>6</v>
      </c>
      <c r="D3863" s="195">
        <v>57.9</v>
      </c>
      <c r="E3863" s="705">
        <f t="shared" si="122"/>
        <v>14.388888888888888</v>
      </c>
    </row>
    <row r="3864" spans="2:5">
      <c r="B3864" s="943">
        <v>45083</v>
      </c>
      <c r="C3864" s="195">
        <f t="shared" si="121"/>
        <v>6</v>
      </c>
      <c r="D3864" s="195">
        <v>57.9</v>
      </c>
      <c r="E3864" s="705">
        <f t="shared" si="122"/>
        <v>14.388888888888888</v>
      </c>
    </row>
    <row r="3865" spans="2:5">
      <c r="B3865" s="943">
        <v>45083</v>
      </c>
      <c r="C3865" s="195">
        <f t="shared" si="121"/>
        <v>6</v>
      </c>
      <c r="D3865" s="195">
        <v>56.7</v>
      </c>
      <c r="E3865" s="705">
        <f t="shared" si="122"/>
        <v>13.722222222222223</v>
      </c>
    </row>
    <row r="3866" spans="2:5">
      <c r="B3866" s="943">
        <v>45083</v>
      </c>
      <c r="C3866" s="195">
        <f t="shared" si="121"/>
        <v>6</v>
      </c>
      <c r="D3866" s="195">
        <v>56.1</v>
      </c>
      <c r="E3866" s="705">
        <f t="shared" si="122"/>
        <v>13.388888888888889</v>
      </c>
    </row>
    <row r="3867" spans="2:5">
      <c r="B3867" s="943">
        <v>45083</v>
      </c>
      <c r="C3867" s="195">
        <f t="shared" si="121"/>
        <v>6</v>
      </c>
      <c r="D3867" s="195">
        <v>55.8</v>
      </c>
      <c r="E3867" s="705">
        <f t="shared" si="122"/>
        <v>13.22222222222222</v>
      </c>
    </row>
    <row r="3868" spans="2:5">
      <c r="B3868" s="943">
        <v>45083</v>
      </c>
      <c r="C3868" s="195">
        <f t="shared" si="121"/>
        <v>6</v>
      </c>
      <c r="D3868" s="195">
        <v>55.6</v>
      </c>
      <c r="E3868" s="705">
        <f t="shared" si="122"/>
        <v>13.111111111111111</v>
      </c>
    </row>
    <row r="3869" spans="2:5">
      <c r="B3869" s="943">
        <v>45083</v>
      </c>
      <c r="C3869" s="195">
        <f t="shared" si="121"/>
        <v>6</v>
      </c>
      <c r="D3869" s="195">
        <v>55.6</v>
      </c>
      <c r="E3869" s="705">
        <f t="shared" si="122"/>
        <v>13.111111111111111</v>
      </c>
    </row>
    <row r="3870" spans="2:5">
      <c r="B3870" s="943">
        <v>45083</v>
      </c>
      <c r="C3870" s="195">
        <f t="shared" si="121"/>
        <v>6</v>
      </c>
      <c r="D3870" s="195">
        <v>55.8</v>
      </c>
      <c r="E3870" s="705">
        <f t="shared" si="122"/>
        <v>13.22222222222222</v>
      </c>
    </row>
    <row r="3871" spans="2:5">
      <c r="B3871" s="943">
        <v>45083</v>
      </c>
      <c r="C3871" s="195">
        <f t="shared" si="121"/>
        <v>6</v>
      </c>
      <c r="D3871" s="195">
        <v>56.1</v>
      </c>
      <c r="E3871" s="705">
        <f t="shared" si="122"/>
        <v>13.388888888888889</v>
      </c>
    </row>
    <row r="3872" spans="2:5">
      <c r="B3872" s="943">
        <v>45083</v>
      </c>
      <c r="C3872" s="195">
        <f t="shared" si="121"/>
        <v>6</v>
      </c>
      <c r="D3872" s="195">
        <v>56.8</v>
      </c>
      <c r="E3872" s="705">
        <f t="shared" si="122"/>
        <v>13.777777777777775</v>
      </c>
    </row>
    <row r="3873" spans="2:5">
      <c r="B3873" s="943">
        <v>45084</v>
      </c>
      <c r="C3873" s="195">
        <f t="shared" si="121"/>
        <v>6</v>
      </c>
      <c r="D3873" s="195">
        <v>57.7</v>
      </c>
      <c r="E3873" s="705">
        <f t="shared" si="122"/>
        <v>14.277777777777779</v>
      </c>
    </row>
    <row r="3874" spans="2:5">
      <c r="B3874" s="943">
        <v>45084</v>
      </c>
      <c r="C3874" s="195">
        <f t="shared" si="121"/>
        <v>6</v>
      </c>
      <c r="D3874" s="195">
        <v>58.1</v>
      </c>
      <c r="E3874" s="705">
        <f t="shared" si="122"/>
        <v>14.5</v>
      </c>
    </row>
    <row r="3875" spans="2:5">
      <c r="B3875" s="943">
        <v>45084</v>
      </c>
      <c r="C3875" s="195">
        <f t="shared" si="121"/>
        <v>6</v>
      </c>
      <c r="D3875" s="195">
        <v>58.5</v>
      </c>
      <c r="E3875" s="705">
        <f t="shared" si="122"/>
        <v>14.722222222222221</v>
      </c>
    </row>
    <row r="3876" spans="2:5">
      <c r="B3876" s="943">
        <v>45084</v>
      </c>
      <c r="C3876" s="195">
        <f t="shared" si="121"/>
        <v>6</v>
      </c>
      <c r="D3876" s="195">
        <v>58.1</v>
      </c>
      <c r="E3876" s="705">
        <f t="shared" si="122"/>
        <v>14.5</v>
      </c>
    </row>
    <row r="3877" spans="2:5">
      <c r="B3877" s="943">
        <v>45084</v>
      </c>
      <c r="C3877" s="195">
        <f t="shared" si="121"/>
        <v>6</v>
      </c>
      <c r="D3877" s="195">
        <v>57.2</v>
      </c>
      <c r="E3877" s="705">
        <f t="shared" si="122"/>
        <v>14.000000000000002</v>
      </c>
    </row>
    <row r="3878" spans="2:5">
      <c r="B3878" s="943">
        <v>45084</v>
      </c>
      <c r="C3878" s="195">
        <f t="shared" si="121"/>
        <v>6</v>
      </c>
      <c r="D3878" s="195">
        <v>56.1</v>
      </c>
      <c r="E3878" s="705">
        <f t="shared" si="122"/>
        <v>13.388888888888889</v>
      </c>
    </row>
    <row r="3879" spans="2:5">
      <c r="B3879" s="943">
        <v>45084</v>
      </c>
      <c r="C3879" s="195">
        <f t="shared" si="121"/>
        <v>6</v>
      </c>
      <c r="D3879" s="195">
        <v>55.6</v>
      </c>
      <c r="E3879" s="705">
        <f t="shared" si="122"/>
        <v>13.111111111111111</v>
      </c>
    </row>
    <row r="3880" spans="2:5">
      <c r="B3880" s="943">
        <v>45084</v>
      </c>
      <c r="C3880" s="195">
        <f t="shared" si="121"/>
        <v>6</v>
      </c>
      <c r="D3880" s="195">
        <v>55.4</v>
      </c>
      <c r="E3880" s="705">
        <f t="shared" si="122"/>
        <v>12.999999999999998</v>
      </c>
    </row>
    <row r="3881" spans="2:5">
      <c r="B3881" s="943">
        <v>45084</v>
      </c>
      <c r="C3881" s="195">
        <f t="shared" si="121"/>
        <v>6</v>
      </c>
      <c r="D3881" s="195">
        <v>55.4</v>
      </c>
      <c r="E3881" s="705">
        <f t="shared" si="122"/>
        <v>12.999999999999998</v>
      </c>
    </row>
    <row r="3882" spans="2:5">
      <c r="B3882" s="943">
        <v>45084</v>
      </c>
      <c r="C3882" s="195">
        <f t="shared" si="121"/>
        <v>6</v>
      </c>
      <c r="D3882" s="195">
        <v>55.4</v>
      </c>
      <c r="E3882" s="705">
        <f t="shared" si="122"/>
        <v>12.999999999999998</v>
      </c>
    </row>
    <row r="3883" spans="2:5">
      <c r="B3883" s="943">
        <v>45084</v>
      </c>
      <c r="C3883" s="195">
        <f t="shared" si="121"/>
        <v>6</v>
      </c>
      <c r="D3883" s="195">
        <v>55.6</v>
      </c>
      <c r="E3883" s="705">
        <f t="shared" si="122"/>
        <v>13.111111111111111</v>
      </c>
    </row>
    <row r="3884" spans="2:5">
      <c r="B3884" s="943">
        <v>45084</v>
      </c>
      <c r="C3884" s="195">
        <f t="shared" si="121"/>
        <v>6</v>
      </c>
      <c r="D3884" s="195">
        <v>56.3</v>
      </c>
      <c r="E3884" s="705">
        <f t="shared" si="122"/>
        <v>13.499999999999998</v>
      </c>
    </row>
    <row r="3885" spans="2:5">
      <c r="B3885" s="943">
        <v>45084</v>
      </c>
      <c r="C3885" s="195">
        <f t="shared" si="121"/>
        <v>6</v>
      </c>
      <c r="D3885" s="195" t="s">
        <v>1440</v>
      </c>
      <c r="E3885" s="705">
        <f t="shared" si="122"/>
        <v>13.888888888888889</v>
      </c>
    </row>
    <row r="3886" spans="2:5">
      <c r="B3886" s="943">
        <v>45084</v>
      </c>
      <c r="C3886" s="195">
        <f t="shared" si="121"/>
        <v>6</v>
      </c>
      <c r="D3886" s="195">
        <v>57.7</v>
      </c>
      <c r="E3886" s="705">
        <f t="shared" si="122"/>
        <v>14.277777777777779</v>
      </c>
    </row>
    <row r="3887" spans="2:5">
      <c r="B3887" s="943">
        <v>45084</v>
      </c>
      <c r="C3887" s="195">
        <f t="shared" si="121"/>
        <v>6</v>
      </c>
      <c r="D3887" s="195">
        <v>58.3</v>
      </c>
      <c r="E3887" s="705">
        <f t="shared" si="122"/>
        <v>14.611111111111109</v>
      </c>
    </row>
    <row r="3888" spans="2:5">
      <c r="B3888" s="943">
        <v>45084</v>
      </c>
      <c r="C3888" s="195">
        <f t="shared" si="121"/>
        <v>6</v>
      </c>
      <c r="D3888" s="195">
        <v>58.5</v>
      </c>
      <c r="E3888" s="705">
        <f t="shared" si="122"/>
        <v>14.722222222222221</v>
      </c>
    </row>
    <row r="3889" spans="2:5">
      <c r="B3889" s="943">
        <v>45084</v>
      </c>
      <c r="C3889" s="195">
        <f t="shared" si="121"/>
        <v>6</v>
      </c>
      <c r="D3889" s="195">
        <v>58.1</v>
      </c>
      <c r="E3889" s="705">
        <f t="shared" si="122"/>
        <v>14.5</v>
      </c>
    </row>
    <row r="3890" spans="2:5">
      <c r="B3890" s="943">
        <v>45084</v>
      </c>
      <c r="C3890" s="195">
        <f t="shared" si="121"/>
        <v>6</v>
      </c>
      <c r="D3890" s="195">
        <v>57.2</v>
      </c>
      <c r="E3890" s="705">
        <f t="shared" si="122"/>
        <v>14.000000000000002</v>
      </c>
    </row>
    <row r="3891" spans="2:5">
      <c r="B3891" s="943">
        <v>45084</v>
      </c>
      <c r="C3891" s="195">
        <f t="shared" si="121"/>
        <v>6</v>
      </c>
      <c r="D3891" s="195">
        <v>56.3</v>
      </c>
      <c r="E3891" s="705">
        <f t="shared" si="122"/>
        <v>13.499999999999998</v>
      </c>
    </row>
    <row r="3892" spans="2:5">
      <c r="B3892" s="943">
        <v>45084</v>
      </c>
      <c r="C3892" s="195">
        <f t="shared" si="121"/>
        <v>6</v>
      </c>
      <c r="D3892" s="195">
        <v>55.9</v>
      </c>
      <c r="E3892" s="705">
        <f t="shared" si="122"/>
        <v>13.277777777777777</v>
      </c>
    </row>
    <row r="3893" spans="2:5">
      <c r="B3893" s="943">
        <v>45084</v>
      </c>
      <c r="C3893" s="195">
        <f t="shared" si="121"/>
        <v>6</v>
      </c>
      <c r="D3893" s="195">
        <v>55.8</v>
      </c>
      <c r="E3893" s="705">
        <f t="shared" si="122"/>
        <v>13.22222222222222</v>
      </c>
    </row>
    <row r="3894" spans="2:5">
      <c r="B3894" s="943">
        <v>45084</v>
      </c>
      <c r="C3894" s="195">
        <f t="shared" si="121"/>
        <v>6</v>
      </c>
      <c r="D3894" s="195">
        <v>55.8</v>
      </c>
      <c r="E3894" s="705">
        <f t="shared" si="122"/>
        <v>13.22222222222222</v>
      </c>
    </row>
    <row r="3895" spans="2:5">
      <c r="B3895" s="943">
        <v>45084</v>
      </c>
      <c r="C3895" s="195">
        <f t="shared" si="121"/>
        <v>6</v>
      </c>
      <c r="D3895" s="195">
        <v>55.9</v>
      </c>
      <c r="E3895" s="705">
        <f t="shared" si="122"/>
        <v>13.277777777777777</v>
      </c>
    </row>
    <row r="3896" spans="2:5">
      <c r="B3896" s="943">
        <v>45084</v>
      </c>
      <c r="C3896" s="195">
        <f t="shared" si="121"/>
        <v>6</v>
      </c>
      <c r="D3896" s="195">
        <v>56.3</v>
      </c>
      <c r="E3896" s="705">
        <f t="shared" si="122"/>
        <v>13.499999999999998</v>
      </c>
    </row>
    <row r="3897" spans="2:5">
      <c r="B3897" s="943">
        <v>45085</v>
      </c>
      <c r="C3897" s="195">
        <f t="shared" si="121"/>
        <v>6</v>
      </c>
      <c r="D3897" s="195" t="s">
        <v>1440</v>
      </c>
      <c r="E3897" s="705">
        <f t="shared" si="122"/>
        <v>13.888888888888889</v>
      </c>
    </row>
    <row r="3898" spans="2:5">
      <c r="B3898" s="943">
        <v>45085</v>
      </c>
      <c r="C3898" s="195">
        <f t="shared" si="121"/>
        <v>6</v>
      </c>
      <c r="D3898" s="195">
        <v>57.7</v>
      </c>
      <c r="E3898" s="705">
        <f t="shared" si="122"/>
        <v>14.277777777777779</v>
      </c>
    </row>
    <row r="3899" spans="2:5">
      <c r="B3899" s="943">
        <v>45085</v>
      </c>
      <c r="C3899" s="195">
        <f t="shared" si="121"/>
        <v>6</v>
      </c>
      <c r="D3899" s="195">
        <v>58.1</v>
      </c>
      <c r="E3899" s="705">
        <f t="shared" si="122"/>
        <v>14.5</v>
      </c>
    </row>
    <row r="3900" spans="2:5">
      <c r="B3900" s="943">
        <v>45085</v>
      </c>
      <c r="C3900" s="195">
        <f t="shared" si="121"/>
        <v>6</v>
      </c>
      <c r="D3900" s="195">
        <v>58.3</v>
      </c>
      <c r="E3900" s="705">
        <f t="shared" si="122"/>
        <v>14.611111111111109</v>
      </c>
    </row>
    <row r="3901" spans="2:5">
      <c r="B3901" s="943">
        <v>45085</v>
      </c>
      <c r="C3901" s="195">
        <f t="shared" si="121"/>
        <v>6</v>
      </c>
      <c r="D3901" s="195">
        <v>57.9</v>
      </c>
      <c r="E3901" s="705">
        <f t="shared" si="122"/>
        <v>14.388888888888888</v>
      </c>
    </row>
    <row r="3902" spans="2:5">
      <c r="B3902" s="943">
        <v>45085</v>
      </c>
      <c r="C3902" s="195">
        <f t="shared" si="121"/>
        <v>6</v>
      </c>
      <c r="D3902" s="195" t="s">
        <v>1440</v>
      </c>
      <c r="E3902" s="705">
        <f t="shared" si="122"/>
        <v>13.888888888888889</v>
      </c>
    </row>
    <row r="3903" spans="2:5">
      <c r="B3903" s="943">
        <v>45085</v>
      </c>
      <c r="C3903" s="195">
        <f t="shared" si="121"/>
        <v>6</v>
      </c>
      <c r="D3903" s="195">
        <v>56.1</v>
      </c>
      <c r="E3903" s="705">
        <f t="shared" si="122"/>
        <v>13.388888888888889</v>
      </c>
    </row>
    <row r="3904" spans="2:5">
      <c r="B3904" s="943">
        <v>45085</v>
      </c>
      <c r="C3904" s="195">
        <f t="shared" si="121"/>
        <v>6</v>
      </c>
      <c r="D3904" s="195">
        <v>55.6</v>
      </c>
      <c r="E3904" s="705">
        <f t="shared" si="122"/>
        <v>13.111111111111111</v>
      </c>
    </row>
    <row r="3905" spans="2:5">
      <c r="B3905" s="943">
        <v>45085</v>
      </c>
      <c r="C3905" s="195">
        <f t="shared" si="121"/>
        <v>6</v>
      </c>
      <c r="D3905" s="195">
        <v>55.6</v>
      </c>
      <c r="E3905" s="705">
        <f t="shared" si="122"/>
        <v>13.111111111111111</v>
      </c>
    </row>
    <row r="3906" spans="2:5">
      <c r="B3906" s="943">
        <v>45085</v>
      </c>
      <c r="C3906" s="195">
        <f t="shared" si="121"/>
        <v>6</v>
      </c>
      <c r="D3906" s="195">
        <v>55.4</v>
      </c>
      <c r="E3906" s="705">
        <f t="shared" si="122"/>
        <v>12.999999999999998</v>
      </c>
    </row>
    <row r="3907" spans="2:5">
      <c r="B3907" s="943">
        <v>45085</v>
      </c>
      <c r="C3907" s="195">
        <f t="shared" si="121"/>
        <v>6</v>
      </c>
      <c r="D3907" s="195">
        <v>55.6</v>
      </c>
      <c r="E3907" s="705">
        <f t="shared" si="122"/>
        <v>13.111111111111111</v>
      </c>
    </row>
    <row r="3908" spans="2:5">
      <c r="B3908" s="943">
        <v>45085</v>
      </c>
      <c r="C3908" s="195">
        <f t="shared" si="121"/>
        <v>6</v>
      </c>
      <c r="D3908" s="195">
        <v>55.8</v>
      </c>
      <c r="E3908" s="705">
        <f t="shared" si="122"/>
        <v>13.22222222222222</v>
      </c>
    </row>
    <row r="3909" spans="2:5">
      <c r="B3909" s="943">
        <v>45085</v>
      </c>
      <c r="C3909" s="195">
        <f t="shared" si="121"/>
        <v>6</v>
      </c>
      <c r="D3909" s="195">
        <v>56.5</v>
      </c>
      <c r="E3909" s="705">
        <f t="shared" si="122"/>
        <v>13.611111111111111</v>
      </c>
    </row>
    <row r="3910" spans="2:5">
      <c r="B3910" s="943">
        <v>45085</v>
      </c>
      <c r="C3910" s="195">
        <f t="shared" si="121"/>
        <v>6</v>
      </c>
      <c r="D3910" s="195">
        <v>57.2</v>
      </c>
      <c r="E3910" s="705">
        <f t="shared" si="122"/>
        <v>14.000000000000002</v>
      </c>
    </row>
    <row r="3911" spans="2:5">
      <c r="B3911" s="943">
        <v>45085</v>
      </c>
      <c r="C3911" s="195">
        <f t="shared" si="121"/>
        <v>6</v>
      </c>
      <c r="D3911" s="195">
        <v>57.7</v>
      </c>
      <c r="E3911" s="705">
        <f t="shared" si="122"/>
        <v>14.277777777777779</v>
      </c>
    </row>
    <row r="3912" spans="2:5">
      <c r="B3912" s="943">
        <v>45085</v>
      </c>
      <c r="C3912" s="195">
        <f t="shared" si="121"/>
        <v>6</v>
      </c>
      <c r="D3912" s="195">
        <v>58.3</v>
      </c>
      <c r="E3912" s="705">
        <f t="shared" si="122"/>
        <v>14.611111111111109</v>
      </c>
    </row>
    <row r="3913" spans="2:5">
      <c r="B3913" s="943">
        <v>45085</v>
      </c>
      <c r="C3913" s="195">
        <f t="shared" si="121"/>
        <v>6</v>
      </c>
      <c r="D3913" s="195">
        <v>58.6</v>
      </c>
      <c r="E3913" s="705">
        <f t="shared" si="122"/>
        <v>14.777777777777779</v>
      </c>
    </row>
    <row r="3914" spans="2:5">
      <c r="B3914" s="943">
        <v>45085</v>
      </c>
      <c r="C3914" s="195">
        <f t="shared" ref="C3914:C3977" si="123">MONTH(B3914)</f>
        <v>6</v>
      </c>
      <c r="D3914" s="195">
        <v>58.1</v>
      </c>
      <c r="E3914" s="705">
        <f t="shared" ref="E3914:E3977" si="124">CONVERT(D3914,"F","C")</f>
        <v>14.5</v>
      </c>
    </row>
    <row r="3915" spans="2:5">
      <c r="B3915" s="943">
        <v>45085</v>
      </c>
      <c r="C3915" s="195">
        <f t="shared" si="123"/>
        <v>6</v>
      </c>
      <c r="D3915" s="195">
        <v>57.4</v>
      </c>
      <c r="E3915" s="705">
        <f t="shared" si="124"/>
        <v>14.111111111111111</v>
      </c>
    </row>
    <row r="3916" spans="2:5">
      <c r="B3916" s="943">
        <v>45085</v>
      </c>
      <c r="C3916" s="195">
        <f t="shared" si="123"/>
        <v>6</v>
      </c>
      <c r="D3916" s="195">
        <v>56.5</v>
      </c>
      <c r="E3916" s="705">
        <f t="shared" si="124"/>
        <v>13.611111111111111</v>
      </c>
    </row>
    <row r="3917" spans="2:5">
      <c r="B3917" s="943">
        <v>45085</v>
      </c>
      <c r="C3917" s="195">
        <f t="shared" si="123"/>
        <v>6</v>
      </c>
      <c r="D3917" s="195">
        <v>56.1</v>
      </c>
      <c r="E3917" s="705">
        <f t="shared" si="124"/>
        <v>13.388888888888889</v>
      </c>
    </row>
    <row r="3918" spans="2:5">
      <c r="B3918" s="943">
        <v>45085</v>
      </c>
      <c r="C3918" s="195">
        <f t="shared" si="123"/>
        <v>6</v>
      </c>
      <c r="D3918" s="195">
        <v>55.9</v>
      </c>
      <c r="E3918" s="705">
        <f t="shared" si="124"/>
        <v>13.277777777777777</v>
      </c>
    </row>
    <row r="3919" spans="2:5">
      <c r="B3919" s="943">
        <v>45085</v>
      </c>
      <c r="C3919" s="195">
        <f t="shared" si="123"/>
        <v>6</v>
      </c>
      <c r="D3919" s="195">
        <v>56.1</v>
      </c>
      <c r="E3919" s="705">
        <f t="shared" si="124"/>
        <v>13.388888888888889</v>
      </c>
    </row>
    <row r="3920" spans="2:5">
      <c r="B3920" s="943">
        <v>45085</v>
      </c>
      <c r="C3920" s="195">
        <f t="shared" si="123"/>
        <v>6</v>
      </c>
      <c r="D3920" s="195">
        <v>56.3</v>
      </c>
      <c r="E3920" s="705">
        <f t="shared" si="124"/>
        <v>13.499999999999998</v>
      </c>
    </row>
    <row r="3921" spans="2:5">
      <c r="B3921" s="943">
        <v>45086</v>
      </c>
      <c r="C3921" s="195">
        <f t="shared" si="123"/>
        <v>6</v>
      </c>
      <c r="D3921" s="195">
        <v>56.7</v>
      </c>
      <c r="E3921" s="705">
        <f t="shared" si="124"/>
        <v>13.722222222222223</v>
      </c>
    </row>
    <row r="3922" spans="2:5">
      <c r="B3922" s="943">
        <v>45086</v>
      </c>
      <c r="C3922" s="195">
        <f t="shared" si="123"/>
        <v>6</v>
      </c>
      <c r="D3922" s="195">
        <v>57.4</v>
      </c>
      <c r="E3922" s="705">
        <f t="shared" si="124"/>
        <v>14.111111111111111</v>
      </c>
    </row>
    <row r="3923" spans="2:5">
      <c r="B3923" s="943">
        <v>45086</v>
      </c>
      <c r="C3923" s="195">
        <f t="shared" si="123"/>
        <v>6</v>
      </c>
      <c r="D3923" s="195">
        <v>57.9</v>
      </c>
      <c r="E3923" s="705">
        <f t="shared" si="124"/>
        <v>14.388888888888888</v>
      </c>
    </row>
    <row r="3924" spans="2:5">
      <c r="B3924" s="943">
        <v>45086</v>
      </c>
      <c r="C3924" s="195">
        <f t="shared" si="123"/>
        <v>6</v>
      </c>
      <c r="D3924" s="195">
        <v>58.5</v>
      </c>
      <c r="E3924" s="705">
        <f t="shared" si="124"/>
        <v>14.722222222222221</v>
      </c>
    </row>
    <row r="3925" spans="2:5">
      <c r="B3925" s="943">
        <v>45086</v>
      </c>
      <c r="C3925" s="195">
        <f t="shared" si="123"/>
        <v>6</v>
      </c>
      <c r="D3925" s="195">
        <v>58.6</v>
      </c>
      <c r="E3925" s="705">
        <f t="shared" si="124"/>
        <v>14.777777777777779</v>
      </c>
    </row>
    <row r="3926" spans="2:5">
      <c r="B3926" s="943">
        <v>45086</v>
      </c>
      <c r="C3926" s="195">
        <f t="shared" si="123"/>
        <v>6</v>
      </c>
      <c r="D3926" s="195">
        <v>58.1</v>
      </c>
      <c r="E3926" s="705">
        <f t="shared" si="124"/>
        <v>14.5</v>
      </c>
    </row>
    <row r="3927" spans="2:5">
      <c r="B3927" s="943">
        <v>45086</v>
      </c>
      <c r="C3927" s="195">
        <f t="shared" si="123"/>
        <v>6</v>
      </c>
      <c r="D3927" s="195">
        <v>57.4</v>
      </c>
      <c r="E3927" s="705">
        <f t="shared" si="124"/>
        <v>14.111111111111111</v>
      </c>
    </row>
    <row r="3928" spans="2:5">
      <c r="B3928" s="943">
        <v>45086</v>
      </c>
      <c r="C3928" s="195">
        <f t="shared" si="123"/>
        <v>6</v>
      </c>
      <c r="D3928" s="195">
        <v>56.5</v>
      </c>
      <c r="E3928" s="705">
        <f t="shared" si="124"/>
        <v>13.611111111111111</v>
      </c>
    </row>
    <row r="3929" spans="2:5">
      <c r="B3929" s="943">
        <v>45086</v>
      </c>
      <c r="C3929" s="195">
        <f t="shared" si="123"/>
        <v>6</v>
      </c>
      <c r="D3929" s="195">
        <v>56.1</v>
      </c>
      <c r="E3929" s="705">
        <f t="shared" si="124"/>
        <v>13.388888888888889</v>
      </c>
    </row>
    <row r="3930" spans="2:5">
      <c r="B3930" s="943">
        <v>45086</v>
      </c>
      <c r="C3930" s="195">
        <f t="shared" si="123"/>
        <v>6</v>
      </c>
      <c r="D3930" s="195">
        <v>55.8</v>
      </c>
      <c r="E3930" s="705">
        <f t="shared" si="124"/>
        <v>13.22222222222222</v>
      </c>
    </row>
    <row r="3931" spans="2:5">
      <c r="B3931" s="943">
        <v>45086</v>
      </c>
      <c r="C3931" s="195">
        <f t="shared" si="123"/>
        <v>6</v>
      </c>
      <c r="D3931" s="195">
        <v>55.8</v>
      </c>
      <c r="E3931" s="705">
        <f t="shared" si="124"/>
        <v>13.22222222222222</v>
      </c>
    </row>
    <row r="3932" spans="2:5">
      <c r="B3932" s="943">
        <v>45086</v>
      </c>
      <c r="C3932" s="195">
        <f t="shared" si="123"/>
        <v>6</v>
      </c>
      <c r="D3932" s="195">
        <v>55.9</v>
      </c>
      <c r="E3932" s="705">
        <f t="shared" si="124"/>
        <v>13.277777777777777</v>
      </c>
    </row>
    <row r="3933" spans="2:5">
      <c r="B3933" s="943">
        <v>45086</v>
      </c>
      <c r="C3933" s="195">
        <f t="shared" si="123"/>
        <v>6</v>
      </c>
      <c r="D3933" s="195">
        <v>56.1</v>
      </c>
      <c r="E3933" s="705">
        <f t="shared" si="124"/>
        <v>13.388888888888889</v>
      </c>
    </row>
    <row r="3934" spans="2:5">
      <c r="B3934" s="943">
        <v>45086</v>
      </c>
      <c r="C3934" s="195">
        <f t="shared" si="123"/>
        <v>6</v>
      </c>
      <c r="D3934" s="195">
        <v>56.8</v>
      </c>
      <c r="E3934" s="705">
        <f t="shared" si="124"/>
        <v>13.777777777777775</v>
      </c>
    </row>
    <row r="3935" spans="2:5">
      <c r="B3935" s="943">
        <v>45086</v>
      </c>
      <c r="C3935" s="195">
        <f t="shared" si="123"/>
        <v>6</v>
      </c>
      <c r="D3935" s="195">
        <v>57.6</v>
      </c>
      <c r="E3935" s="705">
        <f t="shared" si="124"/>
        <v>14.222222222222223</v>
      </c>
    </row>
    <row r="3936" spans="2:5">
      <c r="B3936" s="943">
        <v>45086</v>
      </c>
      <c r="C3936" s="195">
        <f t="shared" si="123"/>
        <v>6</v>
      </c>
      <c r="D3936" s="195">
        <v>58.1</v>
      </c>
      <c r="E3936" s="705">
        <f t="shared" si="124"/>
        <v>14.5</v>
      </c>
    </row>
    <row r="3937" spans="2:5">
      <c r="B3937" s="943">
        <v>45086</v>
      </c>
      <c r="C3937" s="195">
        <f t="shared" si="123"/>
        <v>6</v>
      </c>
      <c r="D3937" s="195">
        <v>58.6</v>
      </c>
      <c r="E3937" s="705">
        <f t="shared" si="124"/>
        <v>14.777777777777779</v>
      </c>
    </row>
    <row r="3938" spans="2:5">
      <c r="B3938" s="943">
        <v>45086</v>
      </c>
      <c r="C3938" s="195">
        <f t="shared" si="123"/>
        <v>6</v>
      </c>
      <c r="D3938" s="195" t="s">
        <v>1441</v>
      </c>
      <c r="E3938" s="705">
        <f t="shared" si="124"/>
        <v>15</v>
      </c>
    </row>
    <row r="3939" spans="2:5">
      <c r="B3939" s="943">
        <v>45086</v>
      </c>
      <c r="C3939" s="195">
        <f t="shared" si="123"/>
        <v>6</v>
      </c>
      <c r="D3939" s="195">
        <v>58.5</v>
      </c>
      <c r="E3939" s="705">
        <f t="shared" si="124"/>
        <v>14.722222222222221</v>
      </c>
    </row>
    <row r="3940" spans="2:5">
      <c r="B3940" s="943">
        <v>45086</v>
      </c>
      <c r="C3940" s="195">
        <f t="shared" si="123"/>
        <v>6</v>
      </c>
      <c r="D3940" s="195">
        <v>57.6</v>
      </c>
      <c r="E3940" s="705">
        <f t="shared" si="124"/>
        <v>14.222222222222223</v>
      </c>
    </row>
    <row r="3941" spans="2:5">
      <c r="B3941" s="943">
        <v>45086</v>
      </c>
      <c r="C3941" s="195">
        <f t="shared" si="123"/>
        <v>6</v>
      </c>
      <c r="D3941" s="195">
        <v>56.8</v>
      </c>
      <c r="E3941" s="705">
        <f t="shared" si="124"/>
        <v>13.777777777777775</v>
      </c>
    </row>
    <row r="3942" spans="2:5">
      <c r="B3942" s="943">
        <v>45086</v>
      </c>
      <c r="C3942" s="195">
        <f t="shared" si="123"/>
        <v>6</v>
      </c>
      <c r="D3942" s="195">
        <v>56.5</v>
      </c>
      <c r="E3942" s="705">
        <f t="shared" si="124"/>
        <v>13.611111111111111</v>
      </c>
    </row>
    <row r="3943" spans="2:5">
      <c r="B3943" s="943">
        <v>45086</v>
      </c>
      <c r="C3943" s="195">
        <f t="shared" si="123"/>
        <v>6</v>
      </c>
      <c r="D3943" s="195">
        <v>56.5</v>
      </c>
      <c r="E3943" s="705">
        <f t="shared" si="124"/>
        <v>13.611111111111111</v>
      </c>
    </row>
    <row r="3944" spans="2:5">
      <c r="B3944" s="943">
        <v>45086</v>
      </c>
      <c r="C3944" s="195">
        <f t="shared" si="123"/>
        <v>6</v>
      </c>
      <c r="D3944" s="195">
        <v>56.5</v>
      </c>
      <c r="E3944" s="705">
        <f t="shared" si="124"/>
        <v>13.611111111111111</v>
      </c>
    </row>
    <row r="3945" spans="2:5">
      <c r="B3945" s="943">
        <v>45087</v>
      </c>
      <c r="C3945" s="195">
        <f t="shared" si="123"/>
        <v>6</v>
      </c>
      <c r="D3945" s="195">
        <v>56.7</v>
      </c>
      <c r="E3945" s="705">
        <f t="shared" si="124"/>
        <v>13.722222222222223</v>
      </c>
    </row>
    <row r="3946" spans="2:5">
      <c r="B3946" s="943">
        <v>45087</v>
      </c>
      <c r="C3946" s="195">
        <f t="shared" si="123"/>
        <v>6</v>
      </c>
      <c r="D3946" s="195">
        <v>56.8</v>
      </c>
      <c r="E3946" s="705">
        <f t="shared" si="124"/>
        <v>13.777777777777775</v>
      </c>
    </row>
    <row r="3947" spans="2:5">
      <c r="B3947" s="943">
        <v>45087</v>
      </c>
      <c r="C3947" s="195">
        <f t="shared" si="123"/>
        <v>6</v>
      </c>
      <c r="D3947" s="195">
        <v>57.6</v>
      </c>
      <c r="E3947" s="705">
        <f t="shared" si="124"/>
        <v>14.222222222222223</v>
      </c>
    </row>
    <row r="3948" spans="2:5">
      <c r="B3948" s="943">
        <v>45087</v>
      </c>
      <c r="C3948" s="195">
        <f t="shared" si="123"/>
        <v>6</v>
      </c>
      <c r="D3948" s="195">
        <v>58.1</v>
      </c>
      <c r="E3948" s="705">
        <f t="shared" si="124"/>
        <v>14.5</v>
      </c>
    </row>
    <row r="3949" spans="2:5">
      <c r="B3949" s="943">
        <v>45087</v>
      </c>
      <c r="C3949" s="195">
        <f t="shared" si="123"/>
        <v>6</v>
      </c>
      <c r="D3949" s="195">
        <v>58.6</v>
      </c>
      <c r="E3949" s="705">
        <f t="shared" si="124"/>
        <v>14.777777777777779</v>
      </c>
    </row>
    <row r="3950" spans="2:5">
      <c r="B3950" s="943">
        <v>45087</v>
      </c>
      <c r="C3950" s="195">
        <f t="shared" si="123"/>
        <v>6</v>
      </c>
      <c r="D3950" s="195">
        <v>58.8</v>
      </c>
      <c r="E3950" s="705">
        <f t="shared" si="124"/>
        <v>14.888888888888888</v>
      </c>
    </row>
    <row r="3951" spans="2:5">
      <c r="B3951" s="943">
        <v>45087</v>
      </c>
      <c r="C3951" s="195">
        <f t="shared" si="123"/>
        <v>6</v>
      </c>
      <c r="D3951" s="195">
        <v>58.5</v>
      </c>
      <c r="E3951" s="705">
        <f t="shared" si="124"/>
        <v>14.722222222222221</v>
      </c>
    </row>
    <row r="3952" spans="2:5">
      <c r="B3952" s="943">
        <v>45087</v>
      </c>
      <c r="C3952" s="195">
        <f t="shared" si="123"/>
        <v>6</v>
      </c>
      <c r="D3952" s="195">
        <v>57.7</v>
      </c>
      <c r="E3952" s="705">
        <f t="shared" si="124"/>
        <v>14.277777777777779</v>
      </c>
    </row>
    <row r="3953" spans="2:5">
      <c r="B3953" s="943">
        <v>45087</v>
      </c>
      <c r="C3953" s="195">
        <f t="shared" si="123"/>
        <v>6</v>
      </c>
      <c r="D3953" s="195" t="s">
        <v>1440</v>
      </c>
      <c r="E3953" s="705">
        <f t="shared" si="124"/>
        <v>13.888888888888889</v>
      </c>
    </row>
    <row r="3954" spans="2:5">
      <c r="B3954" s="943">
        <v>45087</v>
      </c>
      <c r="C3954" s="195">
        <f t="shared" si="123"/>
        <v>6</v>
      </c>
      <c r="D3954" s="195">
        <v>56.5</v>
      </c>
      <c r="E3954" s="705">
        <f t="shared" si="124"/>
        <v>13.611111111111111</v>
      </c>
    </row>
    <row r="3955" spans="2:5">
      <c r="B3955" s="943">
        <v>45087</v>
      </c>
      <c r="C3955" s="195">
        <f t="shared" si="123"/>
        <v>6</v>
      </c>
      <c r="D3955" s="195">
        <v>56.3</v>
      </c>
      <c r="E3955" s="705">
        <f t="shared" si="124"/>
        <v>13.499999999999998</v>
      </c>
    </row>
    <row r="3956" spans="2:5">
      <c r="B3956" s="943">
        <v>45087</v>
      </c>
      <c r="C3956" s="195">
        <f t="shared" si="123"/>
        <v>6</v>
      </c>
      <c r="D3956" s="195">
        <v>56.3</v>
      </c>
      <c r="E3956" s="705">
        <f t="shared" si="124"/>
        <v>13.499999999999998</v>
      </c>
    </row>
    <row r="3957" spans="2:5">
      <c r="B3957" s="943">
        <v>45087</v>
      </c>
      <c r="C3957" s="195">
        <f t="shared" si="123"/>
        <v>6</v>
      </c>
      <c r="D3957" s="195">
        <v>56.3</v>
      </c>
      <c r="E3957" s="705">
        <f t="shared" si="124"/>
        <v>13.499999999999998</v>
      </c>
    </row>
    <row r="3958" spans="2:5">
      <c r="B3958" s="943">
        <v>45087</v>
      </c>
      <c r="C3958" s="195">
        <f t="shared" si="123"/>
        <v>6</v>
      </c>
      <c r="D3958" s="195">
        <v>56.7</v>
      </c>
      <c r="E3958" s="705">
        <f t="shared" si="124"/>
        <v>13.722222222222223</v>
      </c>
    </row>
    <row r="3959" spans="2:5">
      <c r="B3959" s="943">
        <v>45087</v>
      </c>
      <c r="C3959" s="195">
        <f t="shared" si="123"/>
        <v>6</v>
      </c>
      <c r="D3959" s="195">
        <v>57.4</v>
      </c>
      <c r="E3959" s="705">
        <f t="shared" si="124"/>
        <v>14.111111111111111</v>
      </c>
    </row>
    <row r="3960" spans="2:5">
      <c r="B3960" s="943">
        <v>45087</v>
      </c>
      <c r="C3960" s="195">
        <f t="shared" si="123"/>
        <v>6</v>
      </c>
      <c r="D3960" s="195">
        <v>57.9</v>
      </c>
      <c r="E3960" s="705">
        <f t="shared" si="124"/>
        <v>14.388888888888888</v>
      </c>
    </row>
    <row r="3961" spans="2:5">
      <c r="B3961" s="943">
        <v>45087</v>
      </c>
      <c r="C3961" s="195">
        <f t="shared" si="123"/>
        <v>6</v>
      </c>
      <c r="D3961" s="195">
        <v>58.6</v>
      </c>
      <c r="E3961" s="705">
        <f t="shared" si="124"/>
        <v>14.777777777777779</v>
      </c>
    </row>
    <row r="3962" spans="2:5">
      <c r="B3962" s="943">
        <v>45087</v>
      </c>
      <c r="C3962" s="195">
        <f t="shared" si="123"/>
        <v>6</v>
      </c>
      <c r="D3962" s="195">
        <v>59.2</v>
      </c>
      <c r="E3962" s="705">
        <f t="shared" si="124"/>
        <v>15.111111111111112</v>
      </c>
    </row>
    <row r="3963" spans="2:5">
      <c r="B3963" s="943">
        <v>45087</v>
      </c>
      <c r="C3963" s="195">
        <f t="shared" si="123"/>
        <v>6</v>
      </c>
      <c r="D3963" s="195">
        <v>59.2</v>
      </c>
      <c r="E3963" s="705">
        <f t="shared" si="124"/>
        <v>15.111111111111112</v>
      </c>
    </row>
    <row r="3964" spans="2:5">
      <c r="B3964" s="943">
        <v>45087</v>
      </c>
      <c r="C3964" s="195">
        <f t="shared" si="123"/>
        <v>6</v>
      </c>
      <c r="D3964" s="195">
        <v>58.8</v>
      </c>
      <c r="E3964" s="705">
        <f t="shared" si="124"/>
        <v>14.888888888888888</v>
      </c>
    </row>
    <row r="3965" spans="2:5">
      <c r="B3965" s="943">
        <v>45087</v>
      </c>
      <c r="C3965" s="195">
        <f t="shared" si="123"/>
        <v>6</v>
      </c>
      <c r="D3965" s="195">
        <v>58.1</v>
      </c>
      <c r="E3965" s="705">
        <f t="shared" si="124"/>
        <v>14.5</v>
      </c>
    </row>
    <row r="3966" spans="2:5">
      <c r="B3966" s="943">
        <v>45087</v>
      </c>
      <c r="C3966" s="195">
        <f t="shared" si="123"/>
        <v>6</v>
      </c>
      <c r="D3966" s="195" t="s">
        <v>1440</v>
      </c>
      <c r="E3966" s="705">
        <f t="shared" si="124"/>
        <v>13.888888888888889</v>
      </c>
    </row>
    <row r="3967" spans="2:5">
      <c r="B3967" s="943">
        <v>45087</v>
      </c>
      <c r="C3967" s="195">
        <f t="shared" si="123"/>
        <v>6</v>
      </c>
      <c r="D3967" s="195">
        <v>56.8</v>
      </c>
      <c r="E3967" s="705">
        <f t="shared" si="124"/>
        <v>13.777777777777775</v>
      </c>
    </row>
    <row r="3968" spans="2:5">
      <c r="B3968" s="943">
        <v>45087</v>
      </c>
      <c r="C3968" s="195">
        <f t="shared" si="123"/>
        <v>6</v>
      </c>
      <c r="D3968" s="195">
        <v>56.7</v>
      </c>
      <c r="E3968" s="705">
        <f t="shared" si="124"/>
        <v>13.722222222222223</v>
      </c>
    </row>
    <row r="3969" spans="2:5">
      <c r="B3969" s="943">
        <v>45088</v>
      </c>
      <c r="C3969" s="195">
        <f t="shared" si="123"/>
        <v>6</v>
      </c>
      <c r="D3969" s="195">
        <v>56.7</v>
      </c>
      <c r="E3969" s="705">
        <f t="shared" si="124"/>
        <v>13.722222222222223</v>
      </c>
    </row>
    <row r="3970" spans="2:5">
      <c r="B3970" s="943">
        <v>45088</v>
      </c>
      <c r="C3970" s="195">
        <f t="shared" si="123"/>
        <v>6</v>
      </c>
      <c r="D3970" s="195">
        <v>56.8</v>
      </c>
      <c r="E3970" s="705">
        <f t="shared" si="124"/>
        <v>13.777777777777775</v>
      </c>
    </row>
    <row r="3971" spans="2:5">
      <c r="B3971" s="943">
        <v>45088</v>
      </c>
      <c r="C3971" s="195">
        <f t="shared" si="123"/>
        <v>6</v>
      </c>
      <c r="D3971" s="195">
        <v>57.2</v>
      </c>
      <c r="E3971" s="705">
        <f t="shared" si="124"/>
        <v>14.000000000000002</v>
      </c>
    </row>
    <row r="3972" spans="2:5">
      <c r="B3972" s="943">
        <v>45088</v>
      </c>
      <c r="C3972" s="195">
        <f t="shared" si="123"/>
        <v>6</v>
      </c>
      <c r="D3972" s="195">
        <v>58.1</v>
      </c>
      <c r="E3972" s="705">
        <f t="shared" si="124"/>
        <v>14.5</v>
      </c>
    </row>
    <row r="3973" spans="2:5">
      <c r="B3973" s="943">
        <v>45088</v>
      </c>
      <c r="C3973" s="195">
        <f t="shared" si="123"/>
        <v>6</v>
      </c>
      <c r="D3973" s="195">
        <v>58.6</v>
      </c>
      <c r="E3973" s="705">
        <f t="shared" si="124"/>
        <v>14.777777777777779</v>
      </c>
    </row>
    <row r="3974" spans="2:5">
      <c r="B3974" s="943">
        <v>45088</v>
      </c>
      <c r="C3974" s="195">
        <f t="shared" si="123"/>
        <v>6</v>
      </c>
      <c r="D3974" s="195">
        <v>59.2</v>
      </c>
      <c r="E3974" s="705">
        <f t="shared" si="124"/>
        <v>15.111111111111112</v>
      </c>
    </row>
    <row r="3975" spans="2:5">
      <c r="B3975" s="943">
        <v>45088</v>
      </c>
      <c r="C3975" s="195">
        <f t="shared" si="123"/>
        <v>6</v>
      </c>
      <c r="D3975" s="195">
        <v>59.4</v>
      </c>
      <c r="E3975" s="705">
        <f t="shared" si="124"/>
        <v>15.222222222222221</v>
      </c>
    </row>
    <row r="3976" spans="2:5">
      <c r="B3976" s="943">
        <v>45088</v>
      </c>
      <c r="C3976" s="195">
        <f t="shared" si="123"/>
        <v>6</v>
      </c>
      <c r="D3976" s="195">
        <v>59.2</v>
      </c>
      <c r="E3976" s="705">
        <f t="shared" si="124"/>
        <v>15.111111111111112</v>
      </c>
    </row>
    <row r="3977" spans="2:5">
      <c r="B3977" s="943">
        <v>45088</v>
      </c>
      <c r="C3977" s="195">
        <f t="shared" si="123"/>
        <v>6</v>
      </c>
      <c r="D3977" s="195">
        <v>58.3</v>
      </c>
      <c r="E3977" s="705">
        <f t="shared" si="124"/>
        <v>14.611111111111109</v>
      </c>
    </row>
    <row r="3978" spans="2:5">
      <c r="B3978" s="943">
        <v>45088</v>
      </c>
      <c r="C3978" s="195">
        <f t="shared" ref="C3978:C4041" si="125">MONTH(B3978)</f>
        <v>6</v>
      </c>
      <c r="D3978" s="195">
        <v>57.4</v>
      </c>
      <c r="E3978" s="705">
        <f t="shared" ref="E3978:E4041" si="126">CONVERT(D3978,"F","C")</f>
        <v>14.111111111111111</v>
      </c>
    </row>
    <row r="3979" spans="2:5">
      <c r="B3979" s="943">
        <v>45088</v>
      </c>
      <c r="C3979" s="195">
        <f t="shared" si="125"/>
        <v>6</v>
      </c>
      <c r="D3979" s="195">
        <v>56.3</v>
      </c>
      <c r="E3979" s="705">
        <f t="shared" si="126"/>
        <v>13.499999999999998</v>
      </c>
    </row>
    <row r="3980" spans="2:5">
      <c r="B3980" s="943">
        <v>45088</v>
      </c>
      <c r="C3980" s="195">
        <f t="shared" si="125"/>
        <v>6</v>
      </c>
      <c r="D3980" s="195">
        <v>56.1</v>
      </c>
      <c r="E3980" s="705">
        <f t="shared" si="126"/>
        <v>13.388888888888889</v>
      </c>
    </row>
    <row r="3981" spans="2:5">
      <c r="B3981" s="943">
        <v>45088</v>
      </c>
      <c r="C3981" s="195">
        <f t="shared" si="125"/>
        <v>6</v>
      </c>
      <c r="D3981" s="195">
        <v>55.9</v>
      </c>
      <c r="E3981" s="705">
        <f t="shared" si="126"/>
        <v>13.277777777777777</v>
      </c>
    </row>
    <row r="3982" spans="2:5">
      <c r="B3982" s="943">
        <v>45088</v>
      </c>
      <c r="C3982" s="195">
        <f t="shared" si="125"/>
        <v>6</v>
      </c>
      <c r="D3982" s="195">
        <v>56.1</v>
      </c>
      <c r="E3982" s="705">
        <f t="shared" si="126"/>
        <v>13.388888888888889</v>
      </c>
    </row>
    <row r="3983" spans="2:5">
      <c r="B3983" s="943">
        <v>45088</v>
      </c>
      <c r="C3983" s="195">
        <f t="shared" si="125"/>
        <v>6</v>
      </c>
      <c r="D3983" s="195">
        <v>56.8</v>
      </c>
      <c r="E3983" s="705">
        <f t="shared" si="126"/>
        <v>13.777777777777775</v>
      </c>
    </row>
    <row r="3984" spans="2:5">
      <c r="B3984" s="943">
        <v>45088</v>
      </c>
      <c r="C3984" s="195">
        <f t="shared" si="125"/>
        <v>6</v>
      </c>
      <c r="D3984" s="195">
        <v>57.7</v>
      </c>
      <c r="E3984" s="705">
        <f t="shared" si="126"/>
        <v>14.277777777777779</v>
      </c>
    </row>
    <row r="3985" spans="2:5">
      <c r="B3985" s="943">
        <v>45088</v>
      </c>
      <c r="C3985" s="195">
        <f t="shared" si="125"/>
        <v>6</v>
      </c>
      <c r="D3985" s="195">
        <v>58.6</v>
      </c>
      <c r="E3985" s="705">
        <f t="shared" si="126"/>
        <v>14.777777777777779</v>
      </c>
    </row>
    <row r="3986" spans="2:5">
      <c r="B3986" s="943">
        <v>45088</v>
      </c>
      <c r="C3986" s="195">
        <f t="shared" si="125"/>
        <v>6</v>
      </c>
      <c r="D3986" s="195">
        <v>59.5</v>
      </c>
      <c r="E3986" s="705">
        <f t="shared" si="126"/>
        <v>15.277777777777777</v>
      </c>
    </row>
    <row r="3987" spans="2:5">
      <c r="B3987" s="943">
        <v>45088</v>
      </c>
      <c r="C3987" s="195">
        <f t="shared" si="125"/>
        <v>6</v>
      </c>
      <c r="D3987" s="195">
        <v>60.1</v>
      </c>
      <c r="E3987" s="705">
        <f t="shared" si="126"/>
        <v>15.611111111111111</v>
      </c>
    </row>
    <row r="3988" spans="2:5">
      <c r="B3988" s="943">
        <v>45088</v>
      </c>
      <c r="C3988" s="195">
        <f t="shared" si="125"/>
        <v>6</v>
      </c>
      <c r="D3988" s="195">
        <v>60.4</v>
      </c>
      <c r="E3988" s="705">
        <f t="shared" si="126"/>
        <v>15.777777777777777</v>
      </c>
    </row>
    <row r="3989" spans="2:5">
      <c r="B3989" s="943">
        <v>45088</v>
      </c>
      <c r="C3989" s="195">
        <f t="shared" si="125"/>
        <v>6</v>
      </c>
      <c r="D3989" s="195">
        <v>59.2</v>
      </c>
      <c r="E3989" s="705">
        <f t="shared" si="126"/>
        <v>15.111111111111112</v>
      </c>
    </row>
    <row r="3990" spans="2:5">
      <c r="B3990" s="943">
        <v>45088</v>
      </c>
      <c r="C3990" s="195">
        <f t="shared" si="125"/>
        <v>6</v>
      </c>
      <c r="D3990" s="195">
        <v>58.3</v>
      </c>
      <c r="E3990" s="705">
        <f t="shared" si="126"/>
        <v>14.611111111111109</v>
      </c>
    </row>
    <row r="3991" spans="2:5">
      <c r="B3991" s="943">
        <v>45088</v>
      </c>
      <c r="C3991" s="195">
        <f t="shared" si="125"/>
        <v>6</v>
      </c>
      <c r="D3991" s="195" t="s">
        <v>1440</v>
      </c>
      <c r="E3991" s="705">
        <f t="shared" si="126"/>
        <v>13.888888888888889</v>
      </c>
    </row>
    <row r="3992" spans="2:5">
      <c r="B3992" s="943">
        <v>45088</v>
      </c>
      <c r="C3992" s="195">
        <f t="shared" si="125"/>
        <v>6</v>
      </c>
      <c r="D3992" s="195">
        <v>56.3</v>
      </c>
      <c r="E3992" s="705">
        <f t="shared" si="126"/>
        <v>13.499999999999998</v>
      </c>
    </row>
    <row r="3993" spans="2:5">
      <c r="B3993" s="943">
        <v>45089</v>
      </c>
      <c r="C3993" s="195">
        <f t="shared" si="125"/>
        <v>6</v>
      </c>
      <c r="D3993" s="195">
        <v>56.3</v>
      </c>
      <c r="E3993" s="705">
        <f t="shared" si="126"/>
        <v>13.499999999999998</v>
      </c>
    </row>
    <row r="3994" spans="2:5">
      <c r="B3994" s="943">
        <v>45089</v>
      </c>
      <c r="C3994" s="195">
        <f t="shared" si="125"/>
        <v>6</v>
      </c>
      <c r="D3994" s="195">
        <v>56.7</v>
      </c>
      <c r="E3994" s="705">
        <f t="shared" si="126"/>
        <v>13.722222222222223</v>
      </c>
    </row>
    <row r="3995" spans="2:5">
      <c r="B3995" s="943">
        <v>45089</v>
      </c>
      <c r="C3995" s="195">
        <f t="shared" si="125"/>
        <v>6</v>
      </c>
      <c r="D3995" s="195">
        <v>56.8</v>
      </c>
      <c r="E3995" s="705">
        <f t="shared" si="126"/>
        <v>13.777777777777775</v>
      </c>
    </row>
    <row r="3996" spans="2:5">
      <c r="B3996" s="943">
        <v>45089</v>
      </c>
      <c r="C3996" s="195">
        <f t="shared" si="125"/>
        <v>6</v>
      </c>
      <c r="D3996" s="195">
        <v>57.2</v>
      </c>
      <c r="E3996" s="705">
        <f t="shared" si="126"/>
        <v>14.000000000000002</v>
      </c>
    </row>
    <row r="3997" spans="2:5">
      <c r="B3997" s="943">
        <v>45089</v>
      </c>
      <c r="C3997" s="195">
        <f t="shared" si="125"/>
        <v>6</v>
      </c>
      <c r="D3997" s="195">
        <v>58.3</v>
      </c>
      <c r="E3997" s="705">
        <f t="shared" si="126"/>
        <v>14.611111111111109</v>
      </c>
    </row>
    <row r="3998" spans="2:5">
      <c r="B3998" s="943">
        <v>45089</v>
      </c>
      <c r="C3998" s="195">
        <f t="shared" si="125"/>
        <v>6</v>
      </c>
      <c r="D3998" s="195">
        <v>59.2</v>
      </c>
      <c r="E3998" s="705">
        <f t="shared" si="126"/>
        <v>15.111111111111112</v>
      </c>
    </row>
    <row r="3999" spans="2:5">
      <c r="B3999" s="943">
        <v>45089</v>
      </c>
      <c r="C3999" s="195">
        <f t="shared" si="125"/>
        <v>6</v>
      </c>
      <c r="D3999" s="195">
        <v>59.9</v>
      </c>
      <c r="E3999" s="705">
        <f t="shared" si="126"/>
        <v>15.499999999999998</v>
      </c>
    </row>
    <row r="4000" spans="2:5">
      <c r="B4000" s="943">
        <v>45089</v>
      </c>
      <c r="C4000" s="195">
        <f t="shared" si="125"/>
        <v>6</v>
      </c>
      <c r="D4000" s="195">
        <v>60.3</v>
      </c>
      <c r="E4000" s="705">
        <f t="shared" si="126"/>
        <v>15.72222222222222</v>
      </c>
    </row>
    <row r="4001" spans="2:5">
      <c r="B4001" s="943">
        <v>45089</v>
      </c>
      <c r="C4001" s="195">
        <f t="shared" si="125"/>
        <v>6</v>
      </c>
      <c r="D4001" s="195">
        <v>60.1</v>
      </c>
      <c r="E4001" s="705">
        <f t="shared" si="126"/>
        <v>15.611111111111111</v>
      </c>
    </row>
    <row r="4002" spans="2:5">
      <c r="B4002" s="943">
        <v>45089</v>
      </c>
      <c r="C4002" s="195">
        <f t="shared" si="125"/>
        <v>6</v>
      </c>
      <c r="D4002" s="195">
        <v>58.8</v>
      </c>
      <c r="E4002" s="705">
        <f t="shared" si="126"/>
        <v>14.888888888888888</v>
      </c>
    </row>
    <row r="4003" spans="2:5">
      <c r="B4003" s="943">
        <v>45089</v>
      </c>
      <c r="C4003" s="195">
        <f t="shared" si="125"/>
        <v>6</v>
      </c>
      <c r="D4003" s="195">
        <v>57.4</v>
      </c>
      <c r="E4003" s="705">
        <f t="shared" si="126"/>
        <v>14.111111111111111</v>
      </c>
    </row>
    <row r="4004" spans="2:5">
      <c r="B4004" s="943">
        <v>45089</v>
      </c>
      <c r="C4004" s="195">
        <f t="shared" si="125"/>
        <v>6</v>
      </c>
      <c r="D4004" s="195">
        <v>55.9</v>
      </c>
      <c r="E4004" s="705">
        <f t="shared" si="126"/>
        <v>13.277777777777777</v>
      </c>
    </row>
    <row r="4005" spans="2:5">
      <c r="B4005" s="943">
        <v>45089</v>
      </c>
      <c r="C4005" s="195">
        <f t="shared" si="125"/>
        <v>6</v>
      </c>
      <c r="D4005" s="195">
        <v>55.6</v>
      </c>
      <c r="E4005" s="705">
        <f t="shared" si="126"/>
        <v>13.111111111111111</v>
      </c>
    </row>
    <row r="4006" spans="2:5">
      <c r="B4006" s="943">
        <v>45089</v>
      </c>
      <c r="C4006" s="195">
        <f t="shared" si="125"/>
        <v>6</v>
      </c>
      <c r="D4006" s="195">
        <v>55.4</v>
      </c>
      <c r="E4006" s="705">
        <f t="shared" si="126"/>
        <v>12.999999999999998</v>
      </c>
    </row>
    <row r="4007" spans="2:5">
      <c r="B4007" s="943">
        <v>45089</v>
      </c>
      <c r="C4007" s="195">
        <f t="shared" si="125"/>
        <v>6</v>
      </c>
      <c r="D4007" s="195">
        <v>55.9</v>
      </c>
      <c r="E4007" s="705">
        <f t="shared" si="126"/>
        <v>13.277777777777777</v>
      </c>
    </row>
    <row r="4008" spans="2:5">
      <c r="B4008" s="943">
        <v>45089</v>
      </c>
      <c r="C4008" s="195">
        <f t="shared" si="125"/>
        <v>6</v>
      </c>
      <c r="D4008" s="195">
        <v>56.5</v>
      </c>
      <c r="E4008" s="705">
        <f t="shared" si="126"/>
        <v>13.611111111111111</v>
      </c>
    </row>
    <row r="4009" spans="2:5">
      <c r="B4009" s="943">
        <v>45089</v>
      </c>
      <c r="C4009" s="195">
        <f t="shared" si="125"/>
        <v>6</v>
      </c>
      <c r="D4009" s="195">
        <v>57.7</v>
      </c>
      <c r="E4009" s="705">
        <f t="shared" si="126"/>
        <v>14.277777777777779</v>
      </c>
    </row>
    <row r="4010" spans="2:5">
      <c r="B4010" s="943">
        <v>45089</v>
      </c>
      <c r="C4010" s="195">
        <f t="shared" si="125"/>
        <v>6</v>
      </c>
      <c r="D4010" s="195">
        <v>59.2</v>
      </c>
      <c r="E4010" s="705">
        <f t="shared" si="126"/>
        <v>15.111111111111112</v>
      </c>
    </row>
    <row r="4011" spans="2:5">
      <c r="B4011" s="943">
        <v>45089</v>
      </c>
      <c r="C4011" s="195">
        <f t="shared" si="125"/>
        <v>6</v>
      </c>
      <c r="D4011" s="195">
        <v>60.1</v>
      </c>
      <c r="E4011" s="705">
        <f t="shared" si="126"/>
        <v>15.611111111111111</v>
      </c>
    </row>
    <row r="4012" spans="2:5">
      <c r="B4012" s="943">
        <v>45089</v>
      </c>
      <c r="C4012" s="195">
        <f t="shared" si="125"/>
        <v>6</v>
      </c>
      <c r="D4012" s="195">
        <v>60.8</v>
      </c>
      <c r="E4012" s="705">
        <f t="shared" si="126"/>
        <v>15.999999999999998</v>
      </c>
    </row>
    <row r="4013" spans="2:5">
      <c r="B4013" s="943">
        <v>45089</v>
      </c>
      <c r="C4013" s="195">
        <f t="shared" si="125"/>
        <v>6</v>
      </c>
      <c r="D4013" s="195">
        <v>61.2</v>
      </c>
      <c r="E4013" s="705">
        <f t="shared" si="126"/>
        <v>16.222222222222225</v>
      </c>
    </row>
    <row r="4014" spans="2:5">
      <c r="B4014" s="943">
        <v>45089</v>
      </c>
      <c r="C4014" s="195">
        <f t="shared" si="125"/>
        <v>6</v>
      </c>
      <c r="D4014" s="195">
        <v>59.7</v>
      </c>
      <c r="E4014" s="705">
        <f t="shared" si="126"/>
        <v>15.388888888888889</v>
      </c>
    </row>
    <row r="4015" spans="2:5">
      <c r="B4015" s="943">
        <v>45089</v>
      </c>
      <c r="C4015" s="195">
        <f t="shared" si="125"/>
        <v>6</v>
      </c>
      <c r="D4015" s="195">
        <v>58.5</v>
      </c>
      <c r="E4015" s="705">
        <f t="shared" si="126"/>
        <v>14.722222222222221</v>
      </c>
    </row>
    <row r="4016" spans="2:5">
      <c r="B4016" s="943">
        <v>45089</v>
      </c>
      <c r="C4016" s="195">
        <f t="shared" si="125"/>
        <v>6</v>
      </c>
      <c r="D4016" s="195">
        <v>56.7</v>
      </c>
      <c r="E4016" s="705">
        <f t="shared" si="126"/>
        <v>13.722222222222223</v>
      </c>
    </row>
    <row r="4017" spans="2:5">
      <c r="B4017" s="943">
        <v>45090</v>
      </c>
      <c r="C4017" s="195">
        <f t="shared" si="125"/>
        <v>6</v>
      </c>
      <c r="D4017" s="195">
        <v>55.8</v>
      </c>
      <c r="E4017" s="705">
        <f t="shared" si="126"/>
        <v>13.22222222222222</v>
      </c>
    </row>
    <row r="4018" spans="2:5">
      <c r="B4018" s="943">
        <v>45090</v>
      </c>
      <c r="C4018" s="195">
        <f t="shared" si="125"/>
        <v>6</v>
      </c>
      <c r="D4018" s="195">
        <v>55.8</v>
      </c>
      <c r="E4018" s="705">
        <f t="shared" si="126"/>
        <v>13.22222222222222</v>
      </c>
    </row>
    <row r="4019" spans="2:5">
      <c r="B4019" s="943">
        <v>45090</v>
      </c>
      <c r="C4019" s="195">
        <f t="shared" si="125"/>
        <v>6</v>
      </c>
      <c r="D4019" s="195">
        <v>56.1</v>
      </c>
      <c r="E4019" s="705">
        <f t="shared" si="126"/>
        <v>13.388888888888889</v>
      </c>
    </row>
    <row r="4020" spans="2:5">
      <c r="B4020" s="943">
        <v>45090</v>
      </c>
      <c r="C4020" s="195">
        <f t="shared" si="125"/>
        <v>6</v>
      </c>
      <c r="D4020" s="195">
        <v>56.5</v>
      </c>
      <c r="E4020" s="705">
        <f t="shared" si="126"/>
        <v>13.611111111111111</v>
      </c>
    </row>
    <row r="4021" spans="2:5">
      <c r="B4021" s="943">
        <v>45090</v>
      </c>
      <c r="C4021" s="195">
        <f t="shared" si="125"/>
        <v>6</v>
      </c>
      <c r="D4021" s="195" t="s">
        <v>1440</v>
      </c>
      <c r="E4021" s="705">
        <f t="shared" si="126"/>
        <v>13.888888888888889</v>
      </c>
    </row>
    <row r="4022" spans="2:5">
      <c r="B4022" s="943">
        <v>45090</v>
      </c>
      <c r="C4022" s="195">
        <f t="shared" si="125"/>
        <v>6</v>
      </c>
      <c r="D4022" s="195">
        <v>58.3</v>
      </c>
      <c r="E4022" s="705">
        <f t="shared" si="126"/>
        <v>14.611111111111109</v>
      </c>
    </row>
    <row r="4023" spans="2:5">
      <c r="B4023" s="943">
        <v>45090</v>
      </c>
      <c r="C4023" s="195">
        <f t="shared" si="125"/>
        <v>6</v>
      </c>
      <c r="D4023" s="195">
        <v>59.4</v>
      </c>
      <c r="E4023" s="705">
        <f t="shared" si="126"/>
        <v>15.222222222222221</v>
      </c>
    </row>
    <row r="4024" spans="2:5">
      <c r="B4024" s="943">
        <v>45090</v>
      </c>
      <c r="C4024" s="195">
        <f t="shared" si="125"/>
        <v>6</v>
      </c>
      <c r="D4024" s="195">
        <v>60.4</v>
      </c>
      <c r="E4024" s="705">
        <f t="shared" si="126"/>
        <v>15.777777777777777</v>
      </c>
    </row>
    <row r="4025" spans="2:5">
      <c r="B4025" s="943">
        <v>45090</v>
      </c>
      <c r="C4025" s="195">
        <f t="shared" si="125"/>
        <v>6</v>
      </c>
      <c r="D4025" s="195" t="s">
        <v>1442</v>
      </c>
      <c r="E4025" s="705">
        <f t="shared" si="126"/>
        <v>16.111111111111111</v>
      </c>
    </row>
    <row r="4026" spans="2:5">
      <c r="B4026" s="943">
        <v>45090</v>
      </c>
      <c r="C4026" s="195">
        <f t="shared" si="125"/>
        <v>6</v>
      </c>
      <c r="D4026" s="195">
        <v>60.8</v>
      </c>
      <c r="E4026" s="705">
        <f t="shared" si="126"/>
        <v>15.999999999999998</v>
      </c>
    </row>
    <row r="4027" spans="2:5">
      <c r="B4027" s="943">
        <v>45090</v>
      </c>
      <c r="C4027" s="195">
        <f t="shared" si="125"/>
        <v>6</v>
      </c>
      <c r="D4027" s="195" t="s">
        <v>1441</v>
      </c>
      <c r="E4027" s="705">
        <f t="shared" si="126"/>
        <v>15</v>
      </c>
    </row>
    <row r="4028" spans="2:5">
      <c r="B4028" s="943">
        <v>45090</v>
      </c>
      <c r="C4028" s="195">
        <f t="shared" si="125"/>
        <v>6</v>
      </c>
      <c r="D4028" s="195">
        <v>58.3</v>
      </c>
      <c r="E4028" s="705">
        <f t="shared" si="126"/>
        <v>14.611111111111109</v>
      </c>
    </row>
    <row r="4029" spans="2:5">
      <c r="B4029" s="943">
        <v>45090</v>
      </c>
      <c r="C4029" s="195">
        <f t="shared" si="125"/>
        <v>6</v>
      </c>
      <c r="D4029" s="195">
        <v>57.2</v>
      </c>
      <c r="E4029" s="705">
        <f t="shared" si="126"/>
        <v>14.000000000000002</v>
      </c>
    </row>
    <row r="4030" spans="2:5">
      <c r="B4030" s="943">
        <v>45090</v>
      </c>
      <c r="C4030" s="195">
        <f t="shared" si="125"/>
        <v>6</v>
      </c>
      <c r="D4030" s="195">
        <v>56.5</v>
      </c>
      <c r="E4030" s="705">
        <f t="shared" si="126"/>
        <v>13.611111111111111</v>
      </c>
    </row>
    <row r="4031" spans="2:5">
      <c r="B4031" s="943">
        <v>45090</v>
      </c>
      <c r="C4031" s="195">
        <f t="shared" si="125"/>
        <v>6</v>
      </c>
      <c r="D4031" s="195">
        <v>56.3</v>
      </c>
      <c r="E4031" s="705">
        <f t="shared" si="126"/>
        <v>13.499999999999998</v>
      </c>
    </row>
    <row r="4032" spans="2:5">
      <c r="B4032" s="943">
        <v>45090</v>
      </c>
      <c r="C4032" s="195">
        <f t="shared" si="125"/>
        <v>6</v>
      </c>
      <c r="D4032" s="195">
        <v>56.8</v>
      </c>
      <c r="E4032" s="705">
        <f t="shared" si="126"/>
        <v>13.777777777777775</v>
      </c>
    </row>
    <row r="4033" spans="2:5">
      <c r="B4033" s="943">
        <v>45090</v>
      </c>
      <c r="C4033" s="195">
        <f t="shared" si="125"/>
        <v>6</v>
      </c>
      <c r="D4033" s="195" t="s">
        <v>1440</v>
      </c>
      <c r="E4033" s="705">
        <f t="shared" si="126"/>
        <v>13.888888888888889</v>
      </c>
    </row>
    <row r="4034" spans="2:5">
      <c r="B4034" s="943">
        <v>45090</v>
      </c>
      <c r="C4034" s="195">
        <f t="shared" si="125"/>
        <v>6</v>
      </c>
      <c r="D4034" s="195">
        <v>58.1</v>
      </c>
      <c r="E4034" s="705">
        <f t="shared" si="126"/>
        <v>14.5</v>
      </c>
    </row>
    <row r="4035" spans="2:5">
      <c r="B4035" s="943">
        <v>45090</v>
      </c>
      <c r="C4035" s="195">
        <f t="shared" si="125"/>
        <v>6</v>
      </c>
      <c r="D4035" s="195">
        <v>59.4</v>
      </c>
      <c r="E4035" s="705">
        <f t="shared" si="126"/>
        <v>15.222222222222221</v>
      </c>
    </row>
    <row r="4036" spans="2:5">
      <c r="B4036" s="943">
        <v>45090</v>
      </c>
      <c r="C4036" s="195">
        <f t="shared" si="125"/>
        <v>6</v>
      </c>
      <c r="D4036" s="195">
        <v>60.3</v>
      </c>
      <c r="E4036" s="705">
        <f t="shared" si="126"/>
        <v>15.72222222222222</v>
      </c>
    </row>
    <row r="4037" spans="2:5">
      <c r="B4037" s="943">
        <v>45090</v>
      </c>
      <c r="C4037" s="195">
        <f t="shared" si="125"/>
        <v>6</v>
      </c>
      <c r="D4037" s="195">
        <v>60.8</v>
      </c>
      <c r="E4037" s="705">
        <f t="shared" si="126"/>
        <v>15.999999999999998</v>
      </c>
    </row>
    <row r="4038" spans="2:5">
      <c r="B4038" s="943">
        <v>45090</v>
      </c>
      <c r="C4038" s="195">
        <f t="shared" si="125"/>
        <v>6</v>
      </c>
      <c r="D4038" s="195" t="s">
        <v>1442</v>
      </c>
      <c r="E4038" s="705">
        <f t="shared" si="126"/>
        <v>16.111111111111111</v>
      </c>
    </row>
    <row r="4039" spans="2:5">
      <c r="B4039" s="943">
        <v>45090</v>
      </c>
      <c r="C4039" s="195">
        <f t="shared" si="125"/>
        <v>6</v>
      </c>
      <c r="D4039" s="195">
        <v>59.5</v>
      </c>
      <c r="E4039" s="705">
        <f t="shared" si="126"/>
        <v>15.277777777777777</v>
      </c>
    </row>
    <row r="4040" spans="2:5">
      <c r="B4040" s="943">
        <v>45090</v>
      </c>
      <c r="C4040" s="195">
        <f t="shared" si="125"/>
        <v>6</v>
      </c>
      <c r="D4040" s="195">
        <v>58.8</v>
      </c>
      <c r="E4040" s="705">
        <f t="shared" si="126"/>
        <v>14.888888888888888</v>
      </c>
    </row>
    <row r="4041" spans="2:5">
      <c r="B4041" s="943">
        <v>45091</v>
      </c>
      <c r="C4041" s="195">
        <f t="shared" si="125"/>
        <v>6</v>
      </c>
      <c r="D4041" s="195">
        <v>57.7</v>
      </c>
      <c r="E4041" s="705">
        <f t="shared" si="126"/>
        <v>14.277777777777779</v>
      </c>
    </row>
    <row r="4042" spans="2:5">
      <c r="B4042" s="943">
        <v>45091</v>
      </c>
      <c r="C4042" s="195">
        <f t="shared" ref="C4042:C4105" si="127">MONTH(B4042)</f>
        <v>6</v>
      </c>
      <c r="D4042" s="195">
        <v>56.8</v>
      </c>
      <c r="E4042" s="705">
        <f t="shared" ref="E4042:E4105" si="128">CONVERT(D4042,"F","C")</f>
        <v>13.777777777777775</v>
      </c>
    </row>
    <row r="4043" spans="2:5">
      <c r="B4043" s="943">
        <v>45091</v>
      </c>
      <c r="C4043" s="195">
        <f t="shared" si="127"/>
        <v>6</v>
      </c>
      <c r="D4043" s="195">
        <v>56.5</v>
      </c>
      <c r="E4043" s="705">
        <f t="shared" si="128"/>
        <v>13.611111111111111</v>
      </c>
    </row>
    <row r="4044" spans="2:5">
      <c r="B4044" s="943">
        <v>45091</v>
      </c>
      <c r="C4044" s="195">
        <f t="shared" si="127"/>
        <v>6</v>
      </c>
      <c r="D4044" s="195">
        <v>56.3</v>
      </c>
      <c r="E4044" s="705">
        <f t="shared" si="128"/>
        <v>13.499999999999998</v>
      </c>
    </row>
    <row r="4045" spans="2:5">
      <c r="B4045" s="943">
        <v>45091</v>
      </c>
      <c r="C4045" s="195">
        <f t="shared" si="127"/>
        <v>6</v>
      </c>
      <c r="D4045" s="195">
        <v>56.7</v>
      </c>
      <c r="E4045" s="705">
        <f t="shared" si="128"/>
        <v>13.722222222222223</v>
      </c>
    </row>
    <row r="4046" spans="2:5">
      <c r="B4046" s="943">
        <v>45091</v>
      </c>
      <c r="C4046" s="195">
        <f t="shared" si="127"/>
        <v>6</v>
      </c>
      <c r="D4046" s="195">
        <v>57.6</v>
      </c>
      <c r="E4046" s="705">
        <f t="shared" si="128"/>
        <v>14.222222222222223</v>
      </c>
    </row>
    <row r="4047" spans="2:5">
      <c r="B4047" s="943">
        <v>45091</v>
      </c>
      <c r="C4047" s="195">
        <f t="shared" si="127"/>
        <v>6</v>
      </c>
      <c r="D4047" s="195" t="s">
        <v>1441</v>
      </c>
      <c r="E4047" s="705">
        <f t="shared" si="128"/>
        <v>15</v>
      </c>
    </row>
    <row r="4048" spans="2:5">
      <c r="B4048" s="943">
        <v>45091</v>
      </c>
      <c r="C4048" s="195">
        <f t="shared" si="127"/>
        <v>6</v>
      </c>
      <c r="D4048" s="195">
        <v>59.7</v>
      </c>
      <c r="E4048" s="705">
        <f t="shared" si="128"/>
        <v>15.388888888888889</v>
      </c>
    </row>
    <row r="4049" spans="2:5">
      <c r="B4049" s="943">
        <v>45091</v>
      </c>
      <c r="C4049" s="195">
        <f t="shared" si="127"/>
        <v>6</v>
      </c>
      <c r="D4049" s="195">
        <v>60.3</v>
      </c>
      <c r="E4049" s="705">
        <f t="shared" si="128"/>
        <v>15.72222222222222</v>
      </c>
    </row>
    <row r="4050" spans="2:5">
      <c r="B4050" s="943">
        <v>45091</v>
      </c>
      <c r="C4050" s="195">
        <f t="shared" si="127"/>
        <v>6</v>
      </c>
      <c r="D4050" s="195">
        <v>60.8</v>
      </c>
      <c r="E4050" s="705">
        <f t="shared" si="128"/>
        <v>15.999999999999998</v>
      </c>
    </row>
    <row r="4051" spans="2:5">
      <c r="B4051" s="943">
        <v>45091</v>
      </c>
      <c r="C4051" s="195">
        <f t="shared" si="127"/>
        <v>6</v>
      </c>
      <c r="D4051" s="195">
        <v>60.6</v>
      </c>
      <c r="E4051" s="705">
        <f t="shared" si="128"/>
        <v>15.888888888888889</v>
      </c>
    </row>
    <row r="4052" spans="2:5">
      <c r="B4052" s="943">
        <v>45091</v>
      </c>
      <c r="C4052" s="195">
        <f t="shared" si="127"/>
        <v>6</v>
      </c>
      <c r="D4052" s="195">
        <v>59.2</v>
      </c>
      <c r="E4052" s="705">
        <f t="shared" si="128"/>
        <v>15.111111111111112</v>
      </c>
    </row>
    <row r="4053" spans="2:5">
      <c r="B4053" s="943">
        <v>45091</v>
      </c>
      <c r="C4053" s="195">
        <f t="shared" si="127"/>
        <v>6</v>
      </c>
      <c r="D4053" s="195">
        <v>58.3</v>
      </c>
      <c r="E4053" s="705">
        <f t="shared" si="128"/>
        <v>14.611111111111109</v>
      </c>
    </row>
    <row r="4054" spans="2:5">
      <c r="B4054" s="943">
        <v>45091</v>
      </c>
      <c r="C4054" s="195">
        <f t="shared" si="127"/>
        <v>6</v>
      </c>
      <c r="D4054" s="195">
        <v>58.1</v>
      </c>
      <c r="E4054" s="705">
        <f t="shared" si="128"/>
        <v>14.5</v>
      </c>
    </row>
    <row r="4055" spans="2:5">
      <c r="B4055" s="943">
        <v>45091</v>
      </c>
      <c r="C4055" s="195">
        <f t="shared" si="127"/>
        <v>6</v>
      </c>
      <c r="D4055" s="195">
        <v>57.9</v>
      </c>
      <c r="E4055" s="705">
        <f t="shared" si="128"/>
        <v>14.388888888888888</v>
      </c>
    </row>
    <row r="4056" spans="2:5">
      <c r="B4056" s="943">
        <v>45091</v>
      </c>
      <c r="C4056" s="195">
        <f t="shared" si="127"/>
        <v>6</v>
      </c>
      <c r="D4056" s="195">
        <v>57.9</v>
      </c>
      <c r="E4056" s="705">
        <f t="shared" si="128"/>
        <v>14.388888888888888</v>
      </c>
    </row>
    <row r="4057" spans="2:5">
      <c r="B4057" s="943">
        <v>45091</v>
      </c>
      <c r="C4057" s="195">
        <f t="shared" si="127"/>
        <v>6</v>
      </c>
      <c r="D4057" s="195">
        <v>58.1</v>
      </c>
      <c r="E4057" s="705">
        <f t="shared" si="128"/>
        <v>14.5</v>
      </c>
    </row>
    <row r="4058" spans="2:5">
      <c r="B4058" s="943">
        <v>45091</v>
      </c>
      <c r="C4058" s="195">
        <f t="shared" si="127"/>
        <v>6</v>
      </c>
      <c r="D4058" s="195">
        <v>58.5</v>
      </c>
      <c r="E4058" s="705">
        <f t="shared" si="128"/>
        <v>14.722222222222221</v>
      </c>
    </row>
    <row r="4059" spans="2:5">
      <c r="B4059" s="943">
        <v>45091</v>
      </c>
      <c r="C4059" s="195">
        <f t="shared" si="127"/>
        <v>6</v>
      </c>
      <c r="D4059" s="195">
        <v>59.2</v>
      </c>
      <c r="E4059" s="705">
        <f t="shared" si="128"/>
        <v>15.111111111111112</v>
      </c>
    </row>
    <row r="4060" spans="2:5">
      <c r="B4060" s="943">
        <v>45091</v>
      </c>
      <c r="C4060" s="195">
        <f t="shared" si="127"/>
        <v>6</v>
      </c>
      <c r="D4060" s="195">
        <v>60.3</v>
      </c>
      <c r="E4060" s="705">
        <f t="shared" si="128"/>
        <v>15.72222222222222</v>
      </c>
    </row>
    <row r="4061" spans="2:5">
      <c r="B4061" s="943">
        <v>45091</v>
      </c>
      <c r="C4061" s="195">
        <f t="shared" si="127"/>
        <v>6</v>
      </c>
      <c r="D4061" s="195">
        <v>60.8</v>
      </c>
      <c r="E4061" s="705">
        <f t="shared" si="128"/>
        <v>15.999999999999998</v>
      </c>
    </row>
    <row r="4062" spans="2:5">
      <c r="B4062" s="943">
        <v>45091</v>
      </c>
      <c r="C4062" s="195">
        <f t="shared" si="127"/>
        <v>6</v>
      </c>
      <c r="D4062" s="195">
        <v>61.3</v>
      </c>
      <c r="E4062" s="705">
        <f t="shared" si="128"/>
        <v>16.277777777777775</v>
      </c>
    </row>
    <row r="4063" spans="2:5">
      <c r="B4063" s="943">
        <v>45091</v>
      </c>
      <c r="C4063" s="195">
        <f t="shared" si="127"/>
        <v>6</v>
      </c>
      <c r="D4063" s="195">
        <v>61.5</v>
      </c>
      <c r="E4063" s="705">
        <f t="shared" si="128"/>
        <v>16.388888888888889</v>
      </c>
    </row>
    <row r="4064" spans="2:5">
      <c r="B4064" s="943">
        <v>45091</v>
      </c>
      <c r="C4064" s="195">
        <f t="shared" si="127"/>
        <v>6</v>
      </c>
      <c r="D4064" s="195">
        <v>60.3</v>
      </c>
      <c r="E4064" s="705">
        <f t="shared" si="128"/>
        <v>15.72222222222222</v>
      </c>
    </row>
    <row r="4065" spans="2:5">
      <c r="B4065" s="943">
        <v>45092</v>
      </c>
      <c r="C4065" s="195">
        <f t="shared" si="127"/>
        <v>6</v>
      </c>
      <c r="D4065" s="195">
        <v>59.7</v>
      </c>
      <c r="E4065" s="705">
        <f t="shared" si="128"/>
        <v>15.388888888888889</v>
      </c>
    </row>
    <row r="4066" spans="2:5">
      <c r="B4066" s="943">
        <v>45092</v>
      </c>
      <c r="C4066" s="195">
        <f t="shared" si="127"/>
        <v>6</v>
      </c>
      <c r="D4066" s="195">
        <v>58.1</v>
      </c>
      <c r="E4066" s="705">
        <f t="shared" si="128"/>
        <v>14.5</v>
      </c>
    </row>
    <row r="4067" spans="2:5">
      <c r="B4067" s="943">
        <v>45092</v>
      </c>
      <c r="C4067" s="195">
        <f t="shared" si="127"/>
        <v>6</v>
      </c>
      <c r="D4067" s="195">
        <v>57.6</v>
      </c>
      <c r="E4067" s="705">
        <f t="shared" si="128"/>
        <v>14.222222222222223</v>
      </c>
    </row>
    <row r="4068" spans="2:5">
      <c r="B4068" s="943">
        <v>45092</v>
      </c>
      <c r="C4068" s="195">
        <f t="shared" si="127"/>
        <v>6</v>
      </c>
      <c r="D4068" s="195">
        <v>57.2</v>
      </c>
      <c r="E4068" s="705">
        <f t="shared" si="128"/>
        <v>14.000000000000002</v>
      </c>
    </row>
    <row r="4069" spans="2:5">
      <c r="B4069" s="943">
        <v>45092</v>
      </c>
      <c r="C4069" s="195">
        <f t="shared" si="127"/>
        <v>6</v>
      </c>
      <c r="D4069" s="195">
        <v>57.6</v>
      </c>
      <c r="E4069" s="705">
        <f t="shared" si="128"/>
        <v>14.222222222222223</v>
      </c>
    </row>
    <row r="4070" spans="2:5">
      <c r="B4070" s="943">
        <v>45092</v>
      </c>
      <c r="C4070" s="195">
        <f t="shared" si="127"/>
        <v>6</v>
      </c>
      <c r="D4070" s="195">
        <v>57.7</v>
      </c>
      <c r="E4070" s="705">
        <f t="shared" si="128"/>
        <v>14.277777777777779</v>
      </c>
    </row>
    <row r="4071" spans="2:5">
      <c r="B4071" s="943">
        <v>45092</v>
      </c>
      <c r="C4071" s="195">
        <f t="shared" si="127"/>
        <v>6</v>
      </c>
      <c r="D4071" s="195">
        <v>58.3</v>
      </c>
      <c r="E4071" s="705">
        <f t="shared" si="128"/>
        <v>14.611111111111109</v>
      </c>
    </row>
    <row r="4072" spans="2:5">
      <c r="B4072" s="943">
        <v>45092</v>
      </c>
      <c r="C4072" s="195">
        <f t="shared" si="127"/>
        <v>6</v>
      </c>
      <c r="D4072" s="195">
        <v>59.5</v>
      </c>
      <c r="E4072" s="705">
        <f t="shared" si="128"/>
        <v>15.277777777777777</v>
      </c>
    </row>
    <row r="4073" spans="2:5">
      <c r="B4073" s="943">
        <v>45092</v>
      </c>
      <c r="C4073" s="195">
        <f t="shared" si="127"/>
        <v>6</v>
      </c>
      <c r="D4073" s="195">
        <v>60.4</v>
      </c>
      <c r="E4073" s="705">
        <f t="shared" si="128"/>
        <v>15.777777777777777</v>
      </c>
    </row>
    <row r="4074" spans="2:5">
      <c r="B4074" s="943">
        <v>45092</v>
      </c>
      <c r="C4074" s="195">
        <f t="shared" si="127"/>
        <v>6</v>
      </c>
      <c r="D4074" s="195">
        <v>61.2</v>
      </c>
      <c r="E4074" s="705">
        <f t="shared" si="128"/>
        <v>16.222222222222225</v>
      </c>
    </row>
    <row r="4075" spans="2:5">
      <c r="B4075" s="943">
        <v>45092</v>
      </c>
      <c r="C4075" s="195">
        <f t="shared" si="127"/>
        <v>6</v>
      </c>
      <c r="D4075" s="195">
        <v>61.5</v>
      </c>
      <c r="E4075" s="705">
        <f t="shared" si="128"/>
        <v>16.388888888888889</v>
      </c>
    </row>
    <row r="4076" spans="2:5">
      <c r="B4076" s="943">
        <v>45092</v>
      </c>
      <c r="C4076" s="195">
        <f t="shared" si="127"/>
        <v>6</v>
      </c>
      <c r="D4076" s="195">
        <v>61.5</v>
      </c>
      <c r="E4076" s="705">
        <f t="shared" si="128"/>
        <v>16.388888888888889</v>
      </c>
    </row>
    <row r="4077" spans="2:5">
      <c r="B4077" s="943">
        <v>45092</v>
      </c>
      <c r="C4077" s="195">
        <f t="shared" si="127"/>
        <v>6</v>
      </c>
      <c r="D4077" s="195">
        <v>60.3</v>
      </c>
      <c r="E4077" s="705">
        <f t="shared" si="128"/>
        <v>15.72222222222222</v>
      </c>
    </row>
    <row r="4078" spans="2:5">
      <c r="B4078" s="943">
        <v>45092</v>
      </c>
      <c r="C4078" s="195">
        <f t="shared" si="127"/>
        <v>6</v>
      </c>
      <c r="D4078" s="195">
        <v>58.8</v>
      </c>
      <c r="E4078" s="705">
        <f t="shared" si="128"/>
        <v>14.888888888888888</v>
      </c>
    </row>
    <row r="4079" spans="2:5">
      <c r="B4079" s="943">
        <v>45092</v>
      </c>
      <c r="C4079" s="195">
        <f t="shared" si="127"/>
        <v>6</v>
      </c>
      <c r="D4079" s="195">
        <v>58.1</v>
      </c>
      <c r="E4079" s="705">
        <f t="shared" si="128"/>
        <v>14.5</v>
      </c>
    </row>
    <row r="4080" spans="2:5">
      <c r="B4080" s="943">
        <v>45092</v>
      </c>
      <c r="C4080" s="195">
        <f t="shared" si="127"/>
        <v>6</v>
      </c>
      <c r="D4080" s="195">
        <v>57.7</v>
      </c>
      <c r="E4080" s="705">
        <f t="shared" si="128"/>
        <v>14.277777777777779</v>
      </c>
    </row>
    <row r="4081" spans="2:5">
      <c r="B4081" s="943">
        <v>45092</v>
      </c>
      <c r="C4081" s="195">
        <f t="shared" si="127"/>
        <v>6</v>
      </c>
      <c r="D4081" s="195">
        <v>57.4</v>
      </c>
      <c r="E4081" s="705">
        <f t="shared" si="128"/>
        <v>14.111111111111111</v>
      </c>
    </row>
    <row r="4082" spans="2:5">
      <c r="B4082" s="943">
        <v>45092</v>
      </c>
      <c r="C4082" s="195">
        <f t="shared" si="127"/>
        <v>6</v>
      </c>
      <c r="D4082" s="195">
        <v>57.7</v>
      </c>
      <c r="E4082" s="705">
        <f t="shared" si="128"/>
        <v>14.277777777777779</v>
      </c>
    </row>
    <row r="4083" spans="2:5">
      <c r="B4083" s="943">
        <v>45092</v>
      </c>
      <c r="C4083" s="195">
        <f t="shared" si="127"/>
        <v>6</v>
      </c>
      <c r="D4083" s="195">
        <v>58.5</v>
      </c>
      <c r="E4083" s="705">
        <f t="shared" si="128"/>
        <v>14.722222222222221</v>
      </c>
    </row>
    <row r="4084" spans="2:5">
      <c r="B4084" s="943">
        <v>45092</v>
      </c>
      <c r="C4084" s="195">
        <f t="shared" si="127"/>
        <v>6</v>
      </c>
      <c r="D4084" s="195">
        <v>59.5</v>
      </c>
      <c r="E4084" s="705">
        <f t="shared" si="128"/>
        <v>15.277777777777777</v>
      </c>
    </row>
    <row r="4085" spans="2:5">
      <c r="B4085" s="943">
        <v>45092</v>
      </c>
      <c r="C4085" s="195">
        <f t="shared" si="127"/>
        <v>6</v>
      </c>
      <c r="D4085" s="195" t="s">
        <v>1442</v>
      </c>
      <c r="E4085" s="705">
        <f t="shared" si="128"/>
        <v>16.111111111111111</v>
      </c>
    </row>
    <row r="4086" spans="2:5">
      <c r="B4086" s="943">
        <v>45092</v>
      </c>
      <c r="C4086" s="195">
        <f t="shared" si="127"/>
        <v>6</v>
      </c>
      <c r="D4086" s="195">
        <v>61.7</v>
      </c>
      <c r="E4086" s="705">
        <f t="shared" si="128"/>
        <v>16.5</v>
      </c>
    </row>
    <row r="4087" spans="2:5">
      <c r="B4087" s="943">
        <v>45092</v>
      </c>
      <c r="C4087" s="195">
        <f t="shared" si="127"/>
        <v>6</v>
      </c>
      <c r="D4087" s="195">
        <v>62.2</v>
      </c>
      <c r="E4087" s="705">
        <f t="shared" si="128"/>
        <v>16.777777777777779</v>
      </c>
    </row>
    <row r="4088" spans="2:5">
      <c r="B4088" s="943">
        <v>45092</v>
      </c>
      <c r="C4088" s="195">
        <f t="shared" si="127"/>
        <v>6</v>
      </c>
      <c r="D4088" s="195">
        <v>62.1</v>
      </c>
      <c r="E4088" s="705">
        <f t="shared" si="128"/>
        <v>16.722222222222221</v>
      </c>
    </row>
    <row r="4089" spans="2:5">
      <c r="B4089" s="943">
        <v>45093</v>
      </c>
      <c r="C4089" s="195">
        <f t="shared" si="127"/>
        <v>6</v>
      </c>
      <c r="D4089" s="195">
        <v>60.3</v>
      </c>
      <c r="E4089" s="705">
        <f t="shared" si="128"/>
        <v>15.72222222222222</v>
      </c>
    </row>
    <row r="4090" spans="2:5">
      <c r="B4090" s="943">
        <v>45093</v>
      </c>
      <c r="C4090" s="195">
        <f t="shared" si="127"/>
        <v>6</v>
      </c>
      <c r="D4090" s="195">
        <v>59.7</v>
      </c>
      <c r="E4090" s="705">
        <f t="shared" si="128"/>
        <v>15.388888888888889</v>
      </c>
    </row>
    <row r="4091" spans="2:5">
      <c r="B4091" s="943">
        <v>45093</v>
      </c>
      <c r="C4091" s="195">
        <f t="shared" si="127"/>
        <v>6</v>
      </c>
      <c r="D4091" s="195">
        <v>59.4</v>
      </c>
      <c r="E4091" s="705">
        <f t="shared" si="128"/>
        <v>15.222222222222221</v>
      </c>
    </row>
    <row r="4092" spans="2:5">
      <c r="B4092" s="943">
        <v>45093</v>
      </c>
      <c r="C4092" s="195">
        <f t="shared" si="127"/>
        <v>6</v>
      </c>
      <c r="D4092" s="195">
        <v>59.2</v>
      </c>
      <c r="E4092" s="705">
        <f t="shared" si="128"/>
        <v>15.111111111111112</v>
      </c>
    </row>
    <row r="4093" spans="2:5">
      <c r="B4093" s="943">
        <v>45093</v>
      </c>
      <c r="C4093" s="195">
        <f t="shared" si="127"/>
        <v>6</v>
      </c>
      <c r="D4093" s="195" t="s">
        <v>1441</v>
      </c>
      <c r="E4093" s="705">
        <f t="shared" si="128"/>
        <v>15</v>
      </c>
    </row>
    <row r="4094" spans="2:5">
      <c r="B4094" s="943">
        <v>45093</v>
      </c>
      <c r="C4094" s="195">
        <f t="shared" si="127"/>
        <v>6</v>
      </c>
      <c r="D4094" s="195" t="s">
        <v>1441</v>
      </c>
      <c r="E4094" s="705">
        <f t="shared" si="128"/>
        <v>15</v>
      </c>
    </row>
    <row r="4095" spans="2:5">
      <c r="B4095" s="943">
        <v>45093</v>
      </c>
      <c r="C4095" s="195">
        <f t="shared" si="127"/>
        <v>6</v>
      </c>
      <c r="D4095" s="195">
        <v>59.4</v>
      </c>
      <c r="E4095" s="705">
        <f t="shared" si="128"/>
        <v>15.222222222222221</v>
      </c>
    </row>
    <row r="4096" spans="2:5">
      <c r="B4096" s="943">
        <v>45093</v>
      </c>
      <c r="C4096" s="195">
        <f t="shared" si="127"/>
        <v>6</v>
      </c>
      <c r="D4096" s="195">
        <v>59.9</v>
      </c>
      <c r="E4096" s="705">
        <f t="shared" si="128"/>
        <v>15.499999999999998</v>
      </c>
    </row>
    <row r="4097" spans="2:5">
      <c r="B4097" s="943">
        <v>45093</v>
      </c>
      <c r="C4097" s="195">
        <f t="shared" si="127"/>
        <v>6</v>
      </c>
      <c r="D4097" s="195">
        <v>60.8</v>
      </c>
      <c r="E4097" s="705">
        <f t="shared" si="128"/>
        <v>15.999999999999998</v>
      </c>
    </row>
    <row r="4098" spans="2:5">
      <c r="B4098" s="943">
        <v>45093</v>
      </c>
      <c r="C4098" s="195">
        <f t="shared" si="127"/>
        <v>6</v>
      </c>
      <c r="D4098" s="195">
        <v>61.5</v>
      </c>
      <c r="E4098" s="705">
        <f t="shared" si="128"/>
        <v>16.388888888888889</v>
      </c>
    </row>
    <row r="4099" spans="2:5">
      <c r="B4099" s="943">
        <v>45093</v>
      </c>
      <c r="C4099" s="195">
        <f t="shared" si="127"/>
        <v>6</v>
      </c>
      <c r="D4099" s="195">
        <v>62.2</v>
      </c>
      <c r="E4099" s="705">
        <f t="shared" si="128"/>
        <v>16.777777777777779</v>
      </c>
    </row>
    <row r="4100" spans="2:5">
      <c r="B4100" s="943">
        <v>45093</v>
      </c>
      <c r="C4100" s="195">
        <f t="shared" si="127"/>
        <v>6</v>
      </c>
      <c r="D4100" s="195">
        <v>62.6</v>
      </c>
      <c r="E4100" s="705">
        <f t="shared" si="128"/>
        <v>17</v>
      </c>
    </row>
    <row r="4101" spans="2:5">
      <c r="B4101" s="943">
        <v>45093</v>
      </c>
      <c r="C4101" s="195">
        <f t="shared" si="127"/>
        <v>6</v>
      </c>
      <c r="D4101" s="195">
        <v>62.4</v>
      </c>
      <c r="E4101" s="705">
        <f t="shared" si="128"/>
        <v>16.888888888888889</v>
      </c>
    </row>
    <row r="4102" spans="2:5">
      <c r="B4102" s="943">
        <v>45093</v>
      </c>
      <c r="C4102" s="195">
        <f t="shared" si="127"/>
        <v>6</v>
      </c>
      <c r="D4102" s="195">
        <v>61.2</v>
      </c>
      <c r="E4102" s="705">
        <f t="shared" si="128"/>
        <v>16.222222222222225</v>
      </c>
    </row>
    <row r="4103" spans="2:5">
      <c r="B4103" s="943">
        <v>45093</v>
      </c>
      <c r="C4103" s="195">
        <f t="shared" si="127"/>
        <v>6</v>
      </c>
      <c r="D4103" s="195">
        <v>59.7</v>
      </c>
      <c r="E4103" s="705">
        <f t="shared" si="128"/>
        <v>15.388888888888889</v>
      </c>
    </row>
    <row r="4104" spans="2:5">
      <c r="B4104" s="943">
        <v>45093</v>
      </c>
      <c r="C4104" s="195">
        <f t="shared" si="127"/>
        <v>6</v>
      </c>
      <c r="D4104" s="195">
        <v>58.5</v>
      </c>
      <c r="E4104" s="705">
        <f t="shared" si="128"/>
        <v>14.722222222222221</v>
      </c>
    </row>
    <row r="4105" spans="2:5">
      <c r="B4105" s="943">
        <v>45093</v>
      </c>
      <c r="C4105" s="195">
        <f t="shared" si="127"/>
        <v>6</v>
      </c>
      <c r="D4105" s="195">
        <v>58.3</v>
      </c>
      <c r="E4105" s="705">
        <f t="shared" si="128"/>
        <v>14.611111111111109</v>
      </c>
    </row>
    <row r="4106" spans="2:5">
      <c r="B4106" s="943">
        <v>45093</v>
      </c>
      <c r="C4106" s="195">
        <f t="shared" ref="C4106:C4169" si="129">MONTH(B4106)</f>
        <v>6</v>
      </c>
      <c r="D4106" s="195">
        <v>58.3</v>
      </c>
      <c r="E4106" s="705">
        <f t="shared" ref="E4106:E4169" si="130">CONVERT(D4106,"F","C")</f>
        <v>14.611111111111109</v>
      </c>
    </row>
    <row r="4107" spans="2:5">
      <c r="B4107" s="943">
        <v>45093</v>
      </c>
      <c r="C4107" s="195">
        <f t="shared" si="129"/>
        <v>6</v>
      </c>
      <c r="D4107" s="195">
        <v>58.6</v>
      </c>
      <c r="E4107" s="705">
        <f t="shared" si="130"/>
        <v>14.777777777777779</v>
      </c>
    </row>
    <row r="4108" spans="2:5">
      <c r="B4108" s="943">
        <v>45093</v>
      </c>
      <c r="C4108" s="195">
        <f t="shared" si="129"/>
        <v>6</v>
      </c>
      <c r="D4108" s="195">
        <v>59.5</v>
      </c>
      <c r="E4108" s="705">
        <f t="shared" si="130"/>
        <v>15.277777777777777</v>
      </c>
    </row>
    <row r="4109" spans="2:5">
      <c r="B4109" s="943">
        <v>45093</v>
      </c>
      <c r="C4109" s="195">
        <f t="shared" si="129"/>
        <v>6</v>
      </c>
      <c r="D4109" s="195">
        <v>60.6</v>
      </c>
      <c r="E4109" s="705">
        <f t="shared" si="130"/>
        <v>15.888888888888889</v>
      </c>
    </row>
    <row r="4110" spans="2:5">
      <c r="B4110" s="943">
        <v>45093</v>
      </c>
      <c r="C4110" s="195">
        <f t="shared" si="129"/>
        <v>6</v>
      </c>
      <c r="D4110" s="195">
        <v>62.2</v>
      </c>
      <c r="E4110" s="705">
        <f t="shared" si="130"/>
        <v>16.777777777777779</v>
      </c>
    </row>
    <row r="4111" spans="2:5">
      <c r="B4111" s="943">
        <v>45093</v>
      </c>
      <c r="C4111" s="195">
        <f t="shared" si="129"/>
        <v>6</v>
      </c>
      <c r="D4111" s="195">
        <v>63.1</v>
      </c>
      <c r="E4111" s="705">
        <f t="shared" si="130"/>
        <v>17.277777777777779</v>
      </c>
    </row>
    <row r="4112" spans="2:5">
      <c r="B4112" s="943">
        <v>45093</v>
      </c>
      <c r="C4112" s="195">
        <f t="shared" si="129"/>
        <v>6</v>
      </c>
      <c r="D4112" s="195">
        <v>63.5</v>
      </c>
      <c r="E4112" s="705">
        <f t="shared" si="130"/>
        <v>17.5</v>
      </c>
    </row>
    <row r="4113" spans="2:5">
      <c r="B4113" s="943">
        <v>45094</v>
      </c>
      <c r="C4113" s="195">
        <f t="shared" si="129"/>
        <v>6</v>
      </c>
      <c r="D4113" s="195" t="s">
        <v>1443</v>
      </c>
      <c r="E4113" s="705">
        <f t="shared" si="130"/>
        <v>17.222222222222221</v>
      </c>
    </row>
    <row r="4114" spans="2:5">
      <c r="B4114" s="943">
        <v>45094</v>
      </c>
      <c r="C4114" s="195">
        <f t="shared" si="129"/>
        <v>6</v>
      </c>
      <c r="D4114" s="195">
        <v>61.3</v>
      </c>
      <c r="E4114" s="705">
        <f t="shared" si="130"/>
        <v>16.277777777777775</v>
      </c>
    </row>
    <row r="4115" spans="2:5">
      <c r="B4115" s="943">
        <v>45094</v>
      </c>
      <c r="C4115" s="195">
        <f t="shared" si="129"/>
        <v>6</v>
      </c>
      <c r="D4115" s="195">
        <v>60.4</v>
      </c>
      <c r="E4115" s="705">
        <f t="shared" si="130"/>
        <v>15.777777777777777</v>
      </c>
    </row>
    <row r="4116" spans="2:5">
      <c r="B4116" s="943">
        <v>45094</v>
      </c>
      <c r="C4116" s="195">
        <f t="shared" si="129"/>
        <v>6</v>
      </c>
      <c r="D4116" s="195">
        <v>59.7</v>
      </c>
      <c r="E4116" s="705">
        <f t="shared" si="130"/>
        <v>15.388888888888889</v>
      </c>
    </row>
    <row r="4117" spans="2:5">
      <c r="B4117" s="943">
        <v>45094</v>
      </c>
      <c r="C4117" s="195">
        <f t="shared" si="129"/>
        <v>6</v>
      </c>
      <c r="D4117" s="195">
        <v>59.2</v>
      </c>
      <c r="E4117" s="705">
        <f t="shared" si="130"/>
        <v>15.111111111111112</v>
      </c>
    </row>
    <row r="4118" spans="2:5">
      <c r="B4118" s="943">
        <v>45094</v>
      </c>
      <c r="C4118" s="195">
        <f t="shared" si="129"/>
        <v>6</v>
      </c>
      <c r="D4118" s="195">
        <v>58.6</v>
      </c>
      <c r="E4118" s="705">
        <f t="shared" si="130"/>
        <v>14.777777777777779</v>
      </c>
    </row>
    <row r="4119" spans="2:5">
      <c r="B4119" s="943">
        <v>45094</v>
      </c>
      <c r="C4119" s="195">
        <f t="shared" si="129"/>
        <v>6</v>
      </c>
      <c r="D4119" s="195">
        <v>58.8</v>
      </c>
      <c r="E4119" s="705">
        <f t="shared" si="130"/>
        <v>14.888888888888888</v>
      </c>
    </row>
    <row r="4120" spans="2:5">
      <c r="B4120" s="943">
        <v>45094</v>
      </c>
      <c r="C4120" s="195">
        <f t="shared" si="129"/>
        <v>6</v>
      </c>
      <c r="D4120" s="195">
        <v>59.5</v>
      </c>
      <c r="E4120" s="705">
        <f t="shared" si="130"/>
        <v>15.277777777777777</v>
      </c>
    </row>
    <row r="4121" spans="2:5">
      <c r="B4121" s="943">
        <v>45094</v>
      </c>
      <c r="C4121" s="195">
        <f t="shared" si="129"/>
        <v>6</v>
      </c>
      <c r="D4121" s="195">
        <v>60.8</v>
      </c>
      <c r="E4121" s="705">
        <f t="shared" si="130"/>
        <v>15.999999999999998</v>
      </c>
    </row>
    <row r="4122" spans="2:5">
      <c r="B4122" s="943">
        <v>45094</v>
      </c>
      <c r="C4122" s="195">
        <f t="shared" si="129"/>
        <v>6</v>
      </c>
      <c r="D4122" s="195">
        <v>61.7</v>
      </c>
      <c r="E4122" s="705">
        <f t="shared" si="130"/>
        <v>16.5</v>
      </c>
    </row>
    <row r="4123" spans="2:5">
      <c r="B4123" s="943">
        <v>45094</v>
      </c>
      <c r="C4123" s="195">
        <f t="shared" si="129"/>
        <v>6</v>
      </c>
      <c r="D4123" s="195">
        <v>62.6</v>
      </c>
      <c r="E4123" s="705">
        <f t="shared" si="130"/>
        <v>17</v>
      </c>
    </row>
    <row r="4124" spans="2:5">
      <c r="B4124" s="943">
        <v>45094</v>
      </c>
      <c r="C4124" s="195">
        <f t="shared" si="129"/>
        <v>6</v>
      </c>
      <c r="D4124" s="195">
        <v>63.3</v>
      </c>
      <c r="E4124" s="705">
        <f t="shared" si="130"/>
        <v>17.388888888888886</v>
      </c>
    </row>
    <row r="4125" spans="2:5">
      <c r="B4125" s="943">
        <v>45094</v>
      </c>
      <c r="C4125" s="195">
        <f t="shared" si="129"/>
        <v>6</v>
      </c>
      <c r="D4125" s="195">
        <v>63.7</v>
      </c>
      <c r="E4125" s="705">
        <f t="shared" si="130"/>
        <v>17.611111111111111</v>
      </c>
    </row>
    <row r="4126" spans="2:5">
      <c r="B4126" s="943">
        <v>45094</v>
      </c>
      <c r="C4126" s="195">
        <f t="shared" si="129"/>
        <v>6</v>
      </c>
      <c r="D4126" s="195" t="s">
        <v>1443</v>
      </c>
      <c r="E4126" s="705">
        <f t="shared" si="130"/>
        <v>17.222222222222221</v>
      </c>
    </row>
    <row r="4127" spans="2:5">
      <c r="B4127" s="943">
        <v>45094</v>
      </c>
      <c r="C4127" s="195">
        <f t="shared" si="129"/>
        <v>6</v>
      </c>
      <c r="D4127" s="195">
        <v>61.7</v>
      </c>
      <c r="E4127" s="705">
        <f t="shared" si="130"/>
        <v>16.5</v>
      </c>
    </row>
    <row r="4128" spans="2:5">
      <c r="B4128" s="943">
        <v>45094</v>
      </c>
      <c r="C4128" s="195">
        <f t="shared" si="129"/>
        <v>6</v>
      </c>
      <c r="D4128" s="195">
        <v>60.8</v>
      </c>
      <c r="E4128" s="705">
        <f t="shared" si="130"/>
        <v>15.999999999999998</v>
      </c>
    </row>
    <row r="4129" spans="2:5">
      <c r="B4129" s="943">
        <v>45094</v>
      </c>
      <c r="C4129" s="195">
        <f t="shared" si="129"/>
        <v>6</v>
      </c>
      <c r="D4129" s="195">
        <v>60.6</v>
      </c>
      <c r="E4129" s="705">
        <f t="shared" si="130"/>
        <v>15.888888888888889</v>
      </c>
    </row>
    <row r="4130" spans="2:5">
      <c r="B4130" s="943">
        <v>45094</v>
      </c>
      <c r="C4130" s="195">
        <f t="shared" si="129"/>
        <v>6</v>
      </c>
      <c r="D4130" s="195">
        <v>60.3</v>
      </c>
      <c r="E4130" s="705">
        <f t="shared" si="130"/>
        <v>15.72222222222222</v>
      </c>
    </row>
    <row r="4131" spans="2:5">
      <c r="B4131" s="943">
        <v>45094</v>
      </c>
      <c r="C4131" s="195">
        <f t="shared" si="129"/>
        <v>6</v>
      </c>
      <c r="D4131" s="195">
        <v>60.3</v>
      </c>
      <c r="E4131" s="705">
        <f t="shared" si="130"/>
        <v>15.72222222222222</v>
      </c>
    </row>
    <row r="4132" spans="2:5">
      <c r="B4132" s="943">
        <v>45094</v>
      </c>
      <c r="C4132" s="195">
        <f t="shared" si="129"/>
        <v>6</v>
      </c>
      <c r="D4132" s="195">
        <v>60.3</v>
      </c>
      <c r="E4132" s="705">
        <f t="shared" si="130"/>
        <v>15.72222222222222</v>
      </c>
    </row>
    <row r="4133" spans="2:5">
      <c r="B4133" s="943">
        <v>45094</v>
      </c>
      <c r="C4133" s="195">
        <f t="shared" si="129"/>
        <v>6</v>
      </c>
      <c r="D4133" s="195">
        <v>60.8</v>
      </c>
      <c r="E4133" s="705">
        <f t="shared" si="130"/>
        <v>15.999999999999998</v>
      </c>
    </row>
    <row r="4134" spans="2:5">
      <c r="B4134" s="943">
        <v>45094</v>
      </c>
      <c r="C4134" s="195">
        <f t="shared" si="129"/>
        <v>6</v>
      </c>
      <c r="D4134" s="195">
        <v>61.5</v>
      </c>
      <c r="E4134" s="705">
        <f t="shared" si="130"/>
        <v>16.388888888888889</v>
      </c>
    </row>
    <row r="4135" spans="2:5">
      <c r="B4135" s="943">
        <v>45094</v>
      </c>
      <c r="C4135" s="195">
        <f t="shared" si="129"/>
        <v>6</v>
      </c>
      <c r="D4135" s="195">
        <v>62.4</v>
      </c>
      <c r="E4135" s="705">
        <f t="shared" si="130"/>
        <v>16.888888888888889</v>
      </c>
    </row>
    <row r="4136" spans="2:5">
      <c r="B4136" s="943">
        <v>45094</v>
      </c>
      <c r="C4136" s="195">
        <f t="shared" si="129"/>
        <v>6</v>
      </c>
      <c r="D4136" s="195">
        <v>62.8</v>
      </c>
      <c r="E4136" s="705">
        <f t="shared" si="130"/>
        <v>17.111111111111111</v>
      </c>
    </row>
    <row r="4137" spans="2:5">
      <c r="B4137" s="943">
        <v>45095</v>
      </c>
      <c r="C4137" s="195">
        <f t="shared" si="129"/>
        <v>6</v>
      </c>
      <c r="D4137" s="195" t="s">
        <v>1443</v>
      </c>
      <c r="E4137" s="705">
        <f t="shared" si="130"/>
        <v>17.222222222222221</v>
      </c>
    </row>
    <row r="4138" spans="2:5">
      <c r="B4138" s="943">
        <v>45095</v>
      </c>
      <c r="C4138" s="195">
        <f t="shared" si="129"/>
        <v>6</v>
      </c>
      <c r="D4138" s="195">
        <v>62.1</v>
      </c>
      <c r="E4138" s="705">
        <f t="shared" si="130"/>
        <v>16.722222222222221</v>
      </c>
    </row>
    <row r="4139" spans="2:5">
      <c r="B4139" s="943">
        <v>45095</v>
      </c>
      <c r="C4139" s="195">
        <f t="shared" si="129"/>
        <v>6</v>
      </c>
      <c r="D4139" s="195">
        <v>61.3</v>
      </c>
      <c r="E4139" s="705">
        <f t="shared" si="130"/>
        <v>16.277777777777775</v>
      </c>
    </row>
    <row r="4140" spans="2:5">
      <c r="B4140" s="943">
        <v>45095</v>
      </c>
      <c r="C4140" s="195">
        <f t="shared" si="129"/>
        <v>6</v>
      </c>
      <c r="D4140" s="195">
        <v>60.6</v>
      </c>
      <c r="E4140" s="705">
        <f t="shared" si="130"/>
        <v>15.888888888888889</v>
      </c>
    </row>
    <row r="4141" spans="2:5">
      <c r="B4141" s="943">
        <v>45095</v>
      </c>
      <c r="C4141" s="195">
        <f t="shared" si="129"/>
        <v>6</v>
      </c>
      <c r="D4141" s="195">
        <v>60.4</v>
      </c>
      <c r="E4141" s="705">
        <f t="shared" si="130"/>
        <v>15.777777777777777</v>
      </c>
    </row>
    <row r="4142" spans="2:5">
      <c r="B4142" s="943">
        <v>45095</v>
      </c>
      <c r="C4142" s="195">
        <f t="shared" si="129"/>
        <v>6</v>
      </c>
      <c r="D4142" s="195">
        <v>60.4</v>
      </c>
      <c r="E4142" s="705">
        <f t="shared" si="130"/>
        <v>15.777777777777777</v>
      </c>
    </row>
    <row r="4143" spans="2:5">
      <c r="B4143" s="943">
        <v>45095</v>
      </c>
      <c r="C4143" s="195">
        <f t="shared" si="129"/>
        <v>6</v>
      </c>
      <c r="D4143" s="195">
        <v>60.4</v>
      </c>
      <c r="E4143" s="705">
        <f t="shared" si="130"/>
        <v>15.777777777777777</v>
      </c>
    </row>
    <row r="4144" spans="2:5">
      <c r="B4144" s="943">
        <v>45095</v>
      </c>
      <c r="C4144" s="195">
        <f t="shared" si="129"/>
        <v>6</v>
      </c>
      <c r="D4144" s="195">
        <v>60.4</v>
      </c>
      <c r="E4144" s="705">
        <f t="shared" si="130"/>
        <v>15.777777777777777</v>
      </c>
    </row>
    <row r="4145" spans="2:5">
      <c r="B4145" s="943">
        <v>45095</v>
      </c>
      <c r="C4145" s="195">
        <f t="shared" si="129"/>
        <v>6</v>
      </c>
      <c r="D4145" s="195">
        <v>60.8</v>
      </c>
      <c r="E4145" s="705">
        <f t="shared" si="130"/>
        <v>15.999999999999998</v>
      </c>
    </row>
    <row r="4146" spans="2:5">
      <c r="B4146" s="943">
        <v>45095</v>
      </c>
      <c r="C4146" s="195">
        <f t="shared" si="129"/>
        <v>6</v>
      </c>
      <c r="D4146" s="195">
        <v>61.5</v>
      </c>
      <c r="E4146" s="705">
        <f t="shared" si="130"/>
        <v>16.388888888888889</v>
      </c>
    </row>
    <row r="4147" spans="2:5">
      <c r="B4147" s="943">
        <v>45095</v>
      </c>
      <c r="C4147" s="195">
        <f t="shared" si="129"/>
        <v>6</v>
      </c>
      <c r="D4147" s="195">
        <v>62.1</v>
      </c>
      <c r="E4147" s="705">
        <f t="shared" si="130"/>
        <v>16.722222222222221</v>
      </c>
    </row>
    <row r="4148" spans="2:5">
      <c r="B4148" s="943">
        <v>45095</v>
      </c>
      <c r="C4148" s="195">
        <f t="shared" si="129"/>
        <v>6</v>
      </c>
      <c r="D4148" s="195">
        <v>62.6</v>
      </c>
      <c r="E4148" s="705">
        <f t="shared" si="130"/>
        <v>17</v>
      </c>
    </row>
    <row r="4149" spans="2:5">
      <c r="B4149" s="943">
        <v>45095</v>
      </c>
      <c r="C4149" s="195">
        <f t="shared" si="129"/>
        <v>6</v>
      </c>
      <c r="D4149" s="195">
        <v>63.1</v>
      </c>
      <c r="E4149" s="705">
        <f t="shared" si="130"/>
        <v>17.277777777777779</v>
      </c>
    </row>
    <row r="4150" spans="2:5">
      <c r="B4150" s="943">
        <v>45095</v>
      </c>
      <c r="C4150" s="195">
        <f t="shared" si="129"/>
        <v>6</v>
      </c>
      <c r="D4150" s="195">
        <v>63.3</v>
      </c>
      <c r="E4150" s="705">
        <f t="shared" si="130"/>
        <v>17.388888888888886</v>
      </c>
    </row>
    <row r="4151" spans="2:5">
      <c r="B4151" s="943">
        <v>45095</v>
      </c>
      <c r="C4151" s="195">
        <f t="shared" si="129"/>
        <v>6</v>
      </c>
      <c r="D4151" s="195">
        <v>62.4</v>
      </c>
      <c r="E4151" s="705">
        <f t="shared" si="130"/>
        <v>16.888888888888889</v>
      </c>
    </row>
    <row r="4152" spans="2:5">
      <c r="B4152" s="943">
        <v>45095</v>
      </c>
      <c r="C4152" s="195">
        <f t="shared" si="129"/>
        <v>6</v>
      </c>
      <c r="D4152" s="195">
        <v>61.9</v>
      </c>
      <c r="E4152" s="705">
        <f t="shared" si="130"/>
        <v>16.611111111111111</v>
      </c>
    </row>
    <row r="4153" spans="2:5">
      <c r="B4153" s="943">
        <v>45095</v>
      </c>
      <c r="C4153" s="195">
        <f t="shared" si="129"/>
        <v>6</v>
      </c>
      <c r="D4153" s="195" t="s">
        <v>1442</v>
      </c>
      <c r="E4153" s="705">
        <f t="shared" si="130"/>
        <v>16.111111111111111</v>
      </c>
    </row>
    <row r="4154" spans="2:5">
      <c r="B4154" s="943">
        <v>45095</v>
      </c>
      <c r="C4154" s="195">
        <f t="shared" si="129"/>
        <v>6</v>
      </c>
      <c r="D4154" s="195">
        <v>60.4</v>
      </c>
      <c r="E4154" s="705">
        <f t="shared" si="130"/>
        <v>15.777777777777777</v>
      </c>
    </row>
    <row r="4155" spans="2:5">
      <c r="B4155" s="943">
        <v>45095</v>
      </c>
      <c r="C4155" s="195">
        <f t="shared" si="129"/>
        <v>6</v>
      </c>
      <c r="D4155" s="195">
        <v>60.3</v>
      </c>
      <c r="E4155" s="705">
        <f t="shared" si="130"/>
        <v>15.72222222222222</v>
      </c>
    </row>
    <row r="4156" spans="2:5">
      <c r="B4156" s="943">
        <v>45095</v>
      </c>
      <c r="C4156" s="195">
        <f t="shared" si="129"/>
        <v>6</v>
      </c>
      <c r="D4156" s="195">
        <v>60.8</v>
      </c>
      <c r="E4156" s="705">
        <f t="shared" si="130"/>
        <v>15.999999999999998</v>
      </c>
    </row>
    <row r="4157" spans="2:5">
      <c r="B4157" s="943">
        <v>45095</v>
      </c>
      <c r="C4157" s="195">
        <f t="shared" si="129"/>
        <v>6</v>
      </c>
      <c r="D4157" s="195">
        <v>60.6</v>
      </c>
      <c r="E4157" s="705">
        <f t="shared" si="130"/>
        <v>15.888888888888889</v>
      </c>
    </row>
    <row r="4158" spans="2:5">
      <c r="B4158" s="943">
        <v>45095</v>
      </c>
      <c r="C4158" s="195">
        <f t="shared" si="129"/>
        <v>6</v>
      </c>
      <c r="D4158" s="195">
        <v>61.5</v>
      </c>
      <c r="E4158" s="705">
        <f t="shared" si="130"/>
        <v>16.388888888888889</v>
      </c>
    </row>
    <row r="4159" spans="2:5">
      <c r="B4159" s="943">
        <v>45095</v>
      </c>
      <c r="C4159" s="195">
        <f t="shared" si="129"/>
        <v>6</v>
      </c>
      <c r="D4159" s="195">
        <v>62.4</v>
      </c>
      <c r="E4159" s="705">
        <f t="shared" si="130"/>
        <v>16.888888888888889</v>
      </c>
    </row>
    <row r="4160" spans="2:5">
      <c r="B4160" s="943">
        <v>45095</v>
      </c>
      <c r="C4160" s="195">
        <f t="shared" si="129"/>
        <v>6</v>
      </c>
      <c r="D4160" s="195">
        <v>63.1</v>
      </c>
      <c r="E4160" s="705">
        <f t="shared" si="130"/>
        <v>17.277777777777779</v>
      </c>
    </row>
    <row r="4161" spans="2:5">
      <c r="B4161" s="943">
        <v>45096</v>
      </c>
      <c r="C4161" s="195">
        <f t="shared" si="129"/>
        <v>6</v>
      </c>
      <c r="D4161" s="195">
        <v>63.5</v>
      </c>
      <c r="E4161" s="705">
        <f t="shared" si="130"/>
        <v>17.5</v>
      </c>
    </row>
    <row r="4162" spans="2:5">
      <c r="B4162" s="943">
        <v>45096</v>
      </c>
      <c r="C4162" s="195">
        <f t="shared" si="129"/>
        <v>6</v>
      </c>
      <c r="D4162" s="195">
        <v>63.5</v>
      </c>
      <c r="E4162" s="705">
        <f t="shared" si="130"/>
        <v>17.5</v>
      </c>
    </row>
    <row r="4163" spans="2:5">
      <c r="B4163" s="943">
        <v>45096</v>
      </c>
      <c r="C4163" s="195">
        <f t="shared" si="129"/>
        <v>6</v>
      </c>
      <c r="D4163" s="195">
        <v>62.4</v>
      </c>
      <c r="E4163" s="705">
        <f t="shared" si="130"/>
        <v>16.888888888888889</v>
      </c>
    </row>
    <row r="4164" spans="2:5">
      <c r="B4164" s="943">
        <v>45096</v>
      </c>
      <c r="C4164" s="195">
        <f t="shared" si="129"/>
        <v>6</v>
      </c>
      <c r="D4164" s="195">
        <v>61.7</v>
      </c>
      <c r="E4164" s="705">
        <f t="shared" si="130"/>
        <v>16.5</v>
      </c>
    </row>
    <row r="4165" spans="2:5">
      <c r="B4165" s="943">
        <v>45096</v>
      </c>
      <c r="C4165" s="195">
        <f t="shared" si="129"/>
        <v>6</v>
      </c>
      <c r="D4165" s="195">
        <v>61.3</v>
      </c>
      <c r="E4165" s="705">
        <f t="shared" si="130"/>
        <v>16.277777777777775</v>
      </c>
    </row>
    <row r="4166" spans="2:5">
      <c r="B4166" s="943">
        <v>45096</v>
      </c>
      <c r="C4166" s="195">
        <f t="shared" si="129"/>
        <v>6</v>
      </c>
      <c r="D4166" s="195" t="s">
        <v>1442</v>
      </c>
      <c r="E4166" s="705">
        <f t="shared" si="130"/>
        <v>16.111111111111111</v>
      </c>
    </row>
    <row r="4167" spans="2:5">
      <c r="B4167" s="943">
        <v>45096</v>
      </c>
      <c r="C4167" s="195">
        <f t="shared" si="129"/>
        <v>6</v>
      </c>
      <c r="D4167" s="195">
        <v>60.8</v>
      </c>
      <c r="E4167" s="705">
        <f t="shared" si="130"/>
        <v>15.999999999999998</v>
      </c>
    </row>
    <row r="4168" spans="2:5">
      <c r="B4168" s="943">
        <v>45096</v>
      </c>
      <c r="C4168" s="195">
        <f t="shared" si="129"/>
        <v>6</v>
      </c>
      <c r="D4168" s="195">
        <v>60.8</v>
      </c>
      <c r="E4168" s="705">
        <f t="shared" si="130"/>
        <v>15.999999999999998</v>
      </c>
    </row>
    <row r="4169" spans="2:5">
      <c r="B4169" s="943">
        <v>45096</v>
      </c>
      <c r="C4169" s="195">
        <f t="shared" si="129"/>
        <v>6</v>
      </c>
      <c r="D4169" s="195">
        <v>60.8</v>
      </c>
      <c r="E4169" s="705">
        <f t="shared" si="130"/>
        <v>15.999999999999998</v>
      </c>
    </row>
    <row r="4170" spans="2:5">
      <c r="B4170" s="943">
        <v>45096</v>
      </c>
      <c r="C4170" s="195">
        <f t="shared" ref="C4170:C4233" si="131">MONTH(B4170)</f>
        <v>6</v>
      </c>
      <c r="D4170" s="195">
        <v>61.3</v>
      </c>
      <c r="E4170" s="705">
        <f t="shared" ref="E4170:E4233" si="132">CONVERT(D4170,"F","C")</f>
        <v>16.277777777777775</v>
      </c>
    </row>
    <row r="4171" spans="2:5">
      <c r="B4171" s="943">
        <v>45096</v>
      </c>
      <c r="C4171" s="195">
        <f t="shared" si="131"/>
        <v>6</v>
      </c>
      <c r="D4171" s="195">
        <v>62.2</v>
      </c>
      <c r="E4171" s="705">
        <f t="shared" si="132"/>
        <v>16.777777777777779</v>
      </c>
    </row>
    <row r="4172" spans="2:5">
      <c r="B4172" s="943">
        <v>45096</v>
      </c>
      <c r="C4172" s="195">
        <f t="shared" si="131"/>
        <v>6</v>
      </c>
      <c r="D4172" s="195">
        <v>62.8</v>
      </c>
      <c r="E4172" s="705">
        <f t="shared" si="132"/>
        <v>17.111111111111111</v>
      </c>
    </row>
    <row r="4173" spans="2:5">
      <c r="B4173" s="943">
        <v>45096</v>
      </c>
      <c r="C4173" s="195">
        <f t="shared" si="131"/>
        <v>6</v>
      </c>
      <c r="D4173" s="195">
        <v>63.3</v>
      </c>
      <c r="E4173" s="705">
        <f t="shared" si="132"/>
        <v>17.388888888888886</v>
      </c>
    </row>
    <row r="4174" spans="2:5">
      <c r="B4174" s="943">
        <v>45096</v>
      </c>
      <c r="C4174" s="195">
        <f t="shared" si="131"/>
        <v>6</v>
      </c>
      <c r="D4174" s="195">
        <v>63.7</v>
      </c>
      <c r="E4174" s="705">
        <f t="shared" si="132"/>
        <v>17.611111111111111</v>
      </c>
    </row>
    <row r="4175" spans="2:5">
      <c r="B4175" s="943">
        <v>45096</v>
      </c>
      <c r="C4175" s="195">
        <f t="shared" si="131"/>
        <v>6</v>
      </c>
      <c r="D4175" s="195">
        <v>63.9</v>
      </c>
      <c r="E4175" s="705">
        <f t="shared" si="132"/>
        <v>17.722222222222221</v>
      </c>
    </row>
    <row r="4176" spans="2:5">
      <c r="B4176" s="943">
        <v>45096</v>
      </c>
      <c r="C4176" s="195">
        <f t="shared" si="131"/>
        <v>6</v>
      </c>
      <c r="D4176" s="195" t="s">
        <v>1443</v>
      </c>
      <c r="E4176" s="705">
        <f t="shared" si="132"/>
        <v>17.222222222222221</v>
      </c>
    </row>
    <row r="4177" spans="2:5">
      <c r="B4177" s="943">
        <v>45096</v>
      </c>
      <c r="C4177" s="195">
        <f t="shared" si="131"/>
        <v>6</v>
      </c>
      <c r="D4177" s="195">
        <v>62.1</v>
      </c>
      <c r="E4177" s="705">
        <f t="shared" si="132"/>
        <v>16.722222222222221</v>
      </c>
    </row>
    <row r="4178" spans="2:5">
      <c r="B4178" s="943">
        <v>45096</v>
      </c>
      <c r="C4178" s="195">
        <f t="shared" si="131"/>
        <v>6</v>
      </c>
      <c r="D4178" s="195">
        <v>61.2</v>
      </c>
      <c r="E4178" s="705">
        <f t="shared" si="132"/>
        <v>16.222222222222225</v>
      </c>
    </row>
    <row r="4179" spans="2:5">
      <c r="B4179" s="943">
        <v>45096</v>
      </c>
      <c r="C4179" s="195">
        <f t="shared" si="131"/>
        <v>6</v>
      </c>
      <c r="D4179" s="195" t="s">
        <v>1442</v>
      </c>
      <c r="E4179" s="705">
        <f t="shared" si="132"/>
        <v>16.111111111111111</v>
      </c>
    </row>
    <row r="4180" spans="2:5">
      <c r="B4180" s="943">
        <v>45096</v>
      </c>
      <c r="C4180" s="195">
        <f t="shared" si="131"/>
        <v>6</v>
      </c>
      <c r="D4180" s="195" t="s">
        <v>1442</v>
      </c>
      <c r="E4180" s="705">
        <f t="shared" si="132"/>
        <v>16.111111111111111</v>
      </c>
    </row>
    <row r="4181" spans="2:5">
      <c r="B4181" s="943">
        <v>45096</v>
      </c>
      <c r="C4181" s="195">
        <f t="shared" si="131"/>
        <v>6</v>
      </c>
      <c r="D4181" s="195">
        <v>61.3</v>
      </c>
      <c r="E4181" s="705">
        <f t="shared" si="132"/>
        <v>16.277777777777775</v>
      </c>
    </row>
    <row r="4182" spans="2:5">
      <c r="B4182" s="943">
        <v>45096</v>
      </c>
      <c r="C4182" s="195">
        <f t="shared" si="131"/>
        <v>6</v>
      </c>
      <c r="D4182" s="195">
        <v>61.7</v>
      </c>
      <c r="E4182" s="705">
        <f t="shared" si="132"/>
        <v>16.5</v>
      </c>
    </row>
    <row r="4183" spans="2:5">
      <c r="B4183" s="943">
        <v>45096</v>
      </c>
      <c r="C4183" s="195">
        <f t="shared" si="131"/>
        <v>6</v>
      </c>
      <c r="D4183" s="195">
        <v>62.4</v>
      </c>
      <c r="E4183" s="705">
        <f t="shared" si="132"/>
        <v>16.888888888888889</v>
      </c>
    </row>
    <row r="4184" spans="2:5">
      <c r="B4184" s="943">
        <v>45096</v>
      </c>
      <c r="C4184" s="195">
        <f t="shared" si="131"/>
        <v>6</v>
      </c>
      <c r="D4184" s="195">
        <v>63.5</v>
      </c>
      <c r="E4184" s="705">
        <f t="shared" si="132"/>
        <v>17.5</v>
      </c>
    </row>
    <row r="4185" spans="2:5">
      <c r="B4185" s="943">
        <v>45097</v>
      </c>
      <c r="C4185" s="195">
        <f t="shared" si="131"/>
        <v>6</v>
      </c>
      <c r="D4185" s="195" t="s">
        <v>1444</v>
      </c>
      <c r="E4185" s="705">
        <f t="shared" si="132"/>
        <v>17.777777777777779</v>
      </c>
    </row>
    <row r="4186" spans="2:5">
      <c r="B4186" s="943">
        <v>45097</v>
      </c>
      <c r="C4186" s="195">
        <f t="shared" si="131"/>
        <v>6</v>
      </c>
      <c r="D4186" s="195">
        <v>64.400000000000006</v>
      </c>
      <c r="E4186" s="705">
        <f t="shared" si="132"/>
        <v>18.000000000000004</v>
      </c>
    </row>
    <row r="4187" spans="2:5">
      <c r="B4187" s="943">
        <v>45097</v>
      </c>
      <c r="C4187" s="195">
        <f t="shared" si="131"/>
        <v>6</v>
      </c>
      <c r="D4187" s="195" t="s">
        <v>1444</v>
      </c>
      <c r="E4187" s="705">
        <f t="shared" si="132"/>
        <v>17.777777777777779</v>
      </c>
    </row>
    <row r="4188" spans="2:5">
      <c r="B4188" s="943">
        <v>45097</v>
      </c>
      <c r="C4188" s="195">
        <f t="shared" si="131"/>
        <v>6</v>
      </c>
      <c r="D4188" s="195" t="s">
        <v>1443</v>
      </c>
      <c r="E4188" s="705">
        <f t="shared" si="132"/>
        <v>17.222222222222221</v>
      </c>
    </row>
    <row r="4189" spans="2:5">
      <c r="B4189" s="943">
        <v>45097</v>
      </c>
      <c r="C4189" s="195">
        <f t="shared" si="131"/>
        <v>6</v>
      </c>
      <c r="D4189" s="195">
        <v>62.2</v>
      </c>
      <c r="E4189" s="705">
        <f t="shared" si="132"/>
        <v>16.777777777777779</v>
      </c>
    </row>
    <row r="4190" spans="2:5">
      <c r="B4190" s="943">
        <v>45097</v>
      </c>
      <c r="C4190" s="195">
        <f t="shared" si="131"/>
        <v>6</v>
      </c>
      <c r="D4190" s="195">
        <v>61.3</v>
      </c>
      <c r="E4190" s="705">
        <f t="shared" si="132"/>
        <v>16.277777777777775</v>
      </c>
    </row>
    <row r="4191" spans="2:5">
      <c r="B4191" s="943">
        <v>45097</v>
      </c>
      <c r="C4191" s="195">
        <f t="shared" si="131"/>
        <v>6</v>
      </c>
      <c r="D4191" s="195" t="s">
        <v>1442</v>
      </c>
      <c r="E4191" s="705">
        <f t="shared" si="132"/>
        <v>16.111111111111111</v>
      </c>
    </row>
    <row r="4192" spans="2:5">
      <c r="B4192" s="943">
        <v>45097</v>
      </c>
      <c r="C4192" s="195">
        <f t="shared" si="131"/>
        <v>6</v>
      </c>
      <c r="D4192" s="195">
        <v>60.6</v>
      </c>
      <c r="E4192" s="705">
        <f t="shared" si="132"/>
        <v>15.888888888888889</v>
      </c>
    </row>
    <row r="4193" spans="2:5">
      <c r="B4193" s="943">
        <v>45097</v>
      </c>
      <c r="C4193" s="195">
        <f t="shared" si="131"/>
        <v>6</v>
      </c>
      <c r="D4193" s="195">
        <v>60.8</v>
      </c>
      <c r="E4193" s="705">
        <f t="shared" si="132"/>
        <v>15.999999999999998</v>
      </c>
    </row>
    <row r="4194" spans="2:5">
      <c r="B4194" s="943">
        <v>45097</v>
      </c>
      <c r="C4194" s="195">
        <f t="shared" si="131"/>
        <v>6</v>
      </c>
      <c r="D4194" s="195">
        <v>61.3</v>
      </c>
      <c r="E4194" s="705">
        <f t="shared" si="132"/>
        <v>16.277777777777775</v>
      </c>
    </row>
    <row r="4195" spans="2:5">
      <c r="B4195" s="943">
        <v>45097</v>
      </c>
      <c r="C4195" s="195">
        <f t="shared" si="131"/>
        <v>6</v>
      </c>
      <c r="D4195" s="195">
        <v>62.1</v>
      </c>
      <c r="E4195" s="705">
        <f t="shared" si="132"/>
        <v>16.722222222222221</v>
      </c>
    </row>
    <row r="4196" spans="2:5">
      <c r="B4196" s="943">
        <v>45097</v>
      </c>
      <c r="C4196" s="195">
        <f t="shared" si="131"/>
        <v>6</v>
      </c>
      <c r="D4196" s="195">
        <v>63.1</v>
      </c>
      <c r="E4196" s="705">
        <f t="shared" si="132"/>
        <v>17.277777777777779</v>
      </c>
    </row>
    <row r="4197" spans="2:5">
      <c r="B4197" s="943">
        <v>45097</v>
      </c>
      <c r="C4197" s="195">
        <f t="shared" si="131"/>
        <v>6</v>
      </c>
      <c r="D4197" s="195">
        <v>63.7</v>
      </c>
      <c r="E4197" s="705">
        <f t="shared" si="132"/>
        <v>17.611111111111111</v>
      </c>
    </row>
    <row r="4198" spans="2:5">
      <c r="B4198" s="943">
        <v>45097</v>
      </c>
      <c r="C4198" s="195">
        <f t="shared" si="131"/>
        <v>6</v>
      </c>
      <c r="D4198" s="195">
        <v>64.2</v>
      </c>
      <c r="E4198" s="705">
        <f t="shared" si="132"/>
        <v>17.888888888888889</v>
      </c>
    </row>
    <row r="4199" spans="2:5">
      <c r="B4199" s="943">
        <v>45097</v>
      </c>
      <c r="C4199" s="195">
        <f t="shared" si="131"/>
        <v>6</v>
      </c>
      <c r="D4199" s="195">
        <v>64.400000000000006</v>
      </c>
      <c r="E4199" s="705">
        <f t="shared" si="132"/>
        <v>18.000000000000004</v>
      </c>
    </row>
    <row r="4200" spans="2:5">
      <c r="B4200" s="943">
        <v>45097</v>
      </c>
      <c r="C4200" s="195">
        <f t="shared" si="131"/>
        <v>6</v>
      </c>
      <c r="D4200" s="195">
        <v>64.2</v>
      </c>
      <c r="E4200" s="705">
        <f t="shared" si="132"/>
        <v>17.888888888888889</v>
      </c>
    </row>
    <row r="4201" spans="2:5">
      <c r="B4201" s="943">
        <v>45097</v>
      </c>
      <c r="C4201" s="195">
        <f t="shared" si="131"/>
        <v>6</v>
      </c>
      <c r="D4201" s="195">
        <v>63.1</v>
      </c>
      <c r="E4201" s="705">
        <f t="shared" si="132"/>
        <v>17.277777777777779</v>
      </c>
    </row>
    <row r="4202" spans="2:5">
      <c r="B4202" s="943">
        <v>45097</v>
      </c>
      <c r="C4202" s="195">
        <f t="shared" si="131"/>
        <v>6</v>
      </c>
      <c r="D4202" s="195">
        <v>61.9</v>
      </c>
      <c r="E4202" s="705">
        <f t="shared" si="132"/>
        <v>16.611111111111111</v>
      </c>
    </row>
    <row r="4203" spans="2:5">
      <c r="B4203" s="943">
        <v>45097</v>
      </c>
      <c r="C4203" s="195">
        <f t="shared" si="131"/>
        <v>6</v>
      </c>
      <c r="D4203" s="195">
        <v>60.1</v>
      </c>
      <c r="E4203" s="705">
        <f t="shared" si="132"/>
        <v>15.611111111111111</v>
      </c>
    </row>
    <row r="4204" spans="2:5">
      <c r="B4204" s="943">
        <v>45097</v>
      </c>
      <c r="C4204" s="195">
        <f t="shared" si="131"/>
        <v>6</v>
      </c>
      <c r="D4204" s="195">
        <v>59.7</v>
      </c>
      <c r="E4204" s="705">
        <f t="shared" si="132"/>
        <v>15.388888888888889</v>
      </c>
    </row>
    <row r="4205" spans="2:5">
      <c r="B4205" s="943">
        <v>45097</v>
      </c>
      <c r="C4205" s="195">
        <f t="shared" si="131"/>
        <v>6</v>
      </c>
      <c r="D4205" s="195">
        <v>59.2</v>
      </c>
      <c r="E4205" s="705">
        <f t="shared" si="132"/>
        <v>15.111111111111112</v>
      </c>
    </row>
    <row r="4206" spans="2:5">
      <c r="B4206" s="943">
        <v>45097</v>
      </c>
      <c r="C4206" s="195">
        <f t="shared" si="131"/>
        <v>6</v>
      </c>
      <c r="D4206" s="195">
        <v>59.9</v>
      </c>
      <c r="E4206" s="705">
        <f t="shared" si="132"/>
        <v>15.499999999999998</v>
      </c>
    </row>
    <row r="4207" spans="2:5">
      <c r="B4207" s="943">
        <v>45097</v>
      </c>
      <c r="C4207" s="195">
        <f t="shared" si="131"/>
        <v>6</v>
      </c>
      <c r="D4207" s="195" t="s">
        <v>1442</v>
      </c>
      <c r="E4207" s="705">
        <f t="shared" si="132"/>
        <v>16.111111111111111</v>
      </c>
    </row>
    <row r="4208" spans="2:5">
      <c r="B4208" s="943">
        <v>45097</v>
      </c>
      <c r="C4208" s="195">
        <f t="shared" si="131"/>
        <v>6</v>
      </c>
      <c r="D4208" s="195">
        <v>62.1</v>
      </c>
      <c r="E4208" s="705">
        <f t="shared" si="132"/>
        <v>16.722222222222221</v>
      </c>
    </row>
    <row r="4209" spans="2:5">
      <c r="B4209" s="943">
        <v>45098</v>
      </c>
      <c r="C4209" s="195">
        <f t="shared" si="131"/>
        <v>6</v>
      </c>
      <c r="D4209" s="195">
        <v>63.7</v>
      </c>
      <c r="E4209" s="705">
        <f t="shared" si="132"/>
        <v>17.611111111111111</v>
      </c>
    </row>
    <row r="4210" spans="2:5">
      <c r="B4210" s="943">
        <v>45098</v>
      </c>
      <c r="C4210" s="195">
        <f t="shared" si="131"/>
        <v>6</v>
      </c>
      <c r="D4210" s="195">
        <v>64.2</v>
      </c>
      <c r="E4210" s="705">
        <f t="shared" si="132"/>
        <v>17.888888888888889</v>
      </c>
    </row>
    <row r="4211" spans="2:5">
      <c r="B4211" s="943">
        <v>45098</v>
      </c>
      <c r="C4211" s="195">
        <f t="shared" si="131"/>
        <v>6</v>
      </c>
      <c r="D4211" s="195">
        <v>64.400000000000006</v>
      </c>
      <c r="E4211" s="705">
        <f t="shared" si="132"/>
        <v>18.000000000000004</v>
      </c>
    </row>
    <row r="4212" spans="2:5">
      <c r="B4212" s="943">
        <v>45098</v>
      </c>
      <c r="C4212" s="195">
        <f t="shared" si="131"/>
        <v>6</v>
      </c>
      <c r="D4212" s="195">
        <v>63.9</v>
      </c>
      <c r="E4212" s="705">
        <f t="shared" si="132"/>
        <v>17.722222222222221</v>
      </c>
    </row>
    <row r="4213" spans="2:5">
      <c r="B4213" s="943">
        <v>45098</v>
      </c>
      <c r="C4213" s="195">
        <f t="shared" si="131"/>
        <v>6</v>
      </c>
      <c r="D4213" s="195">
        <v>62.1</v>
      </c>
      <c r="E4213" s="705">
        <f t="shared" si="132"/>
        <v>16.722222222222221</v>
      </c>
    </row>
    <row r="4214" spans="2:5">
      <c r="B4214" s="943">
        <v>45098</v>
      </c>
      <c r="C4214" s="195">
        <f t="shared" si="131"/>
        <v>6</v>
      </c>
      <c r="D4214" s="195">
        <v>60.8</v>
      </c>
      <c r="E4214" s="705">
        <f t="shared" si="132"/>
        <v>15.999999999999998</v>
      </c>
    </row>
    <row r="4215" spans="2:5">
      <c r="B4215" s="943">
        <v>45098</v>
      </c>
      <c r="C4215" s="195">
        <f t="shared" si="131"/>
        <v>6</v>
      </c>
      <c r="D4215" s="195">
        <v>59.5</v>
      </c>
      <c r="E4215" s="705">
        <f t="shared" si="132"/>
        <v>15.277777777777777</v>
      </c>
    </row>
    <row r="4216" spans="2:5">
      <c r="B4216" s="943">
        <v>45098</v>
      </c>
      <c r="C4216" s="195">
        <f t="shared" si="131"/>
        <v>6</v>
      </c>
      <c r="D4216" s="195">
        <v>58.8</v>
      </c>
      <c r="E4216" s="705">
        <f t="shared" si="132"/>
        <v>14.888888888888888</v>
      </c>
    </row>
    <row r="4217" spans="2:5">
      <c r="B4217" s="943">
        <v>45098</v>
      </c>
      <c r="C4217" s="195">
        <f t="shared" si="131"/>
        <v>6</v>
      </c>
      <c r="D4217" s="195">
        <v>58.8</v>
      </c>
      <c r="E4217" s="705">
        <f t="shared" si="132"/>
        <v>14.888888888888888</v>
      </c>
    </row>
    <row r="4218" spans="2:5">
      <c r="B4218" s="943">
        <v>45098</v>
      </c>
      <c r="C4218" s="195">
        <f t="shared" si="131"/>
        <v>6</v>
      </c>
      <c r="D4218" s="195" t="s">
        <v>1441</v>
      </c>
      <c r="E4218" s="705">
        <f t="shared" si="132"/>
        <v>15</v>
      </c>
    </row>
    <row r="4219" spans="2:5">
      <c r="B4219" s="943">
        <v>45098</v>
      </c>
      <c r="C4219" s="195">
        <f t="shared" si="131"/>
        <v>6</v>
      </c>
      <c r="D4219" s="195">
        <v>59.9</v>
      </c>
      <c r="E4219" s="705">
        <f t="shared" si="132"/>
        <v>15.499999999999998</v>
      </c>
    </row>
    <row r="4220" spans="2:5">
      <c r="B4220" s="943">
        <v>45098</v>
      </c>
      <c r="C4220" s="195">
        <f t="shared" si="131"/>
        <v>6</v>
      </c>
      <c r="D4220" s="195">
        <v>61.3</v>
      </c>
      <c r="E4220" s="705">
        <f t="shared" si="132"/>
        <v>16.277777777777775</v>
      </c>
    </row>
    <row r="4221" spans="2:5">
      <c r="B4221" s="943">
        <v>45098</v>
      </c>
      <c r="C4221" s="195">
        <f t="shared" si="131"/>
        <v>6</v>
      </c>
      <c r="D4221" s="195" t="s">
        <v>1443</v>
      </c>
      <c r="E4221" s="705">
        <f t="shared" si="132"/>
        <v>17.222222222222221</v>
      </c>
    </row>
    <row r="4222" spans="2:5">
      <c r="B4222" s="943">
        <v>45098</v>
      </c>
      <c r="C4222" s="195">
        <f t="shared" si="131"/>
        <v>6</v>
      </c>
      <c r="D4222" s="195">
        <v>63.7</v>
      </c>
      <c r="E4222" s="705">
        <f t="shared" si="132"/>
        <v>17.611111111111111</v>
      </c>
    </row>
    <row r="4223" spans="2:5">
      <c r="B4223" s="943">
        <v>45098</v>
      </c>
      <c r="C4223" s="195">
        <f t="shared" si="131"/>
        <v>6</v>
      </c>
      <c r="D4223" s="195">
        <v>64.400000000000006</v>
      </c>
      <c r="E4223" s="705">
        <f t="shared" si="132"/>
        <v>18.000000000000004</v>
      </c>
    </row>
    <row r="4224" spans="2:5">
      <c r="B4224" s="943">
        <v>45098</v>
      </c>
      <c r="C4224" s="195">
        <f t="shared" si="131"/>
        <v>6</v>
      </c>
      <c r="D4224" s="195">
        <v>64.8</v>
      </c>
      <c r="E4224" s="705">
        <f t="shared" si="132"/>
        <v>18.222222222222221</v>
      </c>
    </row>
    <row r="4225" spans="2:5">
      <c r="B4225" s="943">
        <v>45098</v>
      </c>
      <c r="C4225" s="195">
        <f t="shared" si="131"/>
        <v>6</v>
      </c>
      <c r="D4225" s="195">
        <v>63.3</v>
      </c>
      <c r="E4225" s="705">
        <f t="shared" si="132"/>
        <v>17.388888888888886</v>
      </c>
    </row>
    <row r="4226" spans="2:5">
      <c r="B4226" s="943">
        <v>45098</v>
      </c>
      <c r="C4226" s="195">
        <f t="shared" si="131"/>
        <v>6</v>
      </c>
      <c r="D4226" s="195">
        <v>62.4</v>
      </c>
      <c r="E4226" s="705">
        <f t="shared" si="132"/>
        <v>16.888888888888889</v>
      </c>
    </row>
    <row r="4227" spans="2:5">
      <c r="B4227" s="943">
        <v>45098</v>
      </c>
      <c r="C4227" s="195">
        <f t="shared" si="131"/>
        <v>6</v>
      </c>
      <c r="D4227" s="195" t="s">
        <v>1442</v>
      </c>
      <c r="E4227" s="705">
        <f t="shared" si="132"/>
        <v>16.111111111111111</v>
      </c>
    </row>
    <row r="4228" spans="2:5">
      <c r="B4228" s="943">
        <v>45098</v>
      </c>
      <c r="C4228" s="195">
        <f t="shared" si="131"/>
        <v>6</v>
      </c>
      <c r="D4228" s="195">
        <v>59.5</v>
      </c>
      <c r="E4228" s="705">
        <f t="shared" si="132"/>
        <v>15.277777777777777</v>
      </c>
    </row>
    <row r="4229" spans="2:5">
      <c r="B4229" s="943">
        <v>45098</v>
      </c>
      <c r="C4229" s="195">
        <f t="shared" si="131"/>
        <v>6</v>
      </c>
      <c r="D4229" s="195">
        <v>59.4</v>
      </c>
      <c r="E4229" s="705">
        <f t="shared" si="132"/>
        <v>15.222222222222221</v>
      </c>
    </row>
    <row r="4230" spans="2:5">
      <c r="B4230" s="943">
        <v>45098</v>
      </c>
      <c r="C4230" s="195">
        <f t="shared" si="131"/>
        <v>6</v>
      </c>
      <c r="D4230" s="195">
        <v>60.1</v>
      </c>
      <c r="E4230" s="705">
        <f t="shared" si="132"/>
        <v>15.611111111111111</v>
      </c>
    </row>
    <row r="4231" spans="2:5">
      <c r="B4231" s="943">
        <v>45098</v>
      </c>
      <c r="C4231" s="195">
        <f t="shared" si="131"/>
        <v>6</v>
      </c>
      <c r="D4231" s="195">
        <v>59.5</v>
      </c>
      <c r="E4231" s="705">
        <f t="shared" si="132"/>
        <v>15.277777777777777</v>
      </c>
    </row>
    <row r="4232" spans="2:5">
      <c r="B4232" s="943">
        <v>45098</v>
      </c>
      <c r="C4232" s="195">
        <f t="shared" si="131"/>
        <v>6</v>
      </c>
      <c r="D4232" s="195" t="s">
        <v>1442</v>
      </c>
      <c r="E4232" s="705">
        <f t="shared" si="132"/>
        <v>16.111111111111111</v>
      </c>
    </row>
    <row r="4233" spans="2:5">
      <c r="B4233" s="943">
        <v>45099</v>
      </c>
      <c r="C4233" s="195">
        <f t="shared" si="131"/>
        <v>6</v>
      </c>
      <c r="D4233" s="195">
        <v>62.4</v>
      </c>
      <c r="E4233" s="705">
        <f t="shared" si="132"/>
        <v>16.888888888888889</v>
      </c>
    </row>
    <row r="4234" spans="2:5">
      <c r="B4234" s="943">
        <v>45099</v>
      </c>
      <c r="C4234" s="195">
        <f t="shared" ref="C4234:C4297" si="133">MONTH(B4234)</f>
        <v>6</v>
      </c>
      <c r="D4234" s="195">
        <v>63.9</v>
      </c>
      <c r="E4234" s="705">
        <f t="shared" ref="E4234:E4297" si="134">CONVERT(D4234,"F","C")</f>
        <v>17.722222222222221</v>
      </c>
    </row>
    <row r="4235" spans="2:5">
      <c r="B4235" s="943">
        <v>45099</v>
      </c>
      <c r="C4235" s="195">
        <f t="shared" si="133"/>
        <v>6</v>
      </c>
      <c r="D4235" s="195">
        <v>64.400000000000006</v>
      </c>
      <c r="E4235" s="705">
        <f t="shared" si="134"/>
        <v>18.000000000000004</v>
      </c>
    </row>
    <row r="4236" spans="2:5">
      <c r="B4236" s="943">
        <v>45099</v>
      </c>
      <c r="C4236" s="195">
        <f t="shared" si="133"/>
        <v>6</v>
      </c>
      <c r="D4236" s="195">
        <v>64.400000000000006</v>
      </c>
      <c r="E4236" s="705">
        <f t="shared" si="134"/>
        <v>18.000000000000004</v>
      </c>
    </row>
    <row r="4237" spans="2:5">
      <c r="B4237" s="943">
        <v>45099</v>
      </c>
      <c r="C4237" s="195">
        <f t="shared" si="133"/>
        <v>6</v>
      </c>
      <c r="D4237" s="195">
        <v>62.6</v>
      </c>
      <c r="E4237" s="705">
        <f t="shared" si="134"/>
        <v>17</v>
      </c>
    </row>
    <row r="4238" spans="2:5">
      <c r="B4238" s="943">
        <v>45099</v>
      </c>
      <c r="C4238" s="195">
        <f t="shared" si="133"/>
        <v>6</v>
      </c>
      <c r="D4238" s="195">
        <v>61.7</v>
      </c>
      <c r="E4238" s="705">
        <f t="shared" si="134"/>
        <v>16.5</v>
      </c>
    </row>
    <row r="4239" spans="2:5">
      <c r="B4239" s="943">
        <v>45099</v>
      </c>
      <c r="C4239" s="195">
        <f t="shared" si="133"/>
        <v>6</v>
      </c>
      <c r="D4239" s="195">
        <v>60.4</v>
      </c>
      <c r="E4239" s="705">
        <f t="shared" si="134"/>
        <v>15.777777777777777</v>
      </c>
    </row>
    <row r="4240" spans="2:5">
      <c r="B4240" s="943">
        <v>45099</v>
      </c>
      <c r="C4240" s="195">
        <f t="shared" si="133"/>
        <v>6</v>
      </c>
      <c r="D4240" s="195">
        <v>59.4</v>
      </c>
      <c r="E4240" s="705">
        <f t="shared" si="134"/>
        <v>15.222222222222221</v>
      </c>
    </row>
    <row r="4241" spans="2:5">
      <c r="B4241" s="943">
        <v>45099</v>
      </c>
      <c r="C4241" s="195">
        <f t="shared" si="133"/>
        <v>6</v>
      </c>
      <c r="D4241" s="195">
        <v>58.8</v>
      </c>
      <c r="E4241" s="705">
        <f t="shared" si="134"/>
        <v>14.888888888888888</v>
      </c>
    </row>
    <row r="4242" spans="2:5">
      <c r="B4242" s="943">
        <v>45099</v>
      </c>
      <c r="C4242" s="195">
        <f t="shared" si="133"/>
        <v>6</v>
      </c>
      <c r="D4242" s="195">
        <v>58.6</v>
      </c>
      <c r="E4242" s="705">
        <f t="shared" si="134"/>
        <v>14.777777777777779</v>
      </c>
    </row>
    <row r="4243" spans="2:5">
      <c r="B4243" s="943">
        <v>45099</v>
      </c>
      <c r="C4243" s="195">
        <f t="shared" si="133"/>
        <v>6</v>
      </c>
      <c r="D4243" s="195">
        <v>58.6</v>
      </c>
      <c r="E4243" s="705">
        <f t="shared" si="134"/>
        <v>14.777777777777779</v>
      </c>
    </row>
    <row r="4244" spans="2:5">
      <c r="B4244" s="943">
        <v>45099</v>
      </c>
      <c r="C4244" s="195">
        <f t="shared" si="133"/>
        <v>6</v>
      </c>
      <c r="D4244" s="195">
        <v>60.1</v>
      </c>
      <c r="E4244" s="705">
        <f t="shared" si="134"/>
        <v>15.611111111111111</v>
      </c>
    </row>
    <row r="4245" spans="2:5">
      <c r="B4245" s="943">
        <v>45099</v>
      </c>
      <c r="C4245" s="195">
        <f t="shared" si="133"/>
        <v>6</v>
      </c>
      <c r="D4245" s="195">
        <v>61.7</v>
      </c>
      <c r="E4245" s="705">
        <f t="shared" si="134"/>
        <v>16.5</v>
      </c>
    </row>
    <row r="4246" spans="2:5">
      <c r="B4246" s="943">
        <v>45099</v>
      </c>
      <c r="C4246" s="195">
        <f t="shared" si="133"/>
        <v>6</v>
      </c>
      <c r="D4246" s="195">
        <v>63.1</v>
      </c>
      <c r="E4246" s="705">
        <f t="shared" si="134"/>
        <v>17.277777777777779</v>
      </c>
    </row>
    <row r="4247" spans="2:5">
      <c r="B4247" s="943">
        <v>45099</v>
      </c>
      <c r="C4247" s="195">
        <f t="shared" si="133"/>
        <v>6</v>
      </c>
      <c r="D4247" s="195" t="s">
        <v>1444</v>
      </c>
      <c r="E4247" s="705">
        <f t="shared" si="134"/>
        <v>17.777777777777779</v>
      </c>
    </row>
    <row r="4248" spans="2:5">
      <c r="B4248" s="943">
        <v>45099</v>
      </c>
      <c r="C4248" s="195">
        <f t="shared" si="133"/>
        <v>6</v>
      </c>
      <c r="D4248" s="195">
        <v>64.8</v>
      </c>
      <c r="E4248" s="705">
        <f t="shared" si="134"/>
        <v>18.222222222222221</v>
      </c>
    </row>
    <row r="4249" spans="2:5">
      <c r="B4249" s="943">
        <v>45099</v>
      </c>
      <c r="C4249" s="195">
        <f t="shared" si="133"/>
        <v>6</v>
      </c>
      <c r="D4249" s="195">
        <v>64.400000000000006</v>
      </c>
      <c r="E4249" s="705">
        <f t="shared" si="134"/>
        <v>18.000000000000004</v>
      </c>
    </row>
    <row r="4250" spans="2:5">
      <c r="B4250" s="943">
        <v>45099</v>
      </c>
      <c r="C4250" s="195">
        <f t="shared" si="133"/>
        <v>6</v>
      </c>
      <c r="D4250" s="195" t="s">
        <v>1443</v>
      </c>
      <c r="E4250" s="705">
        <f t="shared" si="134"/>
        <v>17.222222222222221</v>
      </c>
    </row>
    <row r="4251" spans="2:5">
      <c r="B4251" s="943">
        <v>45099</v>
      </c>
      <c r="C4251" s="195">
        <f t="shared" si="133"/>
        <v>6</v>
      </c>
      <c r="D4251" s="195">
        <v>61.7</v>
      </c>
      <c r="E4251" s="705">
        <f t="shared" si="134"/>
        <v>16.5</v>
      </c>
    </row>
    <row r="4252" spans="2:5">
      <c r="B4252" s="943">
        <v>45099</v>
      </c>
      <c r="C4252" s="195">
        <f t="shared" si="133"/>
        <v>6</v>
      </c>
      <c r="D4252" s="195">
        <v>60.1</v>
      </c>
      <c r="E4252" s="705">
        <f t="shared" si="134"/>
        <v>15.611111111111111</v>
      </c>
    </row>
    <row r="4253" spans="2:5">
      <c r="B4253" s="943">
        <v>45099</v>
      </c>
      <c r="C4253" s="195">
        <f t="shared" si="133"/>
        <v>6</v>
      </c>
      <c r="D4253" s="195">
        <v>59.4</v>
      </c>
      <c r="E4253" s="705">
        <f t="shared" si="134"/>
        <v>15.222222222222221</v>
      </c>
    </row>
    <row r="4254" spans="2:5">
      <c r="B4254" s="943">
        <v>45099</v>
      </c>
      <c r="C4254" s="195">
        <f t="shared" si="133"/>
        <v>6</v>
      </c>
      <c r="D4254" s="195">
        <v>58.8</v>
      </c>
      <c r="E4254" s="705">
        <f t="shared" si="134"/>
        <v>14.888888888888888</v>
      </c>
    </row>
    <row r="4255" spans="2:5">
      <c r="B4255" s="943">
        <v>45099</v>
      </c>
      <c r="C4255" s="195">
        <f t="shared" si="133"/>
        <v>6</v>
      </c>
      <c r="D4255" s="195" t="s">
        <v>1441</v>
      </c>
      <c r="E4255" s="705">
        <f t="shared" si="134"/>
        <v>15</v>
      </c>
    </row>
    <row r="4256" spans="2:5">
      <c r="B4256" s="943">
        <v>45099</v>
      </c>
      <c r="C4256" s="195">
        <f t="shared" si="133"/>
        <v>6</v>
      </c>
      <c r="D4256" s="195">
        <v>59.7</v>
      </c>
      <c r="E4256" s="705">
        <f t="shared" si="134"/>
        <v>15.388888888888889</v>
      </c>
    </row>
    <row r="4257" spans="2:5">
      <c r="B4257" s="943">
        <v>45100</v>
      </c>
      <c r="C4257" s="195">
        <f t="shared" si="133"/>
        <v>6</v>
      </c>
      <c r="D4257" s="195">
        <v>60.8</v>
      </c>
      <c r="E4257" s="705">
        <f t="shared" si="134"/>
        <v>15.999999999999998</v>
      </c>
    </row>
    <row r="4258" spans="2:5">
      <c r="B4258" s="943">
        <v>45100</v>
      </c>
      <c r="C4258" s="195">
        <f t="shared" si="133"/>
        <v>6</v>
      </c>
      <c r="D4258" s="195">
        <v>62.4</v>
      </c>
      <c r="E4258" s="705">
        <f t="shared" si="134"/>
        <v>16.888888888888889</v>
      </c>
    </row>
    <row r="4259" spans="2:5">
      <c r="B4259" s="943">
        <v>45100</v>
      </c>
      <c r="C4259" s="195">
        <f t="shared" si="133"/>
        <v>6</v>
      </c>
      <c r="D4259" s="195">
        <v>63.9</v>
      </c>
      <c r="E4259" s="705">
        <f t="shared" si="134"/>
        <v>17.722222222222221</v>
      </c>
    </row>
    <row r="4260" spans="2:5">
      <c r="B4260" s="943">
        <v>45100</v>
      </c>
      <c r="C4260" s="195">
        <f t="shared" si="133"/>
        <v>6</v>
      </c>
      <c r="D4260" s="195">
        <v>64.400000000000006</v>
      </c>
      <c r="E4260" s="705">
        <f t="shared" si="134"/>
        <v>18.000000000000004</v>
      </c>
    </row>
    <row r="4261" spans="2:5">
      <c r="B4261" s="943">
        <v>45100</v>
      </c>
      <c r="C4261" s="195">
        <f t="shared" si="133"/>
        <v>6</v>
      </c>
      <c r="D4261" s="195">
        <v>63.9</v>
      </c>
      <c r="E4261" s="705">
        <f t="shared" si="134"/>
        <v>17.722222222222221</v>
      </c>
    </row>
    <row r="4262" spans="2:5">
      <c r="B4262" s="943">
        <v>45100</v>
      </c>
      <c r="C4262" s="195">
        <f t="shared" si="133"/>
        <v>6</v>
      </c>
      <c r="D4262" s="195">
        <v>61.5</v>
      </c>
      <c r="E4262" s="705">
        <f t="shared" si="134"/>
        <v>16.388888888888889</v>
      </c>
    </row>
    <row r="4263" spans="2:5">
      <c r="B4263" s="943">
        <v>45100</v>
      </c>
      <c r="C4263" s="195">
        <f t="shared" si="133"/>
        <v>6</v>
      </c>
      <c r="D4263" s="195">
        <v>60.8</v>
      </c>
      <c r="E4263" s="705">
        <f t="shared" si="134"/>
        <v>15.999999999999998</v>
      </c>
    </row>
    <row r="4264" spans="2:5">
      <c r="B4264" s="943">
        <v>45100</v>
      </c>
      <c r="C4264" s="195">
        <f t="shared" si="133"/>
        <v>6</v>
      </c>
      <c r="D4264" s="195">
        <v>59.2</v>
      </c>
      <c r="E4264" s="705">
        <f t="shared" si="134"/>
        <v>15.111111111111112</v>
      </c>
    </row>
    <row r="4265" spans="2:5">
      <c r="B4265" s="943">
        <v>45100</v>
      </c>
      <c r="C4265" s="195">
        <f t="shared" si="133"/>
        <v>6</v>
      </c>
      <c r="D4265" s="195">
        <v>58.3</v>
      </c>
      <c r="E4265" s="705">
        <f t="shared" si="134"/>
        <v>14.611111111111109</v>
      </c>
    </row>
    <row r="4266" spans="2:5">
      <c r="B4266" s="943">
        <v>45100</v>
      </c>
      <c r="C4266" s="195">
        <f t="shared" si="133"/>
        <v>6</v>
      </c>
      <c r="D4266" s="195">
        <v>57.4</v>
      </c>
      <c r="E4266" s="705">
        <f t="shared" si="134"/>
        <v>14.111111111111111</v>
      </c>
    </row>
    <row r="4267" spans="2:5">
      <c r="B4267" s="943">
        <v>45100</v>
      </c>
      <c r="C4267" s="195">
        <f t="shared" si="133"/>
        <v>6</v>
      </c>
      <c r="D4267" s="195">
        <v>58.3</v>
      </c>
      <c r="E4267" s="705">
        <f t="shared" si="134"/>
        <v>14.611111111111109</v>
      </c>
    </row>
    <row r="4268" spans="2:5">
      <c r="B4268" s="943">
        <v>45100</v>
      </c>
      <c r="C4268" s="195">
        <f t="shared" si="133"/>
        <v>6</v>
      </c>
      <c r="D4268" s="195">
        <v>58.6</v>
      </c>
      <c r="E4268" s="705">
        <f t="shared" si="134"/>
        <v>14.777777777777779</v>
      </c>
    </row>
    <row r="4269" spans="2:5">
      <c r="B4269" s="943">
        <v>45100</v>
      </c>
      <c r="C4269" s="195">
        <f t="shared" si="133"/>
        <v>6</v>
      </c>
      <c r="D4269" s="195">
        <v>60.1</v>
      </c>
      <c r="E4269" s="705">
        <f t="shared" si="134"/>
        <v>15.611111111111111</v>
      </c>
    </row>
    <row r="4270" spans="2:5">
      <c r="B4270" s="943">
        <v>45100</v>
      </c>
      <c r="C4270" s="195">
        <f t="shared" si="133"/>
        <v>6</v>
      </c>
      <c r="D4270" s="195">
        <v>61.9</v>
      </c>
      <c r="E4270" s="705">
        <f t="shared" si="134"/>
        <v>16.611111111111111</v>
      </c>
    </row>
    <row r="4271" spans="2:5">
      <c r="B4271" s="943">
        <v>45100</v>
      </c>
      <c r="C4271" s="195">
        <f t="shared" si="133"/>
        <v>6</v>
      </c>
      <c r="D4271" s="195">
        <v>63.3</v>
      </c>
      <c r="E4271" s="705">
        <f t="shared" si="134"/>
        <v>17.388888888888886</v>
      </c>
    </row>
    <row r="4272" spans="2:5">
      <c r="B4272" s="943">
        <v>45100</v>
      </c>
      <c r="C4272" s="195">
        <f t="shared" si="133"/>
        <v>6</v>
      </c>
      <c r="D4272" s="195">
        <v>64.400000000000006</v>
      </c>
      <c r="E4272" s="705">
        <f t="shared" si="134"/>
        <v>18.000000000000004</v>
      </c>
    </row>
    <row r="4273" spans="2:5">
      <c r="B4273" s="943">
        <v>45100</v>
      </c>
      <c r="C4273" s="195">
        <f t="shared" si="133"/>
        <v>6</v>
      </c>
      <c r="D4273" s="195">
        <v>64.900000000000006</v>
      </c>
      <c r="E4273" s="705">
        <f t="shared" si="134"/>
        <v>18.277777777777782</v>
      </c>
    </row>
    <row r="4274" spans="2:5">
      <c r="B4274" s="943">
        <v>45100</v>
      </c>
      <c r="C4274" s="195">
        <f t="shared" si="133"/>
        <v>6</v>
      </c>
      <c r="D4274" s="195">
        <v>63.9</v>
      </c>
      <c r="E4274" s="705">
        <f t="shared" si="134"/>
        <v>17.722222222222221</v>
      </c>
    </row>
    <row r="4275" spans="2:5">
      <c r="B4275" s="943">
        <v>45100</v>
      </c>
      <c r="C4275" s="195">
        <f t="shared" si="133"/>
        <v>6</v>
      </c>
      <c r="D4275" s="195">
        <v>62.8</v>
      </c>
      <c r="E4275" s="705">
        <f t="shared" si="134"/>
        <v>17.111111111111111</v>
      </c>
    </row>
    <row r="4276" spans="2:5">
      <c r="B4276" s="943">
        <v>45100</v>
      </c>
      <c r="C4276" s="195">
        <f t="shared" si="133"/>
        <v>6</v>
      </c>
      <c r="D4276" s="195">
        <v>60.8</v>
      </c>
      <c r="E4276" s="705">
        <f t="shared" si="134"/>
        <v>15.999999999999998</v>
      </c>
    </row>
    <row r="4277" spans="2:5">
      <c r="B4277" s="943">
        <v>45100</v>
      </c>
      <c r="C4277" s="195">
        <f t="shared" si="133"/>
        <v>6</v>
      </c>
      <c r="D4277" s="195">
        <v>59.7</v>
      </c>
      <c r="E4277" s="705">
        <f t="shared" si="134"/>
        <v>15.388888888888889</v>
      </c>
    </row>
    <row r="4278" spans="2:5">
      <c r="B4278" s="943">
        <v>45100</v>
      </c>
      <c r="C4278" s="195">
        <f t="shared" si="133"/>
        <v>6</v>
      </c>
      <c r="D4278" s="195">
        <v>58.8</v>
      </c>
      <c r="E4278" s="705">
        <f t="shared" si="134"/>
        <v>14.888888888888888</v>
      </c>
    </row>
    <row r="4279" spans="2:5">
      <c r="B4279" s="943">
        <v>45100</v>
      </c>
      <c r="C4279" s="195">
        <f t="shared" si="133"/>
        <v>6</v>
      </c>
      <c r="D4279" s="195" t="s">
        <v>1441</v>
      </c>
      <c r="E4279" s="705">
        <f t="shared" si="134"/>
        <v>15</v>
      </c>
    </row>
    <row r="4280" spans="2:5">
      <c r="B4280" s="943">
        <v>45100</v>
      </c>
      <c r="C4280" s="195">
        <f t="shared" si="133"/>
        <v>6</v>
      </c>
      <c r="D4280" s="195">
        <v>59.4</v>
      </c>
      <c r="E4280" s="705">
        <f t="shared" si="134"/>
        <v>15.222222222222221</v>
      </c>
    </row>
    <row r="4281" spans="2:5">
      <c r="B4281" s="943">
        <v>45101</v>
      </c>
      <c r="C4281" s="195">
        <f t="shared" si="133"/>
        <v>6</v>
      </c>
      <c r="D4281" s="195">
        <v>60.1</v>
      </c>
      <c r="E4281" s="705">
        <f t="shared" si="134"/>
        <v>15.611111111111111</v>
      </c>
    </row>
    <row r="4282" spans="2:5">
      <c r="B4282" s="943">
        <v>45101</v>
      </c>
      <c r="C4282" s="195">
        <f t="shared" si="133"/>
        <v>6</v>
      </c>
      <c r="D4282" s="195">
        <v>61.3</v>
      </c>
      <c r="E4282" s="705">
        <f t="shared" si="134"/>
        <v>16.277777777777775</v>
      </c>
    </row>
    <row r="4283" spans="2:5">
      <c r="B4283" s="943">
        <v>45101</v>
      </c>
      <c r="C4283" s="195">
        <f t="shared" si="133"/>
        <v>6</v>
      </c>
      <c r="D4283" s="195">
        <v>63.3</v>
      </c>
      <c r="E4283" s="705">
        <f t="shared" si="134"/>
        <v>17.388888888888886</v>
      </c>
    </row>
    <row r="4284" spans="2:5">
      <c r="B4284" s="943">
        <v>45101</v>
      </c>
      <c r="C4284" s="195">
        <f t="shared" si="133"/>
        <v>6</v>
      </c>
      <c r="D4284" s="195">
        <v>64.400000000000006</v>
      </c>
      <c r="E4284" s="705">
        <f t="shared" si="134"/>
        <v>18.000000000000004</v>
      </c>
    </row>
    <row r="4285" spans="2:5">
      <c r="B4285" s="943">
        <v>45101</v>
      </c>
      <c r="C4285" s="195">
        <f t="shared" si="133"/>
        <v>6</v>
      </c>
      <c r="D4285" s="195">
        <v>64.8</v>
      </c>
      <c r="E4285" s="705">
        <f t="shared" si="134"/>
        <v>18.222222222222221</v>
      </c>
    </row>
    <row r="4286" spans="2:5">
      <c r="B4286" s="943">
        <v>45101</v>
      </c>
      <c r="C4286" s="195">
        <f t="shared" si="133"/>
        <v>6</v>
      </c>
      <c r="D4286" s="195">
        <v>63.3</v>
      </c>
      <c r="E4286" s="705">
        <f t="shared" si="134"/>
        <v>17.388888888888886</v>
      </c>
    </row>
    <row r="4287" spans="2:5">
      <c r="B4287" s="943">
        <v>45101</v>
      </c>
      <c r="C4287" s="195">
        <f t="shared" si="133"/>
        <v>6</v>
      </c>
      <c r="D4287" s="195">
        <v>61.7</v>
      </c>
      <c r="E4287" s="705">
        <f t="shared" si="134"/>
        <v>16.5</v>
      </c>
    </row>
    <row r="4288" spans="2:5">
      <c r="B4288" s="943">
        <v>45101</v>
      </c>
      <c r="C4288" s="195">
        <f t="shared" si="133"/>
        <v>6</v>
      </c>
      <c r="D4288" s="195" t="s">
        <v>1442</v>
      </c>
      <c r="E4288" s="705">
        <f t="shared" si="134"/>
        <v>16.111111111111111</v>
      </c>
    </row>
    <row r="4289" spans="2:5">
      <c r="B4289" s="943">
        <v>45101</v>
      </c>
      <c r="C4289" s="195">
        <f t="shared" si="133"/>
        <v>6</v>
      </c>
      <c r="D4289" s="195">
        <v>60.1</v>
      </c>
      <c r="E4289" s="705">
        <f t="shared" si="134"/>
        <v>15.611111111111111</v>
      </c>
    </row>
    <row r="4290" spans="2:5">
      <c r="B4290" s="943">
        <v>45101</v>
      </c>
      <c r="C4290" s="195">
        <f t="shared" si="133"/>
        <v>6</v>
      </c>
      <c r="D4290" s="195" t="s">
        <v>1441</v>
      </c>
      <c r="E4290" s="705">
        <f t="shared" si="134"/>
        <v>15</v>
      </c>
    </row>
    <row r="4291" spans="2:5">
      <c r="B4291" s="943">
        <v>45101</v>
      </c>
      <c r="C4291" s="195">
        <f t="shared" si="133"/>
        <v>6</v>
      </c>
      <c r="D4291" s="195">
        <v>58.3</v>
      </c>
      <c r="E4291" s="705">
        <f t="shared" si="134"/>
        <v>14.611111111111109</v>
      </c>
    </row>
    <row r="4292" spans="2:5">
      <c r="B4292" s="943">
        <v>45101</v>
      </c>
      <c r="C4292" s="195">
        <f t="shared" si="133"/>
        <v>6</v>
      </c>
      <c r="D4292" s="195">
        <v>58.5</v>
      </c>
      <c r="E4292" s="705">
        <f t="shared" si="134"/>
        <v>14.722222222222221</v>
      </c>
    </row>
    <row r="4293" spans="2:5">
      <c r="B4293" s="943">
        <v>45101</v>
      </c>
      <c r="C4293" s="195">
        <f t="shared" si="133"/>
        <v>6</v>
      </c>
      <c r="D4293" s="195">
        <v>59.9</v>
      </c>
      <c r="E4293" s="705">
        <f t="shared" si="134"/>
        <v>15.499999999999998</v>
      </c>
    </row>
    <row r="4294" spans="2:5">
      <c r="B4294" s="943">
        <v>45101</v>
      </c>
      <c r="C4294" s="195">
        <f t="shared" si="133"/>
        <v>6</v>
      </c>
      <c r="D4294" s="195">
        <v>61.2</v>
      </c>
      <c r="E4294" s="705">
        <f t="shared" si="134"/>
        <v>16.222222222222225</v>
      </c>
    </row>
    <row r="4295" spans="2:5">
      <c r="B4295" s="943">
        <v>45101</v>
      </c>
      <c r="C4295" s="195">
        <f t="shared" si="133"/>
        <v>6</v>
      </c>
      <c r="D4295" s="195">
        <v>63.1</v>
      </c>
      <c r="E4295" s="705">
        <f t="shared" si="134"/>
        <v>17.277777777777779</v>
      </c>
    </row>
    <row r="4296" spans="2:5">
      <c r="B4296" s="943">
        <v>45101</v>
      </c>
      <c r="C4296" s="195">
        <f t="shared" si="133"/>
        <v>6</v>
      </c>
      <c r="D4296" s="195">
        <v>64.400000000000006</v>
      </c>
      <c r="E4296" s="705">
        <f t="shared" si="134"/>
        <v>18.000000000000004</v>
      </c>
    </row>
    <row r="4297" spans="2:5">
      <c r="B4297" s="943">
        <v>45101</v>
      </c>
      <c r="C4297" s="195">
        <f t="shared" si="133"/>
        <v>6</v>
      </c>
      <c r="D4297" s="195">
        <v>65.099999999999994</v>
      </c>
      <c r="E4297" s="705">
        <f t="shared" si="134"/>
        <v>18.388888888888886</v>
      </c>
    </row>
    <row r="4298" spans="2:5">
      <c r="B4298" s="943">
        <v>45101</v>
      </c>
      <c r="C4298" s="195">
        <f t="shared" ref="C4298:C4361" si="135">MONTH(B4298)</f>
        <v>6</v>
      </c>
      <c r="D4298" s="195">
        <v>65.3</v>
      </c>
      <c r="E4298" s="705">
        <f t="shared" ref="E4298:E4361" si="136">CONVERT(D4298,"F","C")</f>
        <v>18.499999999999996</v>
      </c>
    </row>
    <row r="4299" spans="2:5">
      <c r="B4299" s="943">
        <v>45101</v>
      </c>
      <c r="C4299" s="195">
        <f t="shared" si="135"/>
        <v>6</v>
      </c>
      <c r="D4299" s="195">
        <v>64.8</v>
      </c>
      <c r="E4299" s="705">
        <f t="shared" si="136"/>
        <v>18.222222222222221</v>
      </c>
    </row>
    <row r="4300" spans="2:5">
      <c r="B4300" s="943">
        <v>45101</v>
      </c>
      <c r="C4300" s="195">
        <f t="shared" si="135"/>
        <v>6</v>
      </c>
      <c r="D4300" s="195">
        <v>61.7</v>
      </c>
      <c r="E4300" s="705">
        <f t="shared" si="136"/>
        <v>16.5</v>
      </c>
    </row>
    <row r="4301" spans="2:5">
      <c r="B4301" s="943">
        <v>45101</v>
      </c>
      <c r="C4301" s="195">
        <f t="shared" si="135"/>
        <v>6</v>
      </c>
      <c r="D4301" s="195">
        <v>59.9</v>
      </c>
      <c r="E4301" s="705">
        <f t="shared" si="136"/>
        <v>15.499999999999998</v>
      </c>
    </row>
    <row r="4302" spans="2:5">
      <c r="B4302" s="943">
        <v>45101</v>
      </c>
      <c r="C4302" s="195">
        <f t="shared" si="135"/>
        <v>6</v>
      </c>
      <c r="D4302" s="195">
        <v>58.3</v>
      </c>
      <c r="E4302" s="705">
        <f t="shared" si="136"/>
        <v>14.611111111111109</v>
      </c>
    </row>
    <row r="4303" spans="2:5">
      <c r="B4303" s="943">
        <v>45101</v>
      </c>
      <c r="C4303" s="195">
        <f t="shared" si="135"/>
        <v>6</v>
      </c>
      <c r="D4303" s="195">
        <v>56.7</v>
      </c>
      <c r="E4303" s="705">
        <f t="shared" si="136"/>
        <v>13.722222222222223</v>
      </c>
    </row>
    <row r="4304" spans="2:5">
      <c r="B4304" s="943">
        <v>45101</v>
      </c>
      <c r="C4304" s="195">
        <f t="shared" si="135"/>
        <v>6</v>
      </c>
      <c r="D4304" s="195">
        <v>57.9</v>
      </c>
      <c r="E4304" s="705">
        <f t="shared" si="136"/>
        <v>14.388888888888888</v>
      </c>
    </row>
    <row r="4305" spans="2:5">
      <c r="B4305" s="943">
        <v>45102</v>
      </c>
      <c r="C4305" s="195">
        <f t="shared" si="135"/>
        <v>6</v>
      </c>
      <c r="D4305" s="195">
        <v>57.6</v>
      </c>
      <c r="E4305" s="705">
        <f t="shared" si="136"/>
        <v>14.222222222222223</v>
      </c>
    </row>
    <row r="4306" spans="2:5">
      <c r="B4306" s="943">
        <v>45102</v>
      </c>
      <c r="C4306" s="195">
        <f t="shared" si="135"/>
        <v>6</v>
      </c>
      <c r="D4306" s="195" t="s">
        <v>1441</v>
      </c>
      <c r="E4306" s="705">
        <f t="shared" si="136"/>
        <v>15</v>
      </c>
    </row>
    <row r="4307" spans="2:5">
      <c r="B4307" s="943">
        <v>45102</v>
      </c>
      <c r="C4307" s="195">
        <f t="shared" si="135"/>
        <v>6</v>
      </c>
      <c r="D4307" s="195">
        <v>60.8</v>
      </c>
      <c r="E4307" s="705">
        <f t="shared" si="136"/>
        <v>15.999999999999998</v>
      </c>
    </row>
    <row r="4308" spans="2:5">
      <c r="B4308" s="943">
        <v>45102</v>
      </c>
      <c r="C4308" s="195">
        <f t="shared" si="135"/>
        <v>6</v>
      </c>
      <c r="D4308" s="195">
        <v>63.1</v>
      </c>
      <c r="E4308" s="705">
        <f t="shared" si="136"/>
        <v>17.277777777777779</v>
      </c>
    </row>
    <row r="4309" spans="2:5">
      <c r="B4309" s="943">
        <v>45102</v>
      </c>
      <c r="C4309" s="195">
        <f t="shared" si="135"/>
        <v>6</v>
      </c>
      <c r="D4309" s="195">
        <v>64.400000000000006</v>
      </c>
      <c r="E4309" s="705">
        <f t="shared" si="136"/>
        <v>18.000000000000004</v>
      </c>
    </row>
    <row r="4310" spans="2:5">
      <c r="B4310" s="943">
        <v>45102</v>
      </c>
      <c r="C4310" s="195">
        <f t="shared" si="135"/>
        <v>6</v>
      </c>
      <c r="D4310" s="195">
        <v>64.599999999999994</v>
      </c>
      <c r="E4310" s="705">
        <f t="shared" si="136"/>
        <v>18.111111111111107</v>
      </c>
    </row>
    <row r="4311" spans="2:5">
      <c r="B4311" s="943">
        <v>45102</v>
      </c>
      <c r="C4311" s="195">
        <f t="shared" si="135"/>
        <v>6</v>
      </c>
      <c r="D4311" s="195">
        <v>62.6</v>
      </c>
      <c r="E4311" s="705">
        <f t="shared" si="136"/>
        <v>17</v>
      </c>
    </row>
    <row r="4312" spans="2:5">
      <c r="B4312" s="943">
        <v>45102</v>
      </c>
      <c r="C4312" s="195">
        <f t="shared" si="135"/>
        <v>6</v>
      </c>
      <c r="D4312" s="195" t="s">
        <v>1442</v>
      </c>
      <c r="E4312" s="705">
        <f t="shared" si="136"/>
        <v>16.111111111111111</v>
      </c>
    </row>
    <row r="4313" spans="2:5">
      <c r="B4313" s="943">
        <v>45102</v>
      </c>
      <c r="C4313" s="195">
        <f t="shared" si="135"/>
        <v>6</v>
      </c>
      <c r="D4313" s="195">
        <v>59.7</v>
      </c>
      <c r="E4313" s="705">
        <f t="shared" si="136"/>
        <v>15.388888888888889</v>
      </c>
    </row>
    <row r="4314" spans="2:5">
      <c r="B4314" s="943">
        <v>45102</v>
      </c>
      <c r="C4314" s="195">
        <f t="shared" si="135"/>
        <v>6</v>
      </c>
      <c r="D4314" s="195">
        <v>58.3</v>
      </c>
      <c r="E4314" s="705">
        <f t="shared" si="136"/>
        <v>14.611111111111109</v>
      </c>
    </row>
    <row r="4315" spans="2:5">
      <c r="B4315" s="943">
        <v>45102</v>
      </c>
      <c r="C4315" s="195">
        <f t="shared" si="135"/>
        <v>6</v>
      </c>
      <c r="D4315" s="195">
        <v>56.8</v>
      </c>
      <c r="E4315" s="705">
        <f t="shared" si="136"/>
        <v>13.777777777777775</v>
      </c>
    </row>
    <row r="4316" spans="2:5">
      <c r="B4316" s="943">
        <v>45102</v>
      </c>
      <c r="C4316" s="195">
        <f t="shared" si="135"/>
        <v>6</v>
      </c>
      <c r="D4316" s="195">
        <v>57.2</v>
      </c>
      <c r="E4316" s="705">
        <f t="shared" si="136"/>
        <v>14.000000000000002</v>
      </c>
    </row>
    <row r="4317" spans="2:5">
      <c r="B4317" s="943">
        <v>45102</v>
      </c>
      <c r="C4317" s="195">
        <f t="shared" si="135"/>
        <v>6</v>
      </c>
      <c r="D4317" s="195">
        <v>57.4</v>
      </c>
      <c r="E4317" s="705">
        <f t="shared" si="136"/>
        <v>14.111111111111111</v>
      </c>
    </row>
    <row r="4318" spans="2:5">
      <c r="B4318" s="943">
        <v>45102</v>
      </c>
      <c r="C4318" s="195">
        <f t="shared" si="135"/>
        <v>6</v>
      </c>
      <c r="D4318" s="195">
        <v>59.2</v>
      </c>
      <c r="E4318" s="705">
        <f t="shared" si="136"/>
        <v>15.111111111111112</v>
      </c>
    </row>
    <row r="4319" spans="2:5">
      <c r="B4319" s="943">
        <v>45102</v>
      </c>
      <c r="C4319" s="195">
        <f t="shared" si="135"/>
        <v>6</v>
      </c>
      <c r="D4319" s="195" t="s">
        <v>1442</v>
      </c>
      <c r="E4319" s="705">
        <f t="shared" si="136"/>
        <v>16.111111111111111</v>
      </c>
    </row>
    <row r="4320" spans="2:5">
      <c r="B4320" s="943">
        <v>45102</v>
      </c>
      <c r="C4320" s="195">
        <f t="shared" si="135"/>
        <v>6</v>
      </c>
      <c r="D4320" s="195">
        <v>63.3</v>
      </c>
      <c r="E4320" s="705">
        <f t="shared" si="136"/>
        <v>17.388888888888886</v>
      </c>
    </row>
    <row r="4321" spans="2:5">
      <c r="B4321" s="943">
        <v>45102</v>
      </c>
      <c r="C4321" s="195">
        <f t="shared" si="135"/>
        <v>6</v>
      </c>
      <c r="D4321" s="195">
        <v>64.8</v>
      </c>
      <c r="E4321" s="705">
        <f t="shared" si="136"/>
        <v>18.222222222222221</v>
      </c>
    </row>
    <row r="4322" spans="2:5">
      <c r="B4322" s="943">
        <v>45102</v>
      </c>
      <c r="C4322" s="195">
        <f t="shared" si="135"/>
        <v>6</v>
      </c>
      <c r="D4322" s="195">
        <v>65.5</v>
      </c>
      <c r="E4322" s="705">
        <f t="shared" si="136"/>
        <v>18.611111111111111</v>
      </c>
    </row>
    <row r="4323" spans="2:5">
      <c r="B4323" s="943">
        <v>45102</v>
      </c>
      <c r="C4323" s="195">
        <f t="shared" si="135"/>
        <v>6</v>
      </c>
      <c r="D4323" s="195">
        <v>64.900000000000006</v>
      </c>
      <c r="E4323" s="705">
        <f t="shared" si="136"/>
        <v>18.277777777777782</v>
      </c>
    </row>
    <row r="4324" spans="2:5">
      <c r="B4324" s="943">
        <v>45102</v>
      </c>
      <c r="C4324" s="195">
        <f t="shared" si="135"/>
        <v>6</v>
      </c>
      <c r="D4324" s="195">
        <v>62.8</v>
      </c>
      <c r="E4324" s="705">
        <f t="shared" si="136"/>
        <v>17.111111111111111</v>
      </c>
    </row>
    <row r="4325" spans="2:5">
      <c r="B4325" s="943">
        <v>45102</v>
      </c>
      <c r="C4325" s="195">
        <f t="shared" si="135"/>
        <v>6</v>
      </c>
      <c r="D4325" s="195" t="s">
        <v>1442</v>
      </c>
      <c r="E4325" s="705">
        <f t="shared" si="136"/>
        <v>16.111111111111111</v>
      </c>
    </row>
    <row r="4326" spans="2:5">
      <c r="B4326" s="943">
        <v>45102</v>
      </c>
      <c r="C4326" s="195">
        <f t="shared" si="135"/>
        <v>6</v>
      </c>
      <c r="D4326" s="195">
        <v>58.8</v>
      </c>
      <c r="E4326" s="705">
        <f t="shared" si="136"/>
        <v>14.888888888888888</v>
      </c>
    </row>
    <row r="4327" spans="2:5">
      <c r="B4327" s="943">
        <v>45102</v>
      </c>
      <c r="C4327" s="195">
        <f t="shared" si="135"/>
        <v>6</v>
      </c>
      <c r="D4327" s="195">
        <v>57.2</v>
      </c>
      <c r="E4327" s="705">
        <f t="shared" si="136"/>
        <v>14.000000000000002</v>
      </c>
    </row>
    <row r="4328" spans="2:5">
      <c r="B4328" s="943">
        <v>45102</v>
      </c>
      <c r="C4328" s="195">
        <f t="shared" si="135"/>
        <v>6</v>
      </c>
      <c r="D4328" s="195">
        <v>55.6</v>
      </c>
      <c r="E4328" s="705">
        <f t="shared" si="136"/>
        <v>13.111111111111111</v>
      </c>
    </row>
    <row r="4329" spans="2:5">
      <c r="B4329" s="943">
        <v>45103</v>
      </c>
      <c r="C4329" s="195">
        <f t="shared" si="135"/>
        <v>6</v>
      </c>
      <c r="D4329" s="195">
        <v>57.4</v>
      </c>
      <c r="E4329" s="705">
        <f t="shared" si="136"/>
        <v>14.111111111111111</v>
      </c>
    </row>
    <row r="4330" spans="2:5">
      <c r="B4330" s="943">
        <v>45103</v>
      </c>
      <c r="C4330" s="195">
        <f t="shared" si="135"/>
        <v>6</v>
      </c>
      <c r="D4330" s="195">
        <v>56.8</v>
      </c>
      <c r="E4330" s="705">
        <f t="shared" si="136"/>
        <v>13.777777777777775</v>
      </c>
    </row>
    <row r="4331" spans="2:5">
      <c r="B4331" s="943">
        <v>45103</v>
      </c>
      <c r="C4331" s="195">
        <f t="shared" si="135"/>
        <v>6</v>
      </c>
      <c r="D4331" s="195" t="s">
        <v>1441</v>
      </c>
      <c r="E4331" s="705">
        <f t="shared" si="136"/>
        <v>15</v>
      </c>
    </row>
    <row r="4332" spans="2:5">
      <c r="B4332" s="943">
        <v>45103</v>
      </c>
      <c r="C4332" s="195">
        <f t="shared" si="135"/>
        <v>6</v>
      </c>
      <c r="D4332" s="195">
        <v>61.5</v>
      </c>
      <c r="E4332" s="705">
        <f t="shared" si="136"/>
        <v>16.388888888888889</v>
      </c>
    </row>
    <row r="4333" spans="2:5">
      <c r="B4333" s="943">
        <v>45103</v>
      </c>
      <c r="C4333" s="195">
        <f t="shared" si="135"/>
        <v>6</v>
      </c>
      <c r="D4333" s="195">
        <v>63.7</v>
      </c>
      <c r="E4333" s="705">
        <f t="shared" si="136"/>
        <v>17.611111111111111</v>
      </c>
    </row>
    <row r="4334" spans="2:5">
      <c r="B4334" s="943">
        <v>45103</v>
      </c>
      <c r="C4334" s="195">
        <f t="shared" si="135"/>
        <v>6</v>
      </c>
      <c r="D4334" s="195">
        <v>64.8</v>
      </c>
      <c r="E4334" s="705">
        <f t="shared" si="136"/>
        <v>18.222222222222221</v>
      </c>
    </row>
    <row r="4335" spans="2:5">
      <c r="B4335" s="943">
        <v>45103</v>
      </c>
      <c r="C4335" s="195">
        <f t="shared" si="135"/>
        <v>6</v>
      </c>
      <c r="D4335" s="195">
        <v>65.099999999999994</v>
      </c>
      <c r="E4335" s="705">
        <f t="shared" si="136"/>
        <v>18.388888888888886</v>
      </c>
    </row>
    <row r="4336" spans="2:5">
      <c r="B4336" s="943">
        <v>45103</v>
      </c>
      <c r="C4336" s="195">
        <f t="shared" si="135"/>
        <v>6</v>
      </c>
      <c r="D4336" s="195">
        <v>62.4</v>
      </c>
      <c r="E4336" s="705">
        <f t="shared" si="136"/>
        <v>16.888888888888889</v>
      </c>
    </row>
    <row r="4337" spans="2:5">
      <c r="B4337" s="943">
        <v>45103</v>
      </c>
      <c r="C4337" s="195">
        <f t="shared" si="135"/>
        <v>6</v>
      </c>
      <c r="D4337" s="195">
        <v>60.1</v>
      </c>
      <c r="E4337" s="705">
        <f t="shared" si="136"/>
        <v>15.611111111111111</v>
      </c>
    </row>
    <row r="4338" spans="2:5">
      <c r="B4338" s="943">
        <v>45103</v>
      </c>
      <c r="C4338" s="195">
        <f t="shared" si="135"/>
        <v>6</v>
      </c>
      <c r="D4338" s="195">
        <v>58.3</v>
      </c>
      <c r="E4338" s="705">
        <f t="shared" si="136"/>
        <v>14.611111111111109</v>
      </c>
    </row>
    <row r="4339" spans="2:5">
      <c r="B4339" s="943">
        <v>45103</v>
      </c>
      <c r="C4339" s="195">
        <f t="shared" si="135"/>
        <v>6</v>
      </c>
      <c r="D4339" s="195">
        <v>56.8</v>
      </c>
      <c r="E4339" s="705">
        <f t="shared" si="136"/>
        <v>13.777777777777775</v>
      </c>
    </row>
    <row r="4340" spans="2:5">
      <c r="B4340" s="943">
        <v>45103</v>
      </c>
      <c r="C4340" s="195">
        <f t="shared" si="135"/>
        <v>6</v>
      </c>
      <c r="D4340" s="195">
        <v>56.5</v>
      </c>
      <c r="E4340" s="705">
        <f t="shared" si="136"/>
        <v>13.611111111111111</v>
      </c>
    </row>
    <row r="4341" spans="2:5">
      <c r="B4341" s="943">
        <v>45103</v>
      </c>
      <c r="C4341" s="195">
        <f t="shared" si="135"/>
        <v>6</v>
      </c>
      <c r="D4341" s="195">
        <v>57.2</v>
      </c>
      <c r="E4341" s="705">
        <f t="shared" si="136"/>
        <v>14.000000000000002</v>
      </c>
    </row>
    <row r="4342" spans="2:5">
      <c r="B4342" s="943">
        <v>45103</v>
      </c>
      <c r="C4342" s="195">
        <f t="shared" si="135"/>
        <v>6</v>
      </c>
      <c r="D4342" s="195">
        <v>56.5</v>
      </c>
      <c r="E4342" s="705">
        <f t="shared" si="136"/>
        <v>13.611111111111111</v>
      </c>
    </row>
    <row r="4343" spans="2:5">
      <c r="B4343" s="943">
        <v>45103</v>
      </c>
      <c r="C4343" s="195">
        <f t="shared" si="135"/>
        <v>6</v>
      </c>
      <c r="D4343" s="195">
        <v>58.5</v>
      </c>
      <c r="E4343" s="705">
        <f t="shared" si="136"/>
        <v>14.722222222222221</v>
      </c>
    </row>
    <row r="4344" spans="2:5">
      <c r="B4344" s="943">
        <v>45103</v>
      </c>
      <c r="C4344" s="195">
        <f t="shared" si="135"/>
        <v>6</v>
      </c>
      <c r="D4344" s="195">
        <v>60.8</v>
      </c>
      <c r="E4344" s="705">
        <f t="shared" si="136"/>
        <v>15.999999999999998</v>
      </c>
    </row>
    <row r="4345" spans="2:5">
      <c r="B4345" s="943">
        <v>45103</v>
      </c>
      <c r="C4345" s="195">
        <f t="shared" si="135"/>
        <v>6</v>
      </c>
      <c r="D4345" s="195">
        <v>63.7</v>
      </c>
      <c r="E4345" s="705">
        <f t="shared" si="136"/>
        <v>17.611111111111111</v>
      </c>
    </row>
    <row r="4346" spans="2:5">
      <c r="B4346" s="943">
        <v>45103</v>
      </c>
      <c r="C4346" s="195">
        <f t="shared" si="135"/>
        <v>6</v>
      </c>
      <c r="D4346" s="195">
        <v>64.900000000000006</v>
      </c>
      <c r="E4346" s="705">
        <f t="shared" si="136"/>
        <v>18.277777777777782</v>
      </c>
    </row>
    <row r="4347" spans="2:5">
      <c r="B4347" s="943">
        <v>45103</v>
      </c>
      <c r="C4347" s="195">
        <f t="shared" si="135"/>
        <v>6</v>
      </c>
      <c r="D4347" s="195">
        <v>65.7</v>
      </c>
      <c r="E4347" s="705">
        <f t="shared" si="136"/>
        <v>18.722222222222225</v>
      </c>
    </row>
    <row r="4348" spans="2:5">
      <c r="B4348" s="943">
        <v>45103</v>
      </c>
      <c r="C4348" s="195">
        <f t="shared" si="135"/>
        <v>6</v>
      </c>
      <c r="D4348" s="195" t="s">
        <v>1444</v>
      </c>
      <c r="E4348" s="705">
        <f t="shared" si="136"/>
        <v>17.777777777777779</v>
      </c>
    </row>
    <row r="4349" spans="2:5">
      <c r="B4349" s="943">
        <v>45103</v>
      </c>
      <c r="C4349" s="195">
        <f t="shared" si="135"/>
        <v>6</v>
      </c>
      <c r="D4349" s="195">
        <v>61.5</v>
      </c>
      <c r="E4349" s="705">
        <f t="shared" si="136"/>
        <v>16.388888888888889</v>
      </c>
    </row>
    <row r="4350" spans="2:5">
      <c r="B4350" s="943">
        <v>45103</v>
      </c>
      <c r="C4350" s="195">
        <f t="shared" si="135"/>
        <v>6</v>
      </c>
      <c r="D4350" s="195">
        <v>59.7</v>
      </c>
      <c r="E4350" s="705">
        <f t="shared" si="136"/>
        <v>15.388888888888889</v>
      </c>
    </row>
    <row r="4351" spans="2:5">
      <c r="B4351" s="943">
        <v>45103</v>
      </c>
      <c r="C4351" s="195">
        <f t="shared" si="135"/>
        <v>6</v>
      </c>
      <c r="D4351" s="195">
        <v>57.9</v>
      </c>
      <c r="E4351" s="705">
        <f t="shared" si="136"/>
        <v>14.388888888888888</v>
      </c>
    </row>
    <row r="4352" spans="2:5">
      <c r="B4352" s="943">
        <v>45103</v>
      </c>
      <c r="C4352" s="195">
        <f t="shared" si="135"/>
        <v>6</v>
      </c>
      <c r="D4352" s="195">
        <v>56.5</v>
      </c>
      <c r="E4352" s="705">
        <f t="shared" si="136"/>
        <v>13.611111111111111</v>
      </c>
    </row>
    <row r="4353" spans="2:5">
      <c r="B4353" s="943">
        <v>45104</v>
      </c>
      <c r="C4353" s="195">
        <f t="shared" si="135"/>
        <v>6</v>
      </c>
      <c r="D4353" s="195">
        <v>55.4</v>
      </c>
      <c r="E4353" s="705">
        <f t="shared" si="136"/>
        <v>12.999999999999998</v>
      </c>
    </row>
    <row r="4354" spans="2:5">
      <c r="B4354" s="943">
        <v>45104</v>
      </c>
      <c r="C4354" s="195">
        <f t="shared" si="135"/>
        <v>6</v>
      </c>
      <c r="D4354" s="195" t="s">
        <v>1440</v>
      </c>
      <c r="E4354" s="705">
        <f t="shared" si="136"/>
        <v>13.888888888888889</v>
      </c>
    </row>
    <row r="4355" spans="2:5">
      <c r="B4355" s="943">
        <v>45104</v>
      </c>
      <c r="C4355" s="195">
        <f t="shared" si="135"/>
        <v>6</v>
      </c>
      <c r="D4355" s="195">
        <v>57.6</v>
      </c>
      <c r="E4355" s="705">
        <f t="shared" si="136"/>
        <v>14.222222222222223</v>
      </c>
    </row>
    <row r="4356" spans="2:5">
      <c r="B4356" s="943">
        <v>45104</v>
      </c>
      <c r="C4356" s="195">
        <f t="shared" si="135"/>
        <v>6</v>
      </c>
      <c r="D4356" s="195" t="s">
        <v>1441</v>
      </c>
      <c r="E4356" s="705">
        <f t="shared" si="136"/>
        <v>15</v>
      </c>
    </row>
    <row r="4357" spans="2:5">
      <c r="B4357" s="943">
        <v>45104</v>
      </c>
      <c r="C4357" s="195">
        <f t="shared" si="135"/>
        <v>6</v>
      </c>
      <c r="D4357" s="195">
        <v>61.5</v>
      </c>
      <c r="E4357" s="705">
        <f t="shared" si="136"/>
        <v>16.388888888888889</v>
      </c>
    </row>
    <row r="4358" spans="2:5">
      <c r="B4358" s="943">
        <v>45104</v>
      </c>
      <c r="C4358" s="195">
        <f t="shared" si="135"/>
        <v>6</v>
      </c>
      <c r="D4358" s="195">
        <v>63.5</v>
      </c>
      <c r="E4358" s="705">
        <f t="shared" si="136"/>
        <v>17.5</v>
      </c>
    </row>
    <row r="4359" spans="2:5">
      <c r="B4359" s="943">
        <v>45104</v>
      </c>
      <c r="C4359" s="195">
        <f t="shared" si="135"/>
        <v>6</v>
      </c>
      <c r="D4359" s="195">
        <v>64.2</v>
      </c>
      <c r="E4359" s="705">
        <f t="shared" si="136"/>
        <v>17.888888888888889</v>
      </c>
    </row>
    <row r="4360" spans="2:5">
      <c r="B4360" s="943">
        <v>45104</v>
      </c>
      <c r="C4360" s="195">
        <f t="shared" si="135"/>
        <v>6</v>
      </c>
      <c r="D4360" s="195">
        <v>64.400000000000006</v>
      </c>
      <c r="E4360" s="705">
        <f t="shared" si="136"/>
        <v>18.000000000000004</v>
      </c>
    </row>
    <row r="4361" spans="2:5">
      <c r="B4361" s="943">
        <v>45104</v>
      </c>
      <c r="C4361" s="195">
        <f t="shared" si="135"/>
        <v>6</v>
      </c>
      <c r="D4361" s="195">
        <v>62.2</v>
      </c>
      <c r="E4361" s="705">
        <f t="shared" si="136"/>
        <v>16.777777777777779</v>
      </c>
    </row>
    <row r="4362" spans="2:5">
      <c r="B4362" s="943">
        <v>45104</v>
      </c>
      <c r="C4362" s="195">
        <f t="shared" ref="C4362:C4425" si="137">MONTH(B4362)</f>
        <v>6</v>
      </c>
      <c r="D4362" s="195">
        <v>59.9</v>
      </c>
      <c r="E4362" s="705">
        <f t="shared" ref="E4362:E4425" si="138">CONVERT(D4362,"F","C")</f>
        <v>15.499999999999998</v>
      </c>
    </row>
    <row r="4363" spans="2:5">
      <c r="B4363" s="943">
        <v>45104</v>
      </c>
      <c r="C4363" s="195">
        <f t="shared" si="137"/>
        <v>6</v>
      </c>
      <c r="D4363" s="195">
        <v>59.2</v>
      </c>
      <c r="E4363" s="705">
        <f t="shared" si="138"/>
        <v>15.111111111111112</v>
      </c>
    </row>
    <row r="4364" spans="2:5">
      <c r="B4364" s="943">
        <v>45104</v>
      </c>
      <c r="C4364" s="195">
        <f t="shared" si="137"/>
        <v>6</v>
      </c>
      <c r="D4364" s="195">
        <v>58.5</v>
      </c>
      <c r="E4364" s="705">
        <f t="shared" si="138"/>
        <v>14.722222222222221</v>
      </c>
    </row>
    <row r="4365" spans="2:5">
      <c r="B4365" s="943">
        <v>45104</v>
      </c>
      <c r="C4365" s="195">
        <f t="shared" si="137"/>
        <v>6</v>
      </c>
      <c r="D4365" s="195">
        <v>58.6</v>
      </c>
      <c r="E4365" s="705">
        <f t="shared" si="138"/>
        <v>14.777777777777779</v>
      </c>
    </row>
    <row r="4366" spans="2:5">
      <c r="B4366" s="943">
        <v>45104</v>
      </c>
      <c r="C4366" s="195">
        <f t="shared" si="137"/>
        <v>6</v>
      </c>
      <c r="D4366" s="195" t="s">
        <v>1441</v>
      </c>
      <c r="E4366" s="705">
        <f t="shared" si="138"/>
        <v>15</v>
      </c>
    </row>
    <row r="4367" spans="2:5">
      <c r="B4367" s="943">
        <v>45104</v>
      </c>
      <c r="C4367" s="195">
        <f t="shared" si="137"/>
        <v>6</v>
      </c>
      <c r="D4367" s="195">
        <v>59.2</v>
      </c>
      <c r="E4367" s="705">
        <f t="shared" si="138"/>
        <v>15.111111111111112</v>
      </c>
    </row>
    <row r="4368" spans="2:5">
      <c r="B4368" s="943">
        <v>45104</v>
      </c>
      <c r="C4368" s="195">
        <f t="shared" si="137"/>
        <v>6</v>
      </c>
      <c r="D4368" s="195">
        <v>59.9</v>
      </c>
      <c r="E4368" s="705">
        <f t="shared" si="138"/>
        <v>15.499999999999998</v>
      </c>
    </row>
    <row r="4369" spans="2:5">
      <c r="B4369" s="943">
        <v>45104</v>
      </c>
      <c r="C4369" s="195">
        <f t="shared" si="137"/>
        <v>6</v>
      </c>
      <c r="D4369" s="195">
        <v>61.9</v>
      </c>
      <c r="E4369" s="705">
        <f t="shared" si="138"/>
        <v>16.611111111111111</v>
      </c>
    </row>
    <row r="4370" spans="2:5">
      <c r="B4370" s="943">
        <v>45104</v>
      </c>
      <c r="C4370" s="195">
        <f t="shared" si="137"/>
        <v>6</v>
      </c>
      <c r="D4370" s="195">
        <v>63.9</v>
      </c>
      <c r="E4370" s="705">
        <f t="shared" si="138"/>
        <v>17.722222222222221</v>
      </c>
    </row>
    <row r="4371" spans="2:5">
      <c r="B4371" s="943">
        <v>45104</v>
      </c>
      <c r="C4371" s="195">
        <f t="shared" si="137"/>
        <v>6</v>
      </c>
      <c r="D4371" s="195">
        <v>64.900000000000006</v>
      </c>
      <c r="E4371" s="705">
        <f t="shared" si="138"/>
        <v>18.277777777777782</v>
      </c>
    </row>
    <row r="4372" spans="2:5">
      <c r="B4372" s="943">
        <v>45104</v>
      </c>
      <c r="C4372" s="195">
        <f t="shared" si="137"/>
        <v>6</v>
      </c>
      <c r="D4372" s="195">
        <v>65.3</v>
      </c>
      <c r="E4372" s="705">
        <f t="shared" si="138"/>
        <v>18.499999999999996</v>
      </c>
    </row>
    <row r="4373" spans="2:5">
      <c r="B4373" s="943">
        <v>45104</v>
      </c>
      <c r="C4373" s="195">
        <f t="shared" si="137"/>
        <v>6</v>
      </c>
      <c r="D4373" s="195">
        <v>63.9</v>
      </c>
      <c r="E4373" s="705">
        <f t="shared" si="138"/>
        <v>17.722222222222221</v>
      </c>
    </row>
    <row r="4374" spans="2:5">
      <c r="B4374" s="943">
        <v>45104</v>
      </c>
      <c r="C4374" s="195">
        <f t="shared" si="137"/>
        <v>6</v>
      </c>
      <c r="D4374" s="195">
        <v>62.1</v>
      </c>
      <c r="E4374" s="705">
        <f t="shared" si="138"/>
        <v>16.722222222222221</v>
      </c>
    </row>
    <row r="4375" spans="2:5">
      <c r="B4375" s="943">
        <v>45104</v>
      </c>
      <c r="C4375" s="195">
        <f t="shared" si="137"/>
        <v>6</v>
      </c>
      <c r="D4375" s="195">
        <v>61.5</v>
      </c>
      <c r="E4375" s="705">
        <f t="shared" si="138"/>
        <v>16.388888888888889</v>
      </c>
    </row>
    <row r="4376" spans="2:5">
      <c r="B4376" s="943">
        <v>45104</v>
      </c>
      <c r="C4376" s="195">
        <f t="shared" si="137"/>
        <v>6</v>
      </c>
      <c r="D4376" s="195">
        <v>61.2</v>
      </c>
      <c r="E4376" s="705">
        <f t="shared" si="138"/>
        <v>16.222222222222225</v>
      </c>
    </row>
    <row r="4377" spans="2:5">
      <c r="B4377" s="943">
        <v>45105</v>
      </c>
      <c r="C4377" s="195">
        <f t="shared" si="137"/>
        <v>6</v>
      </c>
      <c r="D4377" s="195" t="s">
        <v>1442</v>
      </c>
      <c r="E4377" s="705">
        <f t="shared" si="138"/>
        <v>16.111111111111111</v>
      </c>
    </row>
    <row r="4378" spans="2:5">
      <c r="B4378" s="943">
        <v>45105</v>
      </c>
      <c r="C4378" s="195">
        <f t="shared" si="137"/>
        <v>6</v>
      </c>
      <c r="D4378" s="195" t="s">
        <v>1442</v>
      </c>
      <c r="E4378" s="705">
        <f t="shared" si="138"/>
        <v>16.111111111111111</v>
      </c>
    </row>
    <row r="4379" spans="2:5">
      <c r="B4379" s="943">
        <v>45105</v>
      </c>
      <c r="C4379" s="195">
        <f t="shared" si="137"/>
        <v>6</v>
      </c>
      <c r="D4379" s="195" t="s">
        <v>1442</v>
      </c>
      <c r="E4379" s="705">
        <f t="shared" si="138"/>
        <v>16.111111111111111</v>
      </c>
    </row>
    <row r="4380" spans="2:5">
      <c r="B4380" s="943">
        <v>45105</v>
      </c>
      <c r="C4380" s="195">
        <f t="shared" si="137"/>
        <v>6</v>
      </c>
      <c r="D4380" s="195">
        <v>61.5</v>
      </c>
      <c r="E4380" s="705">
        <f t="shared" si="138"/>
        <v>16.388888888888889</v>
      </c>
    </row>
    <row r="4381" spans="2:5">
      <c r="B4381" s="943">
        <v>45105</v>
      </c>
      <c r="C4381" s="195">
        <f t="shared" si="137"/>
        <v>6</v>
      </c>
      <c r="D4381" s="195">
        <v>62.2</v>
      </c>
      <c r="E4381" s="705">
        <f t="shared" si="138"/>
        <v>16.777777777777779</v>
      </c>
    </row>
    <row r="4382" spans="2:5">
      <c r="B4382" s="943">
        <v>45105</v>
      </c>
      <c r="C4382" s="195">
        <f t="shared" si="137"/>
        <v>6</v>
      </c>
      <c r="D4382" s="195">
        <v>63.7</v>
      </c>
      <c r="E4382" s="705">
        <f t="shared" si="138"/>
        <v>17.611111111111111</v>
      </c>
    </row>
    <row r="4383" spans="2:5">
      <c r="B4383" s="943">
        <v>45105</v>
      </c>
      <c r="C4383" s="195">
        <f t="shared" si="137"/>
        <v>6</v>
      </c>
      <c r="D4383" s="195">
        <v>64.900000000000006</v>
      </c>
      <c r="E4383" s="705">
        <f t="shared" si="138"/>
        <v>18.277777777777782</v>
      </c>
    </row>
    <row r="4384" spans="2:5">
      <c r="B4384" s="943">
        <v>45105</v>
      </c>
      <c r="C4384" s="195">
        <f t="shared" si="137"/>
        <v>6</v>
      </c>
      <c r="D4384" s="195">
        <v>65.7</v>
      </c>
      <c r="E4384" s="705">
        <f t="shared" si="138"/>
        <v>18.722222222222225</v>
      </c>
    </row>
    <row r="4385" spans="2:5">
      <c r="B4385" s="943">
        <v>45105</v>
      </c>
      <c r="C4385" s="195">
        <f t="shared" si="137"/>
        <v>6</v>
      </c>
      <c r="D4385" s="195">
        <v>65.7</v>
      </c>
      <c r="E4385" s="705">
        <f t="shared" si="138"/>
        <v>18.722222222222225</v>
      </c>
    </row>
    <row r="4386" spans="2:5">
      <c r="B4386" s="943">
        <v>45105</v>
      </c>
      <c r="C4386" s="195">
        <f t="shared" si="137"/>
        <v>6</v>
      </c>
      <c r="D4386" s="195">
        <v>64.400000000000006</v>
      </c>
      <c r="E4386" s="705">
        <f t="shared" si="138"/>
        <v>18.000000000000004</v>
      </c>
    </row>
    <row r="4387" spans="2:5">
      <c r="B4387" s="943">
        <v>45105</v>
      </c>
      <c r="C4387" s="195">
        <f t="shared" si="137"/>
        <v>6</v>
      </c>
      <c r="D4387" s="195" t="s">
        <v>1443</v>
      </c>
      <c r="E4387" s="705">
        <f t="shared" si="138"/>
        <v>17.222222222222221</v>
      </c>
    </row>
    <row r="4388" spans="2:5">
      <c r="B4388" s="943">
        <v>45105</v>
      </c>
      <c r="C4388" s="195">
        <f t="shared" si="137"/>
        <v>6</v>
      </c>
      <c r="D4388" s="195">
        <v>62.1</v>
      </c>
      <c r="E4388" s="705">
        <f t="shared" si="138"/>
        <v>16.722222222222221</v>
      </c>
    </row>
    <row r="4389" spans="2:5">
      <c r="B4389" s="943">
        <v>45105</v>
      </c>
      <c r="C4389" s="195">
        <f t="shared" si="137"/>
        <v>6</v>
      </c>
      <c r="D4389" s="195">
        <v>61.3</v>
      </c>
      <c r="E4389" s="705">
        <f t="shared" si="138"/>
        <v>16.277777777777775</v>
      </c>
    </row>
    <row r="4390" spans="2:5">
      <c r="B4390" s="943">
        <v>45105</v>
      </c>
      <c r="C4390" s="195">
        <f t="shared" si="137"/>
        <v>6</v>
      </c>
      <c r="D4390" s="195">
        <v>60.6</v>
      </c>
      <c r="E4390" s="705">
        <f t="shared" si="138"/>
        <v>15.888888888888889</v>
      </c>
    </row>
    <row r="4391" spans="2:5">
      <c r="B4391" s="943">
        <v>45105</v>
      </c>
      <c r="C4391" s="195">
        <f t="shared" si="137"/>
        <v>6</v>
      </c>
      <c r="D4391" s="195" t="s">
        <v>1442</v>
      </c>
      <c r="E4391" s="705">
        <f t="shared" si="138"/>
        <v>16.111111111111111</v>
      </c>
    </row>
    <row r="4392" spans="2:5">
      <c r="B4392" s="943">
        <v>45105</v>
      </c>
      <c r="C4392" s="195">
        <f t="shared" si="137"/>
        <v>6</v>
      </c>
      <c r="D4392" s="195">
        <v>61.2</v>
      </c>
      <c r="E4392" s="705">
        <f t="shared" si="138"/>
        <v>16.222222222222225</v>
      </c>
    </row>
    <row r="4393" spans="2:5">
      <c r="B4393" s="943">
        <v>45105</v>
      </c>
      <c r="C4393" s="195">
        <f t="shared" si="137"/>
        <v>6</v>
      </c>
      <c r="D4393" s="195">
        <v>62.4</v>
      </c>
      <c r="E4393" s="705">
        <f t="shared" si="138"/>
        <v>16.888888888888889</v>
      </c>
    </row>
    <row r="4394" spans="2:5">
      <c r="B4394" s="943">
        <v>45105</v>
      </c>
      <c r="C4394" s="195">
        <f t="shared" si="137"/>
        <v>6</v>
      </c>
      <c r="D4394" s="195" t="s">
        <v>1444</v>
      </c>
      <c r="E4394" s="705">
        <f t="shared" si="138"/>
        <v>17.777777777777779</v>
      </c>
    </row>
    <row r="4395" spans="2:5">
      <c r="B4395" s="943">
        <v>45105</v>
      </c>
      <c r="C4395" s="195">
        <f t="shared" si="137"/>
        <v>6</v>
      </c>
      <c r="D4395" s="195">
        <v>65.5</v>
      </c>
      <c r="E4395" s="705">
        <f t="shared" si="138"/>
        <v>18.611111111111111</v>
      </c>
    </row>
    <row r="4396" spans="2:5">
      <c r="B4396" s="943">
        <v>45105</v>
      </c>
      <c r="C4396" s="195">
        <f t="shared" si="137"/>
        <v>6</v>
      </c>
      <c r="D4396" s="195">
        <v>66.400000000000006</v>
      </c>
      <c r="E4396" s="705">
        <f t="shared" si="138"/>
        <v>19.111111111111114</v>
      </c>
    </row>
    <row r="4397" spans="2:5">
      <c r="B4397" s="943">
        <v>45105</v>
      </c>
      <c r="C4397" s="195">
        <f t="shared" si="137"/>
        <v>6</v>
      </c>
      <c r="D4397" s="195">
        <v>66.599999999999994</v>
      </c>
      <c r="E4397" s="705">
        <f t="shared" si="138"/>
        <v>19.222222222222218</v>
      </c>
    </row>
    <row r="4398" spans="2:5">
      <c r="B4398" s="943">
        <v>45105</v>
      </c>
      <c r="C4398" s="195">
        <f t="shared" si="137"/>
        <v>6</v>
      </c>
      <c r="D4398" s="195">
        <v>64.900000000000006</v>
      </c>
      <c r="E4398" s="705">
        <f t="shared" si="138"/>
        <v>18.277777777777782</v>
      </c>
    </row>
    <row r="4399" spans="2:5">
      <c r="B4399" s="943">
        <v>45105</v>
      </c>
      <c r="C4399" s="195">
        <f t="shared" si="137"/>
        <v>6</v>
      </c>
      <c r="D4399" s="195">
        <v>63.1</v>
      </c>
      <c r="E4399" s="705">
        <f t="shared" si="138"/>
        <v>17.277777777777779</v>
      </c>
    </row>
    <row r="4400" spans="2:5">
      <c r="B4400" s="943">
        <v>45105</v>
      </c>
      <c r="C4400" s="195">
        <f t="shared" si="137"/>
        <v>6</v>
      </c>
      <c r="D4400" s="195">
        <v>61.7</v>
      </c>
      <c r="E4400" s="705">
        <f t="shared" si="138"/>
        <v>16.5</v>
      </c>
    </row>
    <row r="4401" spans="2:5">
      <c r="B4401" s="943">
        <v>45106</v>
      </c>
      <c r="C4401" s="195">
        <f t="shared" si="137"/>
        <v>6</v>
      </c>
      <c r="D4401" s="195">
        <v>60.8</v>
      </c>
      <c r="E4401" s="705">
        <f t="shared" si="138"/>
        <v>15.999999999999998</v>
      </c>
    </row>
    <row r="4402" spans="2:5">
      <c r="B4402" s="943">
        <v>45106</v>
      </c>
      <c r="C4402" s="195">
        <f t="shared" si="137"/>
        <v>6</v>
      </c>
      <c r="D4402" s="195">
        <v>60.3</v>
      </c>
      <c r="E4402" s="705">
        <f t="shared" si="138"/>
        <v>15.72222222222222</v>
      </c>
    </row>
    <row r="4403" spans="2:5">
      <c r="B4403" s="943">
        <v>45106</v>
      </c>
      <c r="C4403" s="195">
        <f t="shared" si="137"/>
        <v>6</v>
      </c>
      <c r="D4403" s="195">
        <v>60.1</v>
      </c>
      <c r="E4403" s="705">
        <f t="shared" si="138"/>
        <v>15.611111111111111</v>
      </c>
    </row>
    <row r="4404" spans="2:5">
      <c r="B4404" s="943">
        <v>45106</v>
      </c>
      <c r="C4404" s="195">
        <f t="shared" si="137"/>
        <v>6</v>
      </c>
      <c r="D4404" s="195">
        <v>60.3</v>
      </c>
      <c r="E4404" s="705">
        <f t="shared" si="138"/>
        <v>15.72222222222222</v>
      </c>
    </row>
    <row r="4405" spans="2:5">
      <c r="B4405" s="943">
        <v>45106</v>
      </c>
      <c r="C4405" s="195">
        <f t="shared" si="137"/>
        <v>6</v>
      </c>
      <c r="D4405" s="195">
        <v>61.5</v>
      </c>
      <c r="E4405" s="705">
        <f t="shared" si="138"/>
        <v>16.388888888888889</v>
      </c>
    </row>
    <row r="4406" spans="2:5">
      <c r="B4406" s="943">
        <v>45106</v>
      </c>
      <c r="C4406" s="195">
        <f t="shared" si="137"/>
        <v>6</v>
      </c>
      <c r="D4406" s="195">
        <v>63.3</v>
      </c>
      <c r="E4406" s="705">
        <f t="shared" si="138"/>
        <v>17.388888888888886</v>
      </c>
    </row>
    <row r="4407" spans="2:5">
      <c r="B4407" s="943">
        <v>45106</v>
      </c>
      <c r="C4407" s="195">
        <f t="shared" si="137"/>
        <v>6</v>
      </c>
      <c r="D4407" s="195">
        <v>64.900000000000006</v>
      </c>
      <c r="E4407" s="705">
        <f t="shared" si="138"/>
        <v>18.277777777777782</v>
      </c>
    </row>
    <row r="4408" spans="2:5">
      <c r="B4408" s="943">
        <v>45106</v>
      </c>
      <c r="C4408" s="195">
        <f t="shared" si="137"/>
        <v>6</v>
      </c>
      <c r="D4408" s="195" t="s">
        <v>1445</v>
      </c>
      <c r="E4408" s="705">
        <f t="shared" si="138"/>
        <v>18.888888888888889</v>
      </c>
    </row>
    <row r="4409" spans="2:5">
      <c r="B4409" s="943">
        <v>45106</v>
      </c>
      <c r="C4409" s="195">
        <f t="shared" si="137"/>
        <v>6</v>
      </c>
      <c r="D4409" s="195">
        <v>66.599999999999994</v>
      </c>
      <c r="E4409" s="705">
        <f t="shared" si="138"/>
        <v>19.222222222222218</v>
      </c>
    </row>
    <row r="4410" spans="2:5">
      <c r="B4410" s="943">
        <v>45106</v>
      </c>
      <c r="C4410" s="195">
        <f t="shared" si="137"/>
        <v>6</v>
      </c>
      <c r="D4410" s="195">
        <v>66.599999999999994</v>
      </c>
      <c r="E4410" s="705">
        <f t="shared" si="138"/>
        <v>19.222222222222218</v>
      </c>
    </row>
    <row r="4411" spans="2:5">
      <c r="B4411" s="943">
        <v>45106</v>
      </c>
      <c r="C4411" s="195">
        <f t="shared" si="137"/>
        <v>6</v>
      </c>
      <c r="D4411" s="195">
        <v>65.099999999999994</v>
      </c>
      <c r="E4411" s="705">
        <f t="shared" si="138"/>
        <v>18.388888888888886</v>
      </c>
    </row>
    <row r="4412" spans="2:5">
      <c r="B4412" s="943">
        <v>45106</v>
      </c>
      <c r="C4412" s="195">
        <f t="shared" si="137"/>
        <v>6</v>
      </c>
      <c r="D4412" s="195">
        <v>63.1</v>
      </c>
      <c r="E4412" s="705">
        <f t="shared" si="138"/>
        <v>17.277777777777779</v>
      </c>
    </row>
    <row r="4413" spans="2:5">
      <c r="B4413" s="943">
        <v>45106</v>
      </c>
      <c r="C4413" s="195">
        <f t="shared" si="137"/>
        <v>6</v>
      </c>
      <c r="D4413" s="195">
        <v>61.5</v>
      </c>
      <c r="E4413" s="705">
        <f t="shared" si="138"/>
        <v>16.388888888888889</v>
      </c>
    </row>
    <row r="4414" spans="2:5">
      <c r="B4414" s="943">
        <v>45106</v>
      </c>
      <c r="C4414" s="195">
        <f t="shared" si="137"/>
        <v>6</v>
      </c>
      <c r="D4414" s="195">
        <v>60.1</v>
      </c>
      <c r="E4414" s="705">
        <f t="shared" si="138"/>
        <v>15.611111111111111</v>
      </c>
    </row>
    <row r="4415" spans="2:5">
      <c r="B4415" s="943">
        <v>45106</v>
      </c>
      <c r="C4415" s="195">
        <f t="shared" si="137"/>
        <v>6</v>
      </c>
      <c r="D4415" s="195">
        <v>59.4</v>
      </c>
      <c r="E4415" s="705">
        <f t="shared" si="138"/>
        <v>15.222222222222221</v>
      </c>
    </row>
    <row r="4416" spans="2:5">
      <c r="B4416" s="943">
        <v>45106</v>
      </c>
      <c r="C4416" s="195">
        <f t="shared" si="137"/>
        <v>6</v>
      </c>
      <c r="D4416" s="195">
        <v>60.6</v>
      </c>
      <c r="E4416" s="705">
        <f t="shared" si="138"/>
        <v>15.888888888888889</v>
      </c>
    </row>
    <row r="4417" spans="2:5">
      <c r="B4417" s="943">
        <v>45106</v>
      </c>
      <c r="C4417" s="195">
        <f t="shared" si="137"/>
        <v>6</v>
      </c>
      <c r="D4417" s="195">
        <v>61.2</v>
      </c>
      <c r="E4417" s="705">
        <f t="shared" si="138"/>
        <v>16.222222222222225</v>
      </c>
    </row>
    <row r="4418" spans="2:5">
      <c r="B4418" s="943">
        <v>45106</v>
      </c>
      <c r="C4418" s="195">
        <f t="shared" si="137"/>
        <v>6</v>
      </c>
      <c r="D4418" s="195">
        <v>62.8</v>
      </c>
      <c r="E4418" s="705">
        <f t="shared" si="138"/>
        <v>17.111111111111111</v>
      </c>
    </row>
    <row r="4419" spans="2:5">
      <c r="B4419" s="943">
        <v>45106</v>
      </c>
      <c r="C4419" s="195">
        <f t="shared" si="137"/>
        <v>6</v>
      </c>
      <c r="D4419" s="195">
        <v>64.900000000000006</v>
      </c>
      <c r="E4419" s="705">
        <f t="shared" si="138"/>
        <v>18.277777777777782</v>
      </c>
    </row>
    <row r="4420" spans="2:5">
      <c r="B4420" s="943">
        <v>45106</v>
      </c>
      <c r="C4420" s="195">
        <f t="shared" si="137"/>
        <v>6</v>
      </c>
      <c r="D4420" s="195">
        <v>66.599999999999994</v>
      </c>
      <c r="E4420" s="705">
        <f t="shared" si="138"/>
        <v>19.222222222222218</v>
      </c>
    </row>
    <row r="4421" spans="2:5">
      <c r="B4421" s="943">
        <v>45106</v>
      </c>
      <c r="C4421" s="195">
        <f t="shared" si="137"/>
        <v>6</v>
      </c>
      <c r="D4421" s="195">
        <v>67.3</v>
      </c>
      <c r="E4421" s="705">
        <f t="shared" si="138"/>
        <v>19.611111111111111</v>
      </c>
    </row>
    <row r="4422" spans="2:5">
      <c r="B4422" s="943">
        <v>45106</v>
      </c>
      <c r="C4422" s="195">
        <f t="shared" si="137"/>
        <v>6</v>
      </c>
      <c r="D4422" s="195">
        <v>66.7</v>
      </c>
      <c r="E4422" s="705">
        <f t="shared" si="138"/>
        <v>19.277777777777779</v>
      </c>
    </row>
    <row r="4423" spans="2:5">
      <c r="B4423" s="943">
        <v>45106</v>
      </c>
      <c r="C4423" s="195">
        <f t="shared" si="137"/>
        <v>6</v>
      </c>
      <c r="D4423" s="195">
        <v>65.099999999999994</v>
      </c>
      <c r="E4423" s="705">
        <f t="shared" si="138"/>
        <v>18.388888888888886</v>
      </c>
    </row>
    <row r="4424" spans="2:5">
      <c r="B4424" s="943">
        <v>45106</v>
      </c>
      <c r="C4424" s="195">
        <f t="shared" si="137"/>
        <v>6</v>
      </c>
      <c r="D4424" s="195">
        <v>63.1</v>
      </c>
      <c r="E4424" s="705">
        <f t="shared" si="138"/>
        <v>17.277777777777779</v>
      </c>
    </row>
    <row r="4425" spans="2:5">
      <c r="B4425" s="943">
        <v>45107</v>
      </c>
      <c r="C4425" s="195">
        <f t="shared" si="137"/>
        <v>6</v>
      </c>
      <c r="D4425" s="195">
        <v>61.3</v>
      </c>
      <c r="E4425" s="705">
        <f t="shared" si="138"/>
        <v>16.277777777777775</v>
      </c>
    </row>
    <row r="4426" spans="2:5">
      <c r="B4426" s="943">
        <v>45107</v>
      </c>
      <c r="C4426" s="195">
        <f t="shared" ref="C4426:C4489" si="139">MONTH(B4426)</f>
        <v>6</v>
      </c>
      <c r="D4426" s="195">
        <v>59.9</v>
      </c>
      <c r="E4426" s="705">
        <f t="shared" ref="E4426:E4489" si="140">CONVERT(D4426,"F","C")</f>
        <v>15.499999999999998</v>
      </c>
    </row>
    <row r="4427" spans="2:5">
      <c r="B4427" s="943">
        <v>45107</v>
      </c>
      <c r="C4427" s="195">
        <f t="shared" si="139"/>
        <v>6</v>
      </c>
      <c r="D4427" s="195">
        <v>58.5</v>
      </c>
      <c r="E4427" s="705">
        <f t="shared" si="140"/>
        <v>14.722222222222221</v>
      </c>
    </row>
    <row r="4428" spans="2:5">
      <c r="B4428" s="943">
        <v>45107</v>
      </c>
      <c r="C4428" s="195">
        <f t="shared" si="139"/>
        <v>6</v>
      </c>
      <c r="D4428" s="195">
        <v>59.2</v>
      </c>
      <c r="E4428" s="705">
        <f t="shared" si="140"/>
        <v>15.111111111111112</v>
      </c>
    </row>
    <row r="4429" spans="2:5">
      <c r="B4429" s="943">
        <v>45107</v>
      </c>
      <c r="C4429" s="195">
        <f t="shared" si="139"/>
        <v>6</v>
      </c>
      <c r="D4429" s="195" t="s">
        <v>1441</v>
      </c>
      <c r="E4429" s="705">
        <f t="shared" si="140"/>
        <v>15</v>
      </c>
    </row>
    <row r="4430" spans="2:5">
      <c r="B4430" s="943">
        <v>45107</v>
      </c>
      <c r="C4430" s="195">
        <f t="shared" si="139"/>
        <v>6</v>
      </c>
      <c r="D4430" s="195">
        <v>61.2</v>
      </c>
      <c r="E4430" s="705">
        <f t="shared" si="140"/>
        <v>16.222222222222225</v>
      </c>
    </row>
    <row r="4431" spans="2:5">
      <c r="B4431" s="943">
        <v>45107</v>
      </c>
      <c r="C4431" s="195">
        <f t="shared" si="139"/>
        <v>6</v>
      </c>
      <c r="D4431" s="195">
        <v>63.9</v>
      </c>
      <c r="E4431" s="705">
        <f t="shared" si="140"/>
        <v>17.722222222222221</v>
      </c>
    </row>
    <row r="4432" spans="2:5">
      <c r="B4432" s="943">
        <v>45107</v>
      </c>
      <c r="C4432" s="195">
        <f t="shared" si="139"/>
        <v>6</v>
      </c>
      <c r="D4432" s="195">
        <v>65.7</v>
      </c>
      <c r="E4432" s="705">
        <f t="shared" si="140"/>
        <v>18.722222222222225</v>
      </c>
    </row>
    <row r="4433" spans="2:5">
      <c r="B4433" s="943">
        <v>45107</v>
      </c>
      <c r="C4433" s="195">
        <f t="shared" si="139"/>
        <v>6</v>
      </c>
      <c r="D4433" s="195">
        <v>66.900000000000006</v>
      </c>
      <c r="E4433" s="705">
        <f t="shared" si="140"/>
        <v>19.388888888888893</v>
      </c>
    </row>
    <row r="4434" spans="2:5">
      <c r="B4434" s="943">
        <v>45107</v>
      </c>
      <c r="C4434" s="195">
        <f t="shared" si="139"/>
        <v>6</v>
      </c>
      <c r="D4434" s="195">
        <v>67.5</v>
      </c>
      <c r="E4434" s="705">
        <f t="shared" si="140"/>
        <v>19.722222222222221</v>
      </c>
    </row>
    <row r="4435" spans="2:5">
      <c r="B4435" s="943">
        <v>45107</v>
      </c>
      <c r="C4435" s="195">
        <f t="shared" si="139"/>
        <v>6</v>
      </c>
      <c r="D4435" s="195">
        <v>67.099999999999994</v>
      </c>
      <c r="E4435" s="705">
        <f t="shared" si="140"/>
        <v>19.499999999999996</v>
      </c>
    </row>
    <row r="4436" spans="2:5">
      <c r="B4436" s="943">
        <v>45107</v>
      </c>
      <c r="C4436" s="195">
        <f t="shared" si="139"/>
        <v>6</v>
      </c>
      <c r="D4436" s="195">
        <v>64.900000000000006</v>
      </c>
      <c r="E4436" s="705">
        <f t="shared" si="140"/>
        <v>18.277777777777782</v>
      </c>
    </row>
    <row r="4437" spans="2:5">
      <c r="B4437" s="943">
        <v>45107</v>
      </c>
      <c r="C4437" s="195">
        <f t="shared" si="139"/>
        <v>6</v>
      </c>
      <c r="D4437" s="195" t="s">
        <v>1442</v>
      </c>
      <c r="E4437" s="705">
        <f t="shared" si="140"/>
        <v>16.111111111111111</v>
      </c>
    </row>
    <row r="4438" spans="2:5">
      <c r="B4438" s="943">
        <v>45107</v>
      </c>
      <c r="C4438" s="195">
        <f t="shared" si="139"/>
        <v>6</v>
      </c>
      <c r="D4438" s="195">
        <v>59.4</v>
      </c>
      <c r="E4438" s="705">
        <f t="shared" si="140"/>
        <v>15.222222222222221</v>
      </c>
    </row>
    <row r="4439" spans="2:5">
      <c r="B4439" s="943">
        <v>45107</v>
      </c>
      <c r="C4439" s="195">
        <f t="shared" si="139"/>
        <v>6</v>
      </c>
      <c r="D4439" s="195">
        <v>59.5</v>
      </c>
      <c r="E4439" s="705">
        <f t="shared" si="140"/>
        <v>15.277777777777777</v>
      </c>
    </row>
    <row r="4440" spans="2:5">
      <c r="B4440" s="943">
        <v>45107</v>
      </c>
      <c r="C4440" s="195">
        <f t="shared" si="139"/>
        <v>6</v>
      </c>
      <c r="D4440" s="195">
        <v>57.6</v>
      </c>
      <c r="E4440" s="705">
        <f t="shared" si="140"/>
        <v>14.222222222222223</v>
      </c>
    </row>
    <row r="4441" spans="2:5">
      <c r="B4441" s="943">
        <v>45107</v>
      </c>
      <c r="C4441" s="195">
        <f t="shared" si="139"/>
        <v>6</v>
      </c>
      <c r="D4441" s="195">
        <v>60.3</v>
      </c>
      <c r="E4441" s="705">
        <f t="shared" si="140"/>
        <v>15.72222222222222</v>
      </c>
    </row>
    <row r="4442" spans="2:5">
      <c r="B4442" s="943">
        <v>45107</v>
      </c>
      <c r="C4442" s="195">
        <f t="shared" si="139"/>
        <v>6</v>
      </c>
      <c r="D4442" s="195">
        <v>59.9</v>
      </c>
      <c r="E4442" s="705">
        <f t="shared" si="140"/>
        <v>15.499999999999998</v>
      </c>
    </row>
    <row r="4443" spans="2:5">
      <c r="B4443" s="943">
        <v>45107</v>
      </c>
      <c r="C4443" s="195">
        <f t="shared" si="139"/>
        <v>6</v>
      </c>
      <c r="D4443" s="195">
        <v>62.4</v>
      </c>
      <c r="E4443" s="705">
        <f t="shared" si="140"/>
        <v>16.888888888888889</v>
      </c>
    </row>
    <row r="4444" spans="2:5">
      <c r="B4444" s="943">
        <v>45107</v>
      </c>
      <c r="C4444" s="195">
        <f t="shared" si="139"/>
        <v>6</v>
      </c>
      <c r="D4444" s="195">
        <v>65.3</v>
      </c>
      <c r="E4444" s="705">
        <f t="shared" si="140"/>
        <v>18.499999999999996</v>
      </c>
    </row>
    <row r="4445" spans="2:5">
      <c r="B4445" s="943">
        <v>45107</v>
      </c>
      <c r="C4445" s="195">
        <f t="shared" si="139"/>
        <v>6</v>
      </c>
      <c r="D4445" s="195">
        <v>67.099999999999994</v>
      </c>
      <c r="E4445" s="705">
        <f t="shared" si="140"/>
        <v>19.499999999999996</v>
      </c>
    </row>
    <row r="4446" spans="2:5">
      <c r="B4446" s="943">
        <v>45107</v>
      </c>
      <c r="C4446" s="195">
        <f t="shared" si="139"/>
        <v>6</v>
      </c>
      <c r="D4446" s="195">
        <v>67.8</v>
      </c>
      <c r="E4446" s="705">
        <f t="shared" si="140"/>
        <v>19.888888888888886</v>
      </c>
    </row>
    <row r="4447" spans="2:5">
      <c r="B4447" s="943">
        <v>45107</v>
      </c>
      <c r="C4447" s="195">
        <f t="shared" si="139"/>
        <v>6</v>
      </c>
      <c r="D4447" s="195">
        <v>66.7</v>
      </c>
      <c r="E4447" s="705">
        <f t="shared" si="140"/>
        <v>19.277777777777779</v>
      </c>
    </row>
    <row r="4448" spans="2:5">
      <c r="B4448" s="943">
        <v>45107</v>
      </c>
      <c r="C4448" s="195">
        <f t="shared" si="139"/>
        <v>6</v>
      </c>
      <c r="D4448" s="195">
        <v>63.1</v>
      </c>
      <c r="E4448" s="705">
        <f t="shared" si="140"/>
        <v>17.277777777777779</v>
      </c>
    </row>
    <row r="4449" spans="2:5">
      <c r="B4449" s="943">
        <v>45108</v>
      </c>
      <c r="C4449" s="195">
        <f t="shared" si="139"/>
        <v>7</v>
      </c>
      <c r="D4449" s="195">
        <v>61.7</v>
      </c>
      <c r="E4449" s="705">
        <f t="shared" si="140"/>
        <v>16.5</v>
      </c>
    </row>
    <row r="4450" spans="2:5">
      <c r="B4450" s="943">
        <v>45108</v>
      </c>
      <c r="C4450" s="195">
        <f t="shared" si="139"/>
        <v>7</v>
      </c>
      <c r="D4450" s="195">
        <v>61.5</v>
      </c>
      <c r="E4450" s="705">
        <f t="shared" si="140"/>
        <v>16.388888888888889</v>
      </c>
    </row>
    <row r="4451" spans="2:5">
      <c r="B4451" s="943">
        <v>45108</v>
      </c>
      <c r="C4451" s="195">
        <f t="shared" si="139"/>
        <v>7</v>
      </c>
      <c r="D4451" s="195">
        <v>61.7</v>
      </c>
      <c r="E4451" s="705">
        <f t="shared" si="140"/>
        <v>16.5</v>
      </c>
    </row>
    <row r="4452" spans="2:5">
      <c r="B4452" s="943">
        <v>45108</v>
      </c>
      <c r="C4452" s="195">
        <f t="shared" si="139"/>
        <v>7</v>
      </c>
      <c r="D4452" s="195">
        <v>61.5</v>
      </c>
      <c r="E4452" s="705">
        <f t="shared" si="140"/>
        <v>16.388888888888889</v>
      </c>
    </row>
    <row r="4453" spans="2:5">
      <c r="B4453" s="943">
        <v>45108</v>
      </c>
      <c r="C4453" s="195">
        <f t="shared" si="139"/>
        <v>7</v>
      </c>
      <c r="D4453" s="195">
        <v>61.7</v>
      </c>
      <c r="E4453" s="705">
        <f t="shared" si="140"/>
        <v>16.5</v>
      </c>
    </row>
    <row r="4454" spans="2:5">
      <c r="B4454" s="943">
        <v>45108</v>
      </c>
      <c r="C4454" s="195">
        <f t="shared" si="139"/>
        <v>7</v>
      </c>
      <c r="D4454" s="195">
        <v>61.9</v>
      </c>
      <c r="E4454" s="705">
        <f t="shared" si="140"/>
        <v>16.611111111111111</v>
      </c>
    </row>
    <row r="4455" spans="2:5">
      <c r="B4455" s="943">
        <v>45108</v>
      </c>
      <c r="C4455" s="195">
        <f t="shared" si="139"/>
        <v>7</v>
      </c>
      <c r="D4455" s="195">
        <v>62.8</v>
      </c>
      <c r="E4455" s="705">
        <f t="shared" si="140"/>
        <v>17.111111111111111</v>
      </c>
    </row>
    <row r="4456" spans="2:5">
      <c r="B4456" s="943">
        <v>45108</v>
      </c>
      <c r="C4456" s="195">
        <f t="shared" si="139"/>
        <v>7</v>
      </c>
      <c r="D4456" s="195">
        <v>64.400000000000006</v>
      </c>
      <c r="E4456" s="705">
        <f t="shared" si="140"/>
        <v>18.000000000000004</v>
      </c>
    </row>
    <row r="4457" spans="2:5">
      <c r="B4457" s="943">
        <v>45108</v>
      </c>
      <c r="C4457" s="195">
        <f t="shared" si="139"/>
        <v>7</v>
      </c>
      <c r="D4457" s="195">
        <v>65.8</v>
      </c>
      <c r="E4457" s="705">
        <f t="shared" si="140"/>
        <v>18.777777777777775</v>
      </c>
    </row>
    <row r="4458" spans="2:5">
      <c r="B4458" s="943">
        <v>45108</v>
      </c>
      <c r="C4458" s="195">
        <f t="shared" si="139"/>
        <v>7</v>
      </c>
      <c r="D4458" s="195">
        <v>67.099999999999994</v>
      </c>
      <c r="E4458" s="705">
        <f t="shared" si="140"/>
        <v>19.499999999999996</v>
      </c>
    </row>
    <row r="4459" spans="2:5">
      <c r="B4459" s="943">
        <v>45108</v>
      </c>
      <c r="C4459" s="195">
        <f t="shared" si="139"/>
        <v>7</v>
      </c>
      <c r="D4459" s="195">
        <v>67.8</v>
      </c>
      <c r="E4459" s="705">
        <f t="shared" si="140"/>
        <v>19.888888888888886</v>
      </c>
    </row>
    <row r="4460" spans="2:5">
      <c r="B4460" s="943">
        <v>45108</v>
      </c>
      <c r="C4460" s="195">
        <f t="shared" si="139"/>
        <v>7</v>
      </c>
      <c r="D4460" s="195">
        <v>67.3</v>
      </c>
      <c r="E4460" s="705">
        <f t="shared" si="140"/>
        <v>19.611111111111111</v>
      </c>
    </row>
    <row r="4461" spans="2:5">
      <c r="B4461" s="943">
        <v>45108</v>
      </c>
      <c r="C4461" s="195">
        <f t="shared" si="139"/>
        <v>7</v>
      </c>
      <c r="D4461" s="195">
        <v>65.7</v>
      </c>
      <c r="E4461" s="705">
        <f t="shared" si="140"/>
        <v>18.722222222222225</v>
      </c>
    </row>
    <row r="4462" spans="2:5">
      <c r="B4462" s="943">
        <v>45108</v>
      </c>
      <c r="C4462" s="195">
        <f t="shared" si="139"/>
        <v>7</v>
      </c>
      <c r="D4462" s="195">
        <v>64.400000000000006</v>
      </c>
      <c r="E4462" s="705">
        <f t="shared" si="140"/>
        <v>18.000000000000004</v>
      </c>
    </row>
    <row r="4463" spans="2:5">
      <c r="B4463" s="943">
        <v>45108</v>
      </c>
      <c r="C4463" s="195">
        <f t="shared" si="139"/>
        <v>7</v>
      </c>
      <c r="D4463" s="195">
        <v>63.7</v>
      </c>
      <c r="E4463" s="705">
        <f t="shared" si="140"/>
        <v>17.611111111111111</v>
      </c>
    </row>
    <row r="4464" spans="2:5">
      <c r="B4464" s="943">
        <v>45108</v>
      </c>
      <c r="C4464" s="195">
        <f t="shared" si="139"/>
        <v>7</v>
      </c>
      <c r="D4464" s="195">
        <v>61.7</v>
      </c>
      <c r="E4464" s="705">
        <f t="shared" si="140"/>
        <v>16.5</v>
      </c>
    </row>
    <row r="4465" spans="2:5">
      <c r="B4465" s="943">
        <v>45108</v>
      </c>
      <c r="C4465" s="195">
        <f t="shared" si="139"/>
        <v>7</v>
      </c>
      <c r="D4465" s="195">
        <v>61.7</v>
      </c>
      <c r="E4465" s="705">
        <f t="shared" si="140"/>
        <v>16.5</v>
      </c>
    </row>
    <row r="4466" spans="2:5">
      <c r="B4466" s="943">
        <v>45108</v>
      </c>
      <c r="C4466" s="195">
        <f t="shared" si="139"/>
        <v>7</v>
      </c>
      <c r="D4466" s="195" t="s">
        <v>1443</v>
      </c>
      <c r="E4466" s="705">
        <f t="shared" si="140"/>
        <v>17.222222222222221</v>
      </c>
    </row>
    <row r="4467" spans="2:5">
      <c r="B4467" s="943">
        <v>45108</v>
      </c>
      <c r="C4467" s="195">
        <f t="shared" si="139"/>
        <v>7</v>
      </c>
      <c r="D4467" s="195">
        <v>63.7</v>
      </c>
      <c r="E4467" s="705">
        <f t="shared" si="140"/>
        <v>17.611111111111111</v>
      </c>
    </row>
    <row r="4468" spans="2:5">
      <c r="B4468" s="943">
        <v>45108</v>
      </c>
      <c r="C4468" s="195">
        <f t="shared" si="139"/>
        <v>7</v>
      </c>
      <c r="D4468" s="195">
        <v>65.099999999999994</v>
      </c>
      <c r="E4468" s="705">
        <f t="shared" si="140"/>
        <v>18.388888888888886</v>
      </c>
    </row>
    <row r="4469" spans="2:5">
      <c r="B4469" s="943">
        <v>45108</v>
      </c>
      <c r="C4469" s="195">
        <f t="shared" si="139"/>
        <v>7</v>
      </c>
      <c r="D4469" s="195">
        <v>66.900000000000006</v>
      </c>
      <c r="E4469" s="705">
        <f t="shared" si="140"/>
        <v>19.388888888888893</v>
      </c>
    </row>
    <row r="4470" spans="2:5">
      <c r="B4470" s="943">
        <v>45108</v>
      </c>
      <c r="C4470" s="195">
        <f t="shared" si="139"/>
        <v>7</v>
      </c>
      <c r="D4470" s="195">
        <v>67.8</v>
      </c>
      <c r="E4470" s="705">
        <f t="shared" si="140"/>
        <v>19.888888888888886</v>
      </c>
    </row>
    <row r="4471" spans="2:5">
      <c r="B4471" s="943">
        <v>45108</v>
      </c>
      <c r="C4471" s="195">
        <f t="shared" si="139"/>
        <v>7</v>
      </c>
      <c r="D4471" s="195">
        <v>68.400000000000006</v>
      </c>
      <c r="E4471" s="705">
        <f t="shared" si="140"/>
        <v>20.222222222222225</v>
      </c>
    </row>
    <row r="4472" spans="2:5">
      <c r="B4472" s="943">
        <v>45108</v>
      </c>
      <c r="C4472" s="195">
        <f t="shared" si="139"/>
        <v>7</v>
      </c>
      <c r="D4472" s="195">
        <v>67.5</v>
      </c>
      <c r="E4472" s="705">
        <f t="shared" si="140"/>
        <v>19.722222222222221</v>
      </c>
    </row>
    <row r="4473" spans="2:5">
      <c r="B4473" s="943">
        <v>45109</v>
      </c>
      <c r="C4473" s="195">
        <f t="shared" si="139"/>
        <v>7</v>
      </c>
      <c r="D4473" s="195">
        <v>65.7</v>
      </c>
      <c r="E4473" s="705">
        <f t="shared" si="140"/>
        <v>18.722222222222225</v>
      </c>
    </row>
    <row r="4474" spans="2:5">
      <c r="B4474" s="943">
        <v>45109</v>
      </c>
      <c r="C4474" s="195">
        <f t="shared" si="139"/>
        <v>7</v>
      </c>
      <c r="D4474" s="195">
        <v>64.8</v>
      </c>
      <c r="E4474" s="705">
        <f t="shared" si="140"/>
        <v>18.222222222222221</v>
      </c>
    </row>
    <row r="4475" spans="2:5">
      <c r="B4475" s="943">
        <v>45109</v>
      </c>
      <c r="C4475" s="195">
        <f t="shared" si="139"/>
        <v>7</v>
      </c>
      <c r="D4475" s="195">
        <v>64.400000000000006</v>
      </c>
      <c r="E4475" s="705">
        <f t="shared" si="140"/>
        <v>18.000000000000004</v>
      </c>
    </row>
    <row r="4476" spans="2:5">
      <c r="B4476" s="943">
        <v>45109</v>
      </c>
      <c r="C4476" s="195">
        <f t="shared" si="139"/>
        <v>7</v>
      </c>
      <c r="D4476" s="195">
        <v>63.9</v>
      </c>
      <c r="E4476" s="705">
        <f t="shared" si="140"/>
        <v>17.722222222222221</v>
      </c>
    </row>
    <row r="4477" spans="2:5">
      <c r="B4477" s="943">
        <v>45109</v>
      </c>
      <c r="C4477" s="195">
        <f t="shared" si="139"/>
        <v>7</v>
      </c>
      <c r="D4477" s="195">
        <v>62.8</v>
      </c>
      <c r="E4477" s="705">
        <f t="shared" si="140"/>
        <v>17.111111111111111</v>
      </c>
    </row>
    <row r="4478" spans="2:5">
      <c r="B4478" s="943">
        <v>45109</v>
      </c>
      <c r="C4478" s="195">
        <f t="shared" si="139"/>
        <v>7</v>
      </c>
      <c r="D4478" s="195">
        <v>62.6</v>
      </c>
      <c r="E4478" s="705">
        <f t="shared" si="140"/>
        <v>17</v>
      </c>
    </row>
    <row r="4479" spans="2:5">
      <c r="B4479" s="943">
        <v>45109</v>
      </c>
      <c r="C4479" s="195">
        <f t="shared" si="139"/>
        <v>7</v>
      </c>
      <c r="D4479" s="195" t="s">
        <v>1444</v>
      </c>
      <c r="E4479" s="705">
        <f t="shared" si="140"/>
        <v>17.777777777777779</v>
      </c>
    </row>
    <row r="4480" spans="2:5">
      <c r="B4480" s="943">
        <v>45109</v>
      </c>
      <c r="C4480" s="195">
        <f t="shared" si="139"/>
        <v>7</v>
      </c>
      <c r="D4480" s="195">
        <v>65.099999999999994</v>
      </c>
      <c r="E4480" s="705">
        <f t="shared" si="140"/>
        <v>18.388888888888886</v>
      </c>
    </row>
    <row r="4481" spans="2:5">
      <c r="B4481" s="943">
        <v>45109</v>
      </c>
      <c r="C4481" s="195">
        <f t="shared" si="139"/>
        <v>7</v>
      </c>
      <c r="D4481" s="195">
        <v>66.400000000000006</v>
      </c>
      <c r="E4481" s="705">
        <f t="shared" si="140"/>
        <v>19.111111111111114</v>
      </c>
    </row>
    <row r="4482" spans="2:5">
      <c r="B4482" s="943">
        <v>45109</v>
      </c>
      <c r="C4482" s="195">
        <f t="shared" si="139"/>
        <v>7</v>
      </c>
      <c r="D4482" s="195">
        <v>67.5</v>
      </c>
      <c r="E4482" s="705">
        <f t="shared" si="140"/>
        <v>19.722222222222221</v>
      </c>
    </row>
    <row r="4483" spans="2:5">
      <c r="B4483" s="943">
        <v>45109</v>
      </c>
      <c r="C4483" s="195">
        <f t="shared" si="139"/>
        <v>7</v>
      </c>
      <c r="D4483" s="195">
        <v>68.2</v>
      </c>
      <c r="E4483" s="705">
        <f t="shared" si="140"/>
        <v>20.111111111111111</v>
      </c>
    </row>
    <row r="4484" spans="2:5">
      <c r="B4484" s="943">
        <v>45109</v>
      </c>
      <c r="C4484" s="195">
        <f t="shared" si="139"/>
        <v>7</v>
      </c>
      <c r="D4484" s="195">
        <v>68.900000000000006</v>
      </c>
      <c r="E4484" s="705">
        <f t="shared" si="140"/>
        <v>20.500000000000004</v>
      </c>
    </row>
    <row r="4485" spans="2:5">
      <c r="B4485" s="943">
        <v>45109</v>
      </c>
      <c r="C4485" s="195">
        <f t="shared" si="139"/>
        <v>7</v>
      </c>
      <c r="D4485" s="195">
        <v>68.400000000000006</v>
      </c>
      <c r="E4485" s="705">
        <f t="shared" si="140"/>
        <v>20.222222222222225</v>
      </c>
    </row>
    <row r="4486" spans="2:5">
      <c r="B4486" s="943">
        <v>45109</v>
      </c>
      <c r="C4486" s="195">
        <f t="shared" si="139"/>
        <v>7</v>
      </c>
      <c r="D4486" s="195">
        <v>66.599999999999994</v>
      </c>
      <c r="E4486" s="705">
        <f t="shared" si="140"/>
        <v>19.222222222222218</v>
      </c>
    </row>
    <row r="4487" spans="2:5">
      <c r="B4487" s="943">
        <v>45109</v>
      </c>
      <c r="C4487" s="195">
        <f t="shared" si="139"/>
        <v>7</v>
      </c>
      <c r="D4487" s="195">
        <v>64.599999999999994</v>
      </c>
      <c r="E4487" s="705">
        <f t="shared" si="140"/>
        <v>18.111111111111107</v>
      </c>
    </row>
    <row r="4488" spans="2:5">
      <c r="B4488" s="943">
        <v>45109</v>
      </c>
      <c r="C4488" s="195">
        <f t="shared" si="139"/>
        <v>7</v>
      </c>
      <c r="D4488" s="195">
        <v>62.4</v>
      </c>
      <c r="E4488" s="705">
        <f t="shared" si="140"/>
        <v>16.888888888888889</v>
      </c>
    </row>
    <row r="4489" spans="2:5">
      <c r="B4489" s="943">
        <v>45109</v>
      </c>
      <c r="C4489" s="195">
        <f t="shared" si="139"/>
        <v>7</v>
      </c>
      <c r="D4489" s="195" t="s">
        <v>1442</v>
      </c>
      <c r="E4489" s="705">
        <f t="shared" si="140"/>
        <v>16.111111111111111</v>
      </c>
    </row>
    <row r="4490" spans="2:5">
      <c r="B4490" s="943">
        <v>45109</v>
      </c>
      <c r="C4490" s="195">
        <f t="shared" ref="C4490:C4553" si="141">MONTH(B4490)</f>
        <v>7</v>
      </c>
      <c r="D4490" s="195">
        <v>59.5</v>
      </c>
      <c r="E4490" s="705">
        <f t="shared" ref="E4490:E4553" si="142">CONVERT(D4490,"F","C")</f>
        <v>15.277777777777777</v>
      </c>
    </row>
    <row r="4491" spans="2:5">
      <c r="B4491" s="943">
        <v>45109</v>
      </c>
      <c r="C4491" s="195">
        <f t="shared" si="141"/>
        <v>7</v>
      </c>
      <c r="D4491" s="195">
        <v>61.2</v>
      </c>
      <c r="E4491" s="705">
        <f t="shared" si="142"/>
        <v>16.222222222222225</v>
      </c>
    </row>
    <row r="4492" spans="2:5">
      <c r="B4492" s="943">
        <v>45109</v>
      </c>
      <c r="C4492" s="195">
        <f t="shared" si="141"/>
        <v>7</v>
      </c>
      <c r="D4492" s="195">
        <v>62.8</v>
      </c>
      <c r="E4492" s="705">
        <f t="shared" si="142"/>
        <v>17.111111111111111</v>
      </c>
    </row>
    <row r="4493" spans="2:5">
      <c r="B4493" s="943">
        <v>45109</v>
      </c>
      <c r="C4493" s="195">
        <f t="shared" si="141"/>
        <v>7</v>
      </c>
      <c r="D4493" s="195">
        <v>64.8</v>
      </c>
      <c r="E4493" s="705">
        <f t="shared" si="142"/>
        <v>18.222222222222221</v>
      </c>
    </row>
    <row r="4494" spans="2:5">
      <c r="B4494" s="943">
        <v>45109</v>
      </c>
      <c r="C4494" s="195">
        <f t="shared" si="141"/>
        <v>7</v>
      </c>
      <c r="D4494" s="195">
        <v>66.7</v>
      </c>
      <c r="E4494" s="705">
        <f t="shared" si="142"/>
        <v>19.277777777777779</v>
      </c>
    </row>
    <row r="4495" spans="2:5">
      <c r="B4495" s="943">
        <v>45109</v>
      </c>
      <c r="C4495" s="195">
        <f t="shared" si="141"/>
        <v>7</v>
      </c>
      <c r="D4495" s="195">
        <v>67.8</v>
      </c>
      <c r="E4495" s="705">
        <f t="shared" si="142"/>
        <v>19.888888888888886</v>
      </c>
    </row>
    <row r="4496" spans="2:5">
      <c r="B4496" s="943">
        <v>45109</v>
      </c>
      <c r="C4496" s="195">
        <f t="shared" si="141"/>
        <v>7</v>
      </c>
      <c r="D4496" s="195">
        <v>68.2</v>
      </c>
      <c r="E4496" s="705">
        <f t="shared" si="142"/>
        <v>20.111111111111111</v>
      </c>
    </row>
    <row r="4497" spans="2:5">
      <c r="B4497" s="943">
        <v>45110</v>
      </c>
      <c r="C4497" s="195">
        <f t="shared" si="141"/>
        <v>7</v>
      </c>
      <c r="D4497" s="195">
        <v>67.3</v>
      </c>
      <c r="E4497" s="705">
        <f t="shared" si="142"/>
        <v>19.611111111111111</v>
      </c>
    </row>
    <row r="4498" spans="2:5">
      <c r="B4498" s="943">
        <v>45110</v>
      </c>
      <c r="C4498" s="195">
        <f t="shared" si="141"/>
        <v>7</v>
      </c>
      <c r="D4498" s="195">
        <v>64.400000000000006</v>
      </c>
      <c r="E4498" s="705">
        <f t="shared" si="142"/>
        <v>18.000000000000004</v>
      </c>
    </row>
    <row r="4499" spans="2:5">
      <c r="B4499" s="943">
        <v>45110</v>
      </c>
      <c r="C4499" s="195">
        <f t="shared" si="141"/>
        <v>7</v>
      </c>
      <c r="D4499" s="195">
        <v>63.7</v>
      </c>
      <c r="E4499" s="705">
        <f t="shared" si="142"/>
        <v>17.611111111111111</v>
      </c>
    </row>
    <row r="4500" spans="2:5">
      <c r="B4500" s="943">
        <v>45110</v>
      </c>
      <c r="C4500" s="195">
        <f t="shared" si="141"/>
        <v>7</v>
      </c>
      <c r="D4500" s="195" t="s">
        <v>1444</v>
      </c>
      <c r="E4500" s="705">
        <f t="shared" si="142"/>
        <v>17.777777777777779</v>
      </c>
    </row>
    <row r="4501" spans="2:5">
      <c r="B4501" s="943">
        <v>45110</v>
      </c>
      <c r="C4501" s="195">
        <f t="shared" si="141"/>
        <v>7</v>
      </c>
      <c r="D4501" s="195">
        <v>63.7</v>
      </c>
      <c r="E4501" s="705">
        <f t="shared" si="142"/>
        <v>17.611111111111111</v>
      </c>
    </row>
    <row r="4502" spans="2:5">
      <c r="B4502" s="943">
        <v>45110</v>
      </c>
      <c r="C4502" s="195">
        <f t="shared" si="141"/>
        <v>7</v>
      </c>
      <c r="D4502" s="195">
        <v>63.7</v>
      </c>
      <c r="E4502" s="705">
        <f t="shared" si="142"/>
        <v>17.611111111111111</v>
      </c>
    </row>
    <row r="4503" spans="2:5">
      <c r="B4503" s="943">
        <v>45110</v>
      </c>
      <c r="C4503" s="195">
        <f t="shared" si="141"/>
        <v>7</v>
      </c>
      <c r="D4503" s="195">
        <v>63.7</v>
      </c>
      <c r="E4503" s="705">
        <f t="shared" si="142"/>
        <v>17.611111111111111</v>
      </c>
    </row>
    <row r="4504" spans="2:5">
      <c r="B4504" s="943">
        <v>45110</v>
      </c>
      <c r="C4504" s="195">
        <f t="shared" si="141"/>
        <v>7</v>
      </c>
      <c r="D4504" s="195" t="s">
        <v>1444</v>
      </c>
      <c r="E4504" s="705">
        <f t="shared" si="142"/>
        <v>17.777777777777779</v>
      </c>
    </row>
    <row r="4505" spans="2:5">
      <c r="B4505" s="943">
        <v>45110</v>
      </c>
      <c r="C4505" s="195">
        <f t="shared" si="141"/>
        <v>7</v>
      </c>
      <c r="D4505" s="195">
        <v>64.900000000000006</v>
      </c>
      <c r="E4505" s="705">
        <f t="shared" si="142"/>
        <v>18.277777777777782</v>
      </c>
    </row>
    <row r="4506" spans="2:5">
      <c r="B4506" s="943">
        <v>45110</v>
      </c>
      <c r="C4506" s="195">
        <f t="shared" si="141"/>
        <v>7</v>
      </c>
      <c r="D4506" s="195" t="s">
        <v>1445</v>
      </c>
      <c r="E4506" s="705">
        <f t="shared" si="142"/>
        <v>18.888888888888889</v>
      </c>
    </row>
    <row r="4507" spans="2:5">
      <c r="B4507" s="943">
        <v>45110</v>
      </c>
      <c r="C4507" s="195">
        <f t="shared" si="141"/>
        <v>7</v>
      </c>
      <c r="D4507" s="195">
        <v>66.900000000000006</v>
      </c>
      <c r="E4507" s="705">
        <f t="shared" si="142"/>
        <v>19.388888888888893</v>
      </c>
    </row>
    <row r="4508" spans="2:5">
      <c r="B4508" s="943">
        <v>45110</v>
      </c>
      <c r="C4508" s="195">
        <f t="shared" si="141"/>
        <v>7</v>
      </c>
      <c r="D4508" s="195">
        <v>67.8</v>
      </c>
      <c r="E4508" s="705">
        <f t="shared" si="142"/>
        <v>19.888888888888886</v>
      </c>
    </row>
    <row r="4509" spans="2:5">
      <c r="B4509" s="943">
        <v>45110</v>
      </c>
      <c r="C4509" s="195">
        <f t="shared" si="141"/>
        <v>7</v>
      </c>
      <c r="D4509" s="195">
        <v>68.2</v>
      </c>
      <c r="E4509" s="705">
        <f t="shared" si="142"/>
        <v>20.111111111111111</v>
      </c>
    </row>
    <row r="4510" spans="2:5">
      <c r="B4510" s="943">
        <v>45110</v>
      </c>
      <c r="C4510" s="195">
        <f t="shared" si="141"/>
        <v>7</v>
      </c>
      <c r="D4510" s="195">
        <v>67.8</v>
      </c>
      <c r="E4510" s="705">
        <f t="shared" si="142"/>
        <v>19.888888888888886</v>
      </c>
    </row>
    <row r="4511" spans="2:5">
      <c r="B4511" s="943">
        <v>45110</v>
      </c>
      <c r="C4511" s="195">
        <f t="shared" si="141"/>
        <v>7</v>
      </c>
      <c r="D4511" s="195">
        <v>66.2</v>
      </c>
      <c r="E4511" s="705">
        <f t="shared" si="142"/>
        <v>19</v>
      </c>
    </row>
    <row r="4512" spans="2:5">
      <c r="B4512" s="943">
        <v>45110</v>
      </c>
      <c r="C4512" s="195">
        <f t="shared" si="141"/>
        <v>7</v>
      </c>
      <c r="D4512" s="195">
        <v>63.9</v>
      </c>
      <c r="E4512" s="705">
        <f t="shared" si="142"/>
        <v>17.722222222222221</v>
      </c>
    </row>
    <row r="4513" spans="2:5">
      <c r="B4513" s="943">
        <v>45110</v>
      </c>
      <c r="C4513" s="195">
        <f t="shared" si="141"/>
        <v>7</v>
      </c>
      <c r="D4513" s="195">
        <v>62.2</v>
      </c>
      <c r="E4513" s="705">
        <f t="shared" si="142"/>
        <v>16.777777777777779</v>
      </c>
    </row>
    <row r="4514" spans="2:5">
      <c r="B4514" s="943">
        <v>45110</v>
      </c>
      <c r="C4514" s="195">
        <f t="shared" si="141"/>
        <v>7</v>
      </c>
      <c r="D4514" s="195">
        <v>61.9</v>
      </c>
      <c r="E4514" s="705">
        <f t="shared" si="142"/>
        <v>16.611111111111111</v>
      </c>
    </row>
    <row r="4515" spans="2:5">
      <c r="B4515" s="943">
        <v>45110</v>
      </c>
      <c r="C4515" s="195">
        <f t="shared" si="141"/>
        <v>7</v>
      </c>
      <c r="D4515" s="195">
        <v>62.1</v>
      </c>
      <c r="E4515" s="705">
        <f t="shared" si="142"/>
        <v>16.722222222222221</v>
      </c>
    </row>
    <row r="4516" spans="2:5">
      <c r="B4516" s="943">
        <v>45110</v>
      </c>
      <c r="C4516" s="195">
        <f t="shared" si="141"/>
        <v>7</v>
      </c>
      <c r="D4516" s="195">
        <v>62.2</v>
      </c>
      <c r="E4516" s="705">
        <f t="shared" si="142"/>
        <v>16.777777777777779</v>
      </c>
    </row>
    <row r="4517" spans="2:5">
      <c r="B4517" s="943">
        <v>45110</v>
      </c>
      <c r="C4517" s="195">
        <f t="shared" si="141"/>
        <v>7</v>
      </c>
      <c r="D4517" s="195">
        <v>63.9</v>
      </c>
      <c r="E4517" s="705">
        <f t="shared" si="142"/>
        <v>17.722222222222221</v>
      </c>
    </row>
    <row r="4518" spans="2:5">
      <c r="B4518" s="943">
        <v>45110</v>
      </c>
      <c r="C4518" s="195">
        <f t="shared" si="141"/>
        <v>7</v>
      </c>
      <c r="D4518" s="195" t="s">
        <v>1445</v>
      </c>
      <c r="E4518" s="705">
        <f t="shared" si="142"/>
        <v>18.888888888888889</v>
      </c>
    </row>
    <row r="4519" spans="2:5">
      <c r="B4519" s="943">
        <v>45110</v>
      </c>
      <c r="C4519" s="195">
        <f t="shared" si="141"/>
        <v>7</v>
      </c>
      <c r="D4519" s="195">
        <v>67.5</v>
      </c>
      <c r="E4519" s="705">
        <f t="shared" si="142"/>
        <v>19.722222222222221</v>
      </c>
    </row>
    <row r="4520" spans="2:5">
      <c r="B4520" s="943">
        <v>45110</v>
      </c>
      <c r="C4520" s="195">
        <f t="shared" si="141"/>
        <v>7</v>
      </c>
      <c r="D4520" s="195">
        <v>68.400000000000006</v>
      </c>
      <c r="E4520" s="705">
        <f t="shared" si="142"/>
        <v>20.222222222222225</v>
      </c>
    </row>
    <row r="4521" spans="2:5">
      <c r="B4521" s="943">
        <v>45111</v>
      </c>
      <c r="C4521" s="195">
        <f t="shared" si="141"/>
        <v>7</v>
      </c>
      <c r="D4521" s="195">
        <v>68.5</v>
      </c>
      <c r="E4521" s="705">
        <f t="shared" si="142"/>
        <v>20.277777777777779</v>
      </c>
    </row>
    <row r="4522" spans="2:5">
      <c r="B4522" s="943">
        <v>45111</v>
      </c>
      <c r="C4522" s="195">
        <f t="shared" si="141"/>
        <v>7</v>
      </c>
      <c r="D4522" s="195">
        <v>67.8</v>
      </c>
      <c r="E4522" s="705">
        <f t="shared" si="142"/>
        <v>19.888888888888886</v>
      </c>
    </row>
    <row r="4523" spans="2:5">
      <c r="B4523" s="943">
        <v>45111</v>
      </c>
      <c r="C4523" s="195">
        <f t="shared" si="141"/>
        <v>7</v>
      </c>
      <c r="D4523" s="195">
        <v>65.5</v>
      </c>
      <c r="E4523" s="705">
        <f t="shared" si="142"/>
        <v>18.611111111111111</v>
      </c>
    </row>
    <row r="4524" spans="2:5">
      <c r="B4524" s="943">
        <v>45111</v>
      </c>
      <c r="C4524" s="195">
        <f t="shared" si="141"/>
        <v>7</v>
      </c>
      <c r="D4524" s="195">
        <v>64.599999999999994</v>
      </c>
      <c r="E4524" s="705">
        <f t="shared" si="142"/>
        <v>18.111111111111107</v>
      </c>
    </row>
    <row r="4525" spans="2:5">
      <c r="B4525" s="943">
        <v>45111</v>
      </c>
      <c r="C4525" s="195">
        <f t="shared" si="141"/>
        <v>7</v>
      </c>
      <c r="D4525" s="195">
        <v>63.3</v>
      </c>
      <c r="E4525" s="705">
        <f t="shared" si="142"/>
        <v>17.388888888888886</v>
      </c>
    </row>
    <row r="4526" spans="2:5">
      <c r="B4526" s="943">
        <v>45111</v>
      </c>
      <c r="C4526" s="195">
        <f t="shared" si="141"/>
        <v>7</v>
      </c>
      <c r="D4526" s="195">
        <v>62.2</v>
      </c>
      <c r="E4526" s="705">
        <f t="shared" si="142"/>
        <v>16.777777777777779</v>
      </c>
    </row>
    <row r="4527" spans="2:5">
      <c r="B4527" s="943">
        <v>45111</v>
      </c>
      <c r="C4527" s="195">
        <f t="shared" si="141"/>
        <v>7</v>
      </c>
      <c r="D4527" s="195">
        <v>61.9</v>
      </c>
      <c r="E4527" s="705">
        <f t="shared" si="142"/>
        <v>16.611111111111111</v>
      </c>
    </row>
    <row r="4528" spans="2:5">
      <c r="B4528" s="943">
        <v>45111</v>
      </c>
      <c r="C4528" s="195">
        <f t="shared" si="141"/>
        <v>7</v>
      </c>
      <c r="D4528" s="195">
        <v>62.1</v>
      </c>
      <c r="E4528" s="705">
        <f t="shared" si="142"/>
        <v>16.722222222222221</v>
      </c>
    </row>
    <row r="4529" spans="2:5">
      <c r="B4529" s="943">
        <v>45111</v>
      </c>
      <c r="C4529" s="195">
        <f t="shared" si="141"/>
        <v>7</v>
      </c>
      <c r="D4529" s="195">
        <v>63.3</v>
      </c>
      <c r="E4529" s="705">
        <f t="shared" si="142"/>
        <v>17.388888888888886</v>
      </c>
    </row>
    <row r="4530" spans="2:5">
      <c r="B4530" s="943">
        <v>45111</v>
      </c>
      <c r="C4530" s="195">
        <f t="shared" si="141"/>
        <v>7</v>
      </c>
      <c r="D4530" s="195">
        <v>65.3</v>
      </c>
      <c r="E4530" s="705">
        <f t="shared" si="142"/>
        <v>18.499999999999996</v>
      </c>
    </row>
    <row r="4531" spans="2:5">
      <c r="B4531" s="943">
        <v>45111</v>
      </c>
      <c r="C4531" s="195">
        <f t="shared" si="141"/>
        <v>7</v>
      </c>
      <c r="D4531" s="195">
        <v>66.599999999999994</v>
      </c>
      <c r="E4531" s="705">
        <f t="shared" si="142"/>
        <v>19.222222222222218</v>
      </c>
    </row>
    <row r="4532" spans="2:5">
      <c r="B4532" s="943">
        <v>45111</v>
      </c>
      <c r="C4532" s="195">
        <f t="shared" si="141"/>
        <v>7</v>
      </c>
      <c r="D4532" s="195">
        <v>67.599999999999994</v>
      </c>
      <c r="E4532" s="705">
        <f t="shared" si="142"/>
        <v>19.777777777777775</v>
      </c>
    </row>
    <row r="4533" spans="2:5">
      <c r="B4533" s="943">
        <v>45111</v>
      </c>
      <c r="C4533" s="195">
        <f t="shared" si="141"/>
        <v>7</v>
      </c>
      <c r="D4533" s="195">
        <v>68.400000000000006</v>
      </c>
      <c r="E4533" s="705">
        <f t="shared" si="142"/>
        <v>20.222222222222225</v>
      </c>
    </row>
    <row r="4534" spans="2:5">
      <c r="B4534" s="943">
        <v>45111</v>
      </c>
      <c r="C4534" s="195">
        <f t="shared" si="141"/>
        <v>7</v>
      </c>
      <c r="D4534" s="195">
        <v>68.7</v>
      </c>
      <c r="E4534" s="705">
        <f t="shared" si="142"/>
        <v>20.388888888888889</v>
      </c>
    </row>
    <row r="4535" spans="2:5">
      <c r="B4535" s="943">
        <v>45111</v>
      </c>
      <c r="C4535" s="195">
        <f t="shared" si="141"/>
        <v>7</v>
      </c>
      <c r="D4535" s="195">
        <v>68.2</v>
      </c>
      <c r="E4535" s="705">
        <f t="shared" si="142"/>
        <v>20.111111111111111</v>
      </c>
    </row>
    <row r="4536" spans="2:5">
      <c r="B4536" s="943">
        <v>45111</v>
      </c>
      <c r="C4536" s="195">
        <f t="shared" si="141"/>
        <v>7</v>
      </c>
      <c r="D4536" s="195">
        <v>65.8</v>
      </c>
      <c r="E4536" s="705">
        <f t="shared" si="142"/>
        <v>18.777777777777775</v>
      </c>
    </row>
    <row r="4537" spans="2:5">
      <c r="B4537" s="943">
        <v>45111</v>
      </c>
      <c r="C4537" s="195">
        <f t="shared" si="141"/>
        <v>7</v>
      </c>
      <c r="D4537" s="195">
        <v>62.6</v>
      </c>
      <c r="E4537" s="705">
        <f t="shared" si="142"/>
        <v>17</v>
      </c>
    </row>
    <row r="4538" spans="2:5">
      <c r="B4538" s="943">
        <v>45111</v>
      </c>
      <c r="C4538" s="195">
        <f t="shared" si="141"/>
        <v>7</v>
      </c>
      <c r="D4538" s="195">
        <v>61.9</v>
      </c>
      <c r="E4538" s="705">
        <f t="shared" si="142"/>
        <v>16.611111111111111</v>
      </c>
    </row>
    <row r="4539" spans="2:5">
      <c r="B4539" s="943">
        <v>45111</v>
      </c>
      <c r="C4539" s="195">
        <f t="shared" si="141"/>
        <v>7</v>
      </c>
      <c r="D4539" s="195">
        <v>60.4</v>
      </c>
      <c r="E4539" s="705">
        <f t="shared" si="142"/>
        <v>15.777777777777777</v>
      </c>
    </row>
    <row r="4540" spans="2:5">
      <c r="B4540" s="943">
        <v>45111</v>
      </c>
      <c r="C4540" s="195">
        <f t="shared" si="141"/>
        <v>7</v>
      </c>
      <c r="D4540" s="195">
        <v>63.1</v>
      </c>
      <c r="E4540" s="705">
        <f t="shared" si="142"/>
        <v>17.277777777777779</v>
      </c>
    </row>
    <row r="4541" spans="2:5">
      <c r="B4541" s="943">
        <v>45111</v>
      </c>
      <c r="C4541" s="195">
        <f t="shared" si="141"/>
        <v>7</v>
      </c>
      <c r="D4541" s="195">
        <v>62.2</v>
      </c>
      <c r="E4541" s="705">
        <f t="shared" si="142"/>
        <v>16.777777777777779</v>
      </c>
    </row>
    <row r="4542" spans="2:5">
      <c r="B4542" s="943">
        <v>45111</v>
      </c>
      <c r="C4542" s="195">
        <f t="shared" si="141"/>
        <v>7</v>
      </c>
      <c r="D4542" s="195" t="s">
        <v>1444</v>
      </c>
      <c r="E4542" s="705">
        <f t="shared" si="142"/>
        <v>17.777777777777779</v>
      </c>
    </row>
    <row r="4543" spans="2:5">
      <c r="B4543" s="943">
        <v>45111</v>
      </c>
      <c r="C4543" s="195">
        <f t="shared" si="141"/>
        <v>7</v>
      </c>
      <c r="D4543" s="195">
        <v>66.2</v>
      </c>
      <c r="E4543" s="705">
        <f t="shared" si="142"/>
        <v>19</v>
      </c>
    </row>
    <row r="4544" spans="2:5">
      <c r="B4544" s="943">
        <v>45111</v>
      </c>
      <c r="C4544" s="195">
        <f t="shared" si="141"/>
        <v>7</v>
      </c>
      <c r="D4544" s="195">
        <v>67.599999999999994</v>
      </c>
      <c r="E4544" s="705">
        <f t="shared" si="142"/>
        <v>19.777777777777775</v>
      </c>
    </row>
    <row r="4545" spans="2:5">
      <c r="B4545" s="943">
        <v>45112</v>
      </c>
      <c r="C4545" s="195">
        <f t="shared" si="141"/>
        <v>7</v>
      </c>
      <c r="D4545" s="195">
        <v>68.400000000000006</v>
      </c>
      <c r="E4545" s="705">
        <f t="shared" si="142"/>
        <v>20.222222222222225</v>
      </c>
    </row>
    <row r="4546" spans="2:5">
      <c r="B4546" s="943">
        <v>45112</v>
      </c>
      <c r="C4546" s="195">
        <f t="shared" si="141"/>
        <v>7</v>
      </c>
      <c r="D4546" s="195">
        <v>68.5</v>
      </c>
      <c r="E4546" s="705">
        <f t="shared" si="142"/>
        <v>20.277777777777779</v>
      </c>
    </row>
    <row r="4547" spans="2:5">
      <c r="B4547" s="943">
        <v>45112</v>
      </c>
      <c r="C4547" s="195">
        <f t="shared" si="141"/>
        <v>7</v>
      </c>
      <c r="D4547" s="195">
        <v>66.900000000000006</v>
      </c>
      <c r="E4547" s="705">
        <f t="shared" si="142"/>
        <v>19.388888888888893</v>
      </c>
    </row>
    <row r="4548" spans="2:5">
      <c r="B4548" s="943">
        <v>45112</v>
      </c>
      <c r="C4548" s="195">
        <f t="shared" si="141"/>
        <v>7</v>
      </c>
      <c r="D4548" s="195">
        <v>65.099999999999994</v>
      </c>
      <c r="E4548" s="705">
        <f t="shared" si="142"/>
        <v>18.388888888888886</v>
      </c>
    </row>
    <row r="4549" spans="2:5">
      <c r="B4549" s="943">
        <v>45112</v>
      </c>
      <c r="C4549" s="195">
        <f t="shared" si="141"/>
        <v>7</v>
      </c>
      <c r="D4549" s="195">
        <v>63.9</v>
      </c>
      <c r="E4549" s="705">
        <f t="shared" si="142"/>
        <v>17.722222222222221</v>
      </c>
    </row>
    <row r="4550" spans="2:5">
      <c r="B4550" s="943">
        <v>45112</v>
      </c>
      <c r="C4550" s="195">
        <f t="shared" si="141"/>
        <v>7</v>
      </c>
      <c r="D4550" s="195">
        <v>62.1</v>
      </c>
      <c r="E4550" s="705">
        <f t="shared" si="142"/>
        <v>16.722222222222221</v>
      </c>
    </row>
    <row r="4551" spans="2:5">
      <c r="B4551" s="943">
        <v>45112</v>
      </c>
      <c r="C4551" s="195">
        <f t="shared" si="141"/>
        <v>7</v>
      </c>
      <c r="D4551" s="195">
        <v>61.2</v>
      </c>
      <c r="E4551" s="705">
        <f t="shared" si="142"/>
        <v>16.222222222222225</v>
      </c>
    </row>
    <row r="4552" spans="2:5">
      <c r="B4552" s="943">
        <v>45112</v>
      </c>
      <c r="C4552" s="195">
        <f t="shared" si="141"/>
        <v>7</v>
      </c>
      <c r="D4552" s="195">
        <v>62.4</v>
      </c>
      <c r="E4552" s="705">
        <f t="shared" si="142"/>
        <v>16.888888888888889</v>
      </c>
    </row>
    <row r="4553" spans="2:5">
      <c r="B4553" s="943">
        <v>45112</v>
      </c>
      <c r="C4553" s="195">
        <f t="shared" si="141"/>
        <v>7</v>
      </c>
      <c r="D4553" s="195">
        <v>62.1</v>
      </c>
      <c r="E4553" s="705">
        <f t="shared" si="142"/>
        <v>16.722222222222221</v>
      </c>
    </row>
    <row r="4554" spans="2:5">
      <c r="B4554" s="943">
        <v>45112</v>
      </c>
      <c r="C4554" s="195">
        <f t="shared" ref="C4554:C4617" si="143">MONTH(B4554)</f>
        <v>7</v>
      </c>
      <c r="D4554" s="195">
        <v>63.3</v>
      </c>
      <c r="E4554" s="705">
        <f t="shared" ref="E4554:E4617" si="144">CONVERT(D4554,"F","C")</f>
        <v>17.388888888888886</v>
      </c>
    </row>
    <row r="4555" spans="2:5">
      <c r="B4555" s="943">
        <v>45112</v>
      </c>
      <c r="C4555" s="195">
        <f t="shared" si="143"/>
        <v>7</v>
      </c>
      <c r="D4555" s="195">
        <v>65.3</v>
      </c>
      <c r="E4555" s="705">
        <f t="shared" si="144"/>
        <v>18.499999999999996</v>
      </c>
    </row>
    <row r="4556" spans="2:5">
      <c r="B4556" s="943">
        <v>45112</v>
      </c>
      <c r="C4556" s="195">
        <f t="shared" si="143"/>
        <v>7</v>
      </c>
      <c r="D4556" s="195">
        <v>66.599999999999994</v>
      </c>
      <c r="E4556" s="705">
        <f t="shared" si="144"/>
        <v>19.222222222222218</v>
      </c>
    </row>
    <row r="4557" spans="2:5">
      <c r="B4557" s="943">
        <v>45112</v>
      </c>
      <c r="C4557" s="195">
        <f t="shared" si="143"/>
        <v>7</v>
      </c>
      <c r="D4557" s="195">
        <v>67.5</v>
      </c>
      <c r="E4557" s="705">
        <f t="shared" si="144"/>
        <v>19.722222222222221</v>
      </c>
    </row>
    <row r="4558" spans="2:5">
      <c r="B4558" s="943">
        <v>45112</v>
      </c>
      <c r="C4558" s="195">
        <f t="shared" si="143"/>
        <v>7</v>
      </c>
      <c r="D4558" s="195">
        <v>68.400000000000006</v>
      </c>
      <c r="E4558" s="705">
        <f t="shared" si="144"/>
        <v>20.222222222222225</v>
      </c>
    </row>
    <row r="4559" spans="2:5">
      <c r="B4559" s="943">
        <v>45112</v>
      </c>
      <c r="C4559" s="195">
        <f t="shared" si="143"/>
        <v>7</v>
      </c>
      <c r="D4559" s="195">
        <v>68.7</v>
      </c>
      <c r="E4559" s="705">
        <f t="shared" si="144"/>
        <v>20.388888888888889</v>
      </c>
    </row>
    <row r="4560" spans="2:5">
      <c r="B4560" s="943">
        <v>45112</v>
      </c>
      <c r="C4560" s="195">
        <f t="shared" si="143"/>
        <v>7</v>
      </c>
      <c r="D4560" s="195">
        <v>67.3</v>
      </c>
      <c r="E4560" s="705">
        <f t="shared" si="144"/>
        <v>19.611111111111111</v>
      </c>
    </row>
    <row r="4561" spans="2:5">
      <c r="B4561" s="943">
        <v>45112</v>
      </c>
      <c r="C4561" s="195">
        <f t="shared" si="143"/>
        <v>7</v>
      </c>
      <c r="D4561" s="195">
        <v>61.7</v>
      </c>
      <c r="E4561" s="705">
        <f t="shared" si="144"/>
        <v>16.5</v>
      </c>
    </row>
    <row r="4562" spans="2:5">
      <c r="B4562" s="943">
        <v>45112</v>
      </c>
      <c r="C4562" s="195">
        <f t="shared" si="143"/>
        <v>7</v>
      </c>
      <c r="D4562" s="195">
        <v>61.2</v>
      </c>
      <c r="E4562" s="705">
        <f t="shared" si="144"/>
        <v>16.222222222222225</v>
      </c>
    </row>
    <row r="4563" spans="2:5">
      <c r="B4563" s="943">
        <v>45112</v>
      </c>
      <c r="C4563" s="195">
        <f t="shared" si="143"/>
        <v>7</v>
      </c>
      <c r="D4563" s="195" t="s">
        <v>1442</v>
      </c>
      <c r="E4563" s="705">
        <f t="shared" si="144"/>
        <v>16.111111111111111</v>
      </c>
    </row>
    <row r="4564" spans="2:5">
      <c r="B4564" s="943">
        <v>45112</v>
      </c>
      <c r="C4564" s="195">
        <f t="shared" si="143"/>
        <v>7</v>
      </c>
      <c r="D4564" s="195">
        <v>59.2</v>
      </c>
      <c r="E4564" s="705">
        <f t="shared" si="144"/>
        <v>15.111111111111112</v>
      </c>
    </row>
    <row r="4565" spans="2:5">
      <c r="B4565" s="943">
        <v>45112</v>
      </c>
      <c r="C4565" s="195">
        <f t="shared" si="143"/>
        <v>7</v>
      </c>
      <c r="D4565" s="195">
        <v>61.9</v>
      </c>
      <c r="E4565" s="705">
        <f t="shared" si="144"/>
        <v>16.611111111111111</v>
      </c>
    </row>
    <row r="4566" spans="2:5">
      <c r="B4566" s="943">
        <v>45112</v>
      </c>
      <c r="C4566" s="195">
        <f t="shared" si="143"/>
        <v>7</v>
      </c>
      <c r="D4566" s="195">
        <v>60.3</v>
      </c>
      <c r="E4566" s="705">
        <f t="shared" si="144"/>
        <v>15.72222222222222</v>
      </c>
    </row>
    <row r="4567" spans="2:5">
      <c r="B4567" s="943">
        <v>45112</v>
      </c>
      <c r="C4567" s="195">
        <f t="shared" si="143"/>
        <v>7</v>
      </c>
      <c r="D4567" s="195">
        <v>62.2</v>
      </c>
      <c r="E4567" s="705">
        <f t="shared" si="144"/>
        <v>16.777777777777779</v>
      </c>
    </row>
    <row r="4568" spans="2:5">
      <c r="B4568" s="943">
        <v>45112</v>
      </c>
      <c r="C4568" s="195">
        <f t="shared" si="143"/>
        <v>7</v>
      </c>
      <c r="D4568" s="195">
        <v>65.7</v>
      </c>
      <c r="E4568" s="705">
        <f t="shared" si="144"/>
        <v>18.722222222222225</v>
      </c>
    </row>
    <row r="4569" spans="2:5">
      <c r="B4569" s="943">
        <v>45113</v>
      </c>
      <c r="C4569" s="195">
        <f t="shared" si="143"/>
        <v>7</v>
      </c>
      <c r="D4569" s="195">
        <v>67.599999999999994</v>
      </c>
      <c r="E4569" s="705">
        <f t="shared" si="144"/>
        <v>19.777777777777775</v>
      </c>
    </row>
    <row r="4570" spans="2:5">
      <c r="B4570" s="943">
        <v>45113</v>
      </c>
      <c r="C4570" s="195">
        <f t="shared" si="143"/>
        <v>7</v>
      </c>
      <c r="D4570" s="195">
        <v>68.5</v>
      </c>
      <c r="E4570" s="705">
        <f t="shared" si="144"/>
        <v>20.277777777777779</v>
      </c>
    </row>
    <row r="4571" spans="2:5">
      <c r="B4571" s="943">
        <v>45113</v>
      </c>
      <c r="C4571" s="195">
        <f t="shared" si="143"/>
        <v>7</v>
      </c>
      <c r="D4571" s="195">
        <v>68.900000000000006</v>
      </c>
      <c r="E4571" s="705">
        <f t="shared" si="144"/>
        <v>20.500000000000004</v>
      </c>
    </row>
    <row r="4572" spans="2:5">
      <c r="B4572" s="943">
        <v>45113</v>
      </c>
      <c r="C4572" s="195">
        <f t="shared" si="143"/>
        <v>7</v>
      </c>
      <c r="D4572" s="195">
        <v>67.099999999999994</v>
      </c>
      <c r="E4572" s="705">
        <f t="shared" si="144"/>
        <v>19.499999999999996</v>
      </c>
    </row>
    <row r="4573" spans="2:5">
      <c r="B4573" s="943">
        <v>45113</v>
      </c>
      <c r="C4573" s="195">
        <f t="shared" si="143"/>
        <v>7</v>
      </c>
      <c r="D4573" s="195">
        <v>64.599999999999994</v>
      </c>
      <c r="E4573" s="705">
        <f t="shared" si="144"/>
        <v>18.111111111111107</v>
      </c>
    </row>
    <row r="4574" spans="2:5">
      <c r="B4574" s="943">
        <v>45113</v>
      </c>
      <c r="C4574" s="195">
        <f t="shared" si="143"/>
        <v>7</v>
      </c>
      <c r="D4574" s="195">
        <v>62.2</v>
      </c>
      <c r="E4574" s="705">
        <f t="shared" si="144"/>
        <v>16.777777777777779</v>
      </c>
    </row>
    <row r="4575" spans="2:5">
      <c r="B4575" s="943">
        <v>45113</v>
      </c>
      <c r="C4575" s="195">
        <f t="shared" si="143"/>
        <v>7</v>
      </c>
      <c r="D4575" s="195">
        <v>60.6</v>
      </c>
      <c r="E4575" s="705">
        <f t="shared" si="144"/>
        <v>15.888888888888889</v>
      </c>
    </row>
    <row r="4576" spans="2:5">
      <c r="B4576" s="943">
        <v>45113</v>
      </c>
      <c r="C4576" s="195">
        <f t="shared" si="143"/>
        <v>7</v>
      </c>
      <c r="D4576" s="195">
        <v>59.7</v>
      </c>
      <c r="E4576" s="705">
        <f t="shared" si="144"/>
        <v>15.388888888888889</v>
      </c>
    </row>
    <row r="4577" spans="2:5">
      <c r="B4577" s="943">
        <v>45113</v>
      </c>
      <c r="C4577" s="195">
        <f t="shared" si="143"/>
        <v>7</v>
      </c>
      <c r="D4577" s="195">
        <v>60.3</v>
      </c>
      <c r="E4577" s="705">
        <f t="shared" si="144"/>
        <v>15.72222222222222</v>
      </c>
    </row>
    <row r="4578" spans="2:5">
      <c r="B4578" s="943">
        <v>45113</v>
      </c>
      <c r="C4578" s="195">
        <f t="shared" si="143"/>
        <v>7</v>
      </c>
      <c r="D4578" s="195">
        <v>59.5</v>
      </c>
      <c r="E4578" s="705">
        <f t="shared" si="144"/>
        <v>15.277777777777777</v>
      </c>
    </row>
    <row r="4579" spans="2:5">
      <c r="B4579" s="943">
        <v>45113</v>
      </c>
      <c r="C4579" s="195">
        <f t="shared" si="143"/>
        <v>7</v>
      </c>
      <c r="D4579" s="195">
        <v>61.5</v>
      </c>
      <c r="E4579" s="705">
        <f t="shared" si="144"/>
        <v>16.388888888888889</v>
      </c>
    </row>
    <row r="4580" spans="2:5">
      <c r="B4580" s="943">
        <v>45113</v>
      </c>
      <c r="C4580" s="195">
        <f t="shared" si="143"/>
        <v>7</v>
      </c>
      <c r="D4580" s="195">
        <v>64.400000000000006</v>
      </c>
      <c r="E4580" s="705">
        <f t="shared" si="144"/>
        <v>18.000000000000004</v>
      </c>
    </row>
    <row r="4581" spans="2:5">
      <c r="B4581" s="943">
        <v>45113</v>
      </c>
      <c r="C4581" s="195">
        <f t="shared" si="143"/>
        <v>7</v>
      </c>
      <c r="D4581" s="195">
        <v>66.400000000000006</v>
      </c>
      <c r="E4581" s="705">
        <f t="shared" si="144"/>
        <v>19.111111111111114</v>
      </c>
    </row>
    <row r="4582" spans="2:5">
      <c r="B4582" s="943">
        <v>45113</v>
      </c>
      <c r="C4582" s="195">
        <f t="shared" si="143"/>
        <v>7</v>
      </c>
      <c r="D4582" s="195">
        <v>67.8</v>
      </c>
      <c r="E4582" s="705">
        <f t="shared" si="144"/>
        <v>19.888888888888886</v>
      </c>
    </row>
    <row r="4583" spans="2:5">
      <c r="B4583" s="943">
        <v>45113</v>
      </c>
      <c r="C4583" s="195">
        <f t="shared" si="143"/>
        <v>7</v>
      </c>
      <c r="D4583" s="195">
        <v>68.900000000000006</v>
      </c>
      <c r="E4583" s="705">
        <f t="shared" si="144"/>
        <v>20.500000000000004</v>
      </c>
    </row>
    <row r="4584" spans="2:5">
      <c r="B4584" s="943">
        <v>45113</v>
      </c>
      <c r="C4584" s="195">
        <f t="shared" si="143"/>
        <v>7</v>
      </c>
      <c r="D4584" s="195">
        <v>69.3</v>
      </c>
      <c r="E4584" s="705">
        <f t="shared" si="144"/>
        <v>20.722222222222221</v>
      </c>
    </row>
    <row r="4585" spans="2:5">
      <c r="B4585" s="943">
        <v>45113</v>
      </c>
      <c r="C4585" s="195">
        <f t="shared" si="143"/>
        <v>7</v>
      </c>
      <c r="D4585" s="195">
        <v>65.8</v>
      </c>
      <c r="E4585" s="705">
        <f t="shared" si="144"/>
        <v>18.777777777777775</v>
      </c>
    </row>
    <row r="4586" spans="2:5">
      <c r="B4586" s="943">
        <v>45113</v>
      </c>
      <c r="C4586" s="195">
        <f t="shared" si="143"/>
        <v>7</v>
      </c>
      <c r="D4586" s="195">
        <v>62.2</v>
      </c>
      <c r="E4586" s="705">
        <f t="shared" si="144"/>
        <v>16.777777777777779</v>
      </c>
    </row>
    <row r="4587" spans="2:5">
      <c r="B4587" s="943">
        <v>45113</v>
      </c>
      <c r="C4587" s="195">
        <f t="shared" si="143"/>
        <v>7</v>
      </c>
      <c r="D4587" s="195">
        <v>60.6</v>
      </c>
      <c r="E4587" s="705">
        <f t="shared" si="144"/>
        <v>15.888888888888889</v>
      </c>
    </row>
    <row r="4588" spans="2:5">
      <c r="B4588" s="943">
        <v>45113</v>
      </c>
      <c r="C4588" s="195">
        <f t="shared" si="143"/>
        <v>7</v>
      </c>
      <c r="D4588" s="195">
        <v>60.6</v>
      </c>
      <c r="E4588" s="705">
        <f t="shared" si="144"/>
        <v>15.888888888888889</v>
      </c>
    </row>
    <row r="4589" spans="2:5">
      <c r="B4589" s="943">
        <v>45113</v>
      </c>
      <c r="C4589" s="195">
        <f t="shared" si="143"/>
        <v>7</v>
      </c>
      <c r="D4589" s="195">
        <v>58.6</v>
      </c>
      <c r="E4589" s="705">
        <f t="shared" si="144"/>
        <v>14.777777777777779</v>
      </c>
    </row>
    <row r="4590" spans="2:5">
      <c r="B4590" s="943">
        <v>45113</v>
      </c>
      <c r="C4590" s="195">
        <f t="shared" si="143"/>
        <v>7</v>
      </c>
      <c r="D4590" s="195">
        <v>61.5</v>
      </c>
      <c r="E4590" s="705">
        <f t="shared" si="144"/>
        <v>16.388888888888889</v>
      </c>
    </row>
    <row r="4591" spans="2:5">
      <c r="B4591" s="943">
        <v>45113</v>
      </c>
      <c r="C4591" s="195">
        <f t="shared" si="143"/>
        <v>7</v>
      </c>
      <c r="D4591" s="195">
        <v>59.9</v>
      </c>
      <c r="E4591" s="705">
        <f t="shared" si="144"/>
        <v>15.499999999999998</v>
      </c>
    </row>
    <row r="4592" spans="2:5">
      <c r="B4592" s="943">
        <v>45113</v>
      </c>
      <c r="C4592" s="195">
        <f t="shared" si="143"/>
        <v>7</v>
      </c>
      <c r="D4592" s="195">
        <v>62.4</v>
      </c>
      <c r="E4592" s="705">
        <f t="shared" si="144"/>
        <v>16.888888888888889</v>
      </c>
    </row>
    <row r="4593" spans="2:5">
      <c r="B4593" s="943">
        <v>45114</v>
      </c>
      <c r="C4593" s="195">
        <f t="shared" si="143"/>
        <v>7</v>
      </c>
      <c r="D4593" s="195">
        <v>65.7</v>
      </c>
      <c r="E4593" s="705">
        <f t="shared" si="144"/>
        <v>18.722222222222225</v>
      </c>
    </row>
    <row r="4594" spans="2:5">
      <c r="B4594" s="943">
        <v>45114</v>
      </c>
      <c r="C4594" s="195">
        <f t="shared" si="143"/>
        <v>7</v>
      </c>
      <c r="D4594" s="195" t="s">
        <v>1446</v>
      </c>
      <c r="E4594" s="705">
        <f t="shared" si="144"/>
        <v>20</v>
      </c>
    </row>
    <row r="4595" spans="2:5">
      <c r="B4595" s="943">
        <v>45114</v>
      </c>
      <c r="C4595" s="195">
        <f t="shared" si="143"/>
        <v>7</v>
      </c>
      <c r="D4595" s="195">
        <v>69.099999999999994</v>
      </c>
      <c r="E4595" s="705">
        <f t="shared" si="144"/>
        <v>20.611111111111107</v>
      </c>
    </row>
    <row r="4596" spans="2:5">
      <c r="B4596" s="943">
        <v>45114</v>
      </c>
      <c r="C4596" s="195">
        <f t="shared" si="143"/>
        <v>7</v>
      </c>
      <c r="D4596" s="195">
        <v>69.400000000000006</v>
      </c>
      <c r="E4596" s="705">
        <f t="shared" si="144"/>
        <v>20.777777777777782</v>
      </c>
    </row>
    <row r="4597" spans="2:5">
      <c r="B4597" s="943">
        <v>45114</v>
      </c>
      <c r="C4597" s="195">
        <f t="shared" si="143"/>
        <v>7</v>
      </c>
      <c r="D4597" s="195" t="s">
        <v>1445</v>
      </c>
      <c r="E4597" s="705">
        <f t="shared" si="144"/>
        <v>18.888888888888889</v>
      </c>
    </row>
    <row r="4598" spans="2:5">
      <c r="B4598" s="943">
        <v>45114</v>
      </c>
      <c r="C4598" s="195">
        <f t="shared" si="143"/>
        <v>7</v>
      </c>
      <c r="D4598" s="195">
        <v>62.6</v>
      </c>
      <c r="E4598" s="705">
        <f t="shared" si="144"/>
        <v>17</v>
      </c>
    </row>
    <row r="4599" spans="2:5">
      <c r="B4599" s="943">
        <v>45114</v>
      </c>
      <c r="C4599" s="195">
        <f t="shared" si="143"/>
        <v>7</v>
      </c>
      <c r="D4599" s="195">
        <v>60.4</v>
      </c>
      <c r="E4599" s="705">
        <f t="shared" si="144"/>
        <v>15.777777777777777</v>
      </c>
    </row>
    <row r="4600" spans="2:5">
      <c r="B4600" s="943">
        <v>45114</v>
      </c>
      <c r="C4600" s="195">
        <f t="shared" si="143"/>
        <v>7</v>
      </c>
      <c r="D4600" s="195">
        <v>58.5</v>
      </c>
      <c r="E4600" s="705">
        <f t="shared" si="144"/>
        <v>14.722222222222221</v>
      </c>
    </row>
    <row r="4601" spans="2:5">
      <c r="B4601" s="943">
        <v>45114</v>
      </c>
      <c r="C4601" s="195">
        <f t="shared" si="143"/>
        <v>7</v>
      </c>
      <c r="D4601" s="195">
        <v>58.6</v>
      </c>
      <c r="E4601" s="705">
        <f t="shared" si="144"/>
        <v>14.777777777777779</v>
      </c>
    </row>
    <row r="4602" spans="2:5">
      <c r="B4602" s="943">
        <v>45114</v>
      </c>
      <c r="C4602" s="195">
        <f t="shared" si="143"/>
        <v>7</v>
      </c>
      <c r="D4602" s="195">
        <v>59.2</v>
      </c>
      <c r="E4602" s="705">
        <f t="shared" si="144"/>
        <v>15.111111111111112</v>
      </c>
    </row>
    <row r="4603" spans="2:5">
      <c r="B4603" s="943">
        <v>45114</v>
      </c>
      <c r="C4603" s="195">
        <f t="shared" si="143"/>
        <v>7</v>
      </c>
      <c r="D4603" s="195">
        <v>58.5</v>
      </c>
      <c r="E4603" s="705">
        <f t="shared" si="144"/>
        <v>14.722222222222221</v>
      </c>
    </row>
    <row r="4604" spans="2:5">
      <c r="B4604" s="943">
        <v>45114</v>
      </c>
      <c r="C4604" s="195">
        <f t="shared" si="143"/>
        <v>7</v>
      </c>
      <c r="D4604" s="195">
        <v>60.4</v>
      </c>
      <c r="E4604" s="705">
        <f t="shared" si="144"/>
        <v>15.777777777777777</v>
      </c>
    </row>
    <row r="4605" spans="2:5">
      <c r="B4605" s="943">
        <v>45114</v>
      </c>
      <c r="C4605" s="195">
        <f t="shared" si="143"/>
        <v>7</v>
      </c>
      <c r="D4605" s="195">
        <v>63.7</v>
      </c>
      <c r="E4605" s="705">
        <f t="shared" si="144"/>
        <v>17.611111111111111</v>
      </c>
    </row>
    <row r="4606" spans="2:5">
      <c r="B4606" s="943">
        <v>45114</v>
      </c>
      <c r="C4606" s="195">
        <f t="shared" si="143"/>
        <v>7</v>
      </c>
      <c r="D4606" s="195">
        <v>66.2</v>
      </c>
      <c r="E4606" s="705">
        <f t="shared" si="144"/>
        <v>19</v>
      </c>
    </row>
    <row r="4607" spans="2:5">
      <c r="B4607" s="943">
        <v>45114</v>
      </c>
      <c r="C4607" s="195">
        <f t="shared" si="143"/>
        <v>7</v>
      </c>
      <c r="D4607" s="195">
        <v>68.2</v>
      </c>
      <c r="E4607" s="705">
        <f t="shared" si="144"/>
        <v>20.111111111111111</v>
      </c>
    </row>
    <row r="4608" spans="2:5">
      <c r="B4608" s="943">
        <v>45114</v>
      </c>
      <c r="C4608" s="195">
        <f t="shared" si="143"/>
        <v>7</v>
      </c>
      <c r="D4608" s="195">
        <v>69.400000000000006</v>
      </c>
      <c r="E4608" s="705">
        <f t="shared" si="144"/>
        <v>20.777777777777782</v>
      </c>
    </row>
    <row r="4609" spans="2:5">
      <c r="B4609" s="943">
        <v>45114</v>
      </c>
      <c r="C4609" s="195">
        <f t="shared" si="143"/>
        <v>7</v>
      </c>
      <c r="D4609" s="195">
        <v>69.400000000000006</v>
      </c>
      <c r="E4609" s="705">
        <f t="shared" si="144"/>
        <v>20.777777777777782</v>
      </c>
    </row>
    <row r="4610" spans="2:5">
      <c r="B4610" s="943">
        <v>45114</v>
      </c>
      <c r="C4610" s="195">
        <f t="shared" si="143"/>
        <v>7</v>
      </c>
      <c r="D4610" s="195">
        <v>65.7</v>
      </c>
      <c r="E4610" s="705">
        <f t="shared" si="144"/>
        <v>18.722222222222225</v>
      </c>
    </row>
    <row r="4611" spans="2:5">
      <c r="B4611" s="943">
        <v>45114</v>
      </c>
      <c r="C4611" s="195">
        <f t="shared" si="143"/>
        <v>7</v>
      </c>
      <c r="D4611" s="195">
        <v>61.2</v>
      </c>
      <c r="E4611" s="705">
        <f t="shared" si="144"/>
        <v>16.222222222222225</v>
      </c>
    </row>
    <row r="4612" spans="2:5">
      <c r="B4612" s="943">
        <v>45114</v>
      </c>
      <c r="C4612" s="195">
        <f t="shared" si="143"/>
        <v>7</v>
      </c>
      <c r="D4612" s="195" t="s">
        <v>1441</v>
      </c>
      <c r="E4612" s="705">
        <f t="shared" si="144"/>
        <v>15</v>
      </c>
    </row>
    <row r="4613" spans="2:5">
      <c r="B4613" s="943">
        <v>45114</v>
      </c>
      <c r="C4613" s="195">
        <f t="shared" si="143"/>
        <v>7</v>
      </c>
      <c r="D4613" s="195">
        <v>59.2</v>
      </c>
      <c r="E4613" s="705">
        <f t="shared" si="144"/>
        <v>15.111111111111112</v>
      </c>
    </row>
    <row r="4614" spans="2:5">
      <c r="B4614" s="943">
        <v>45114</v>
      </c>
      <c r="C4614" s="195">
        <f t="shared" si="143"/>
        <v>7</v>
      </c>
      <c r="D4614" s="195">
        <v>56.8</v>
      </c>
      <c r="E4614" s="705">
        <f t="shared" si="144"/>
        <v>13.777777777777775</v>
      </c>
    </row>
    <row r="4615" spans="2:5">
      <c r="B4615" s="943">
        <v>45114</v>
      </c>
      <c r="C4615" s="195">
        <f t="shared" si="143"/>
        <v>7</v>
      </c>
      <c r="D4615" s="195">
        <v>60.3</v>
      </c>
      <c r="E4615" s="705">
        <f t="shared" si="144"/>
        <v>15.72222222222222</v>
      </c>
    </row>
    <row r="4616" spans="2:5">
      <c r="B4616" s="943">
        <v>45114</v>
      </c>
      <c r="C4616" s="195">
        <f t="shared" si="143"/>
        <v>7</v>
      </c>
      <c r="D4616" s="195" t="s">
        <v>1441</v>
      </c>
      <c r="E4616" s="705">
        <f t="shared" si="144"/>
        <v>15</v>
      </c>
    </row>
    <row r="4617" spans="2:5">
      <c r="B4617" s="943">
        <v>45115</v>
      </c>
      <c r="C4617" s="195">
        <f t="shared" si="143"/>
        <v>7</v>
      </c>
      <c r="D4617" s="195">
        <v>61.5</v>
      </c>
      <c r="E4617" s="705">
        <f t="shared" si="144"/>
        <v>16.388888888888889</v>
      </c>
    </row>
    <row r="4618" spans="2:5">
      <c r="B4618" s="943">
        <v>45115</v>
      </c>
      <c r="C4618" s="195">
        <f t="shared" ref="C4618:C4681" si="145">MONTH(B4618)</f>
        <v>7</v>
      </c>
      <c r="D4618" s="195">
        <v>64.900000000000006</v>
      </c>
      <c r="E4618" s="705">
        <f t="shared" ref="E4618:E4681" si="146">CONVERT(D4618,"F","C")</f>
        <v>18.277777777777782</v>
      </c>
    </row>
    <row r="4619" spans="2:5">
      <c r="B4619" s="943">
        <v>45115</v>
      </c>
      <c r="C4619" s="195">
        <f t="shared" si="145"/>
        <v>7</v>
      </c>
      <c r="D4619" s="195">
        <v>67.5</v>
      </c>
      <c r="E4619" s="705">
        <f t="shared" si="146"/>
        <v>19.722222222222221</v>
      </c>
    </row>
    <row r="4620" spans="2:5">
      <c r="B4620" s="943">
        <v>45115</v>
      </c>
      <c r="C4620" s="195">
        <f t="shared" si="145"/>
        <v>7</v>
      </c>
      <c r="D4620" s="195">
        <v>68.900000000000006</v>
      </c>
      <c r="E4620" s="705">
        <f t="shared" si="146"/>
        <v>20.500000000000004</v>
      </c>
    </row>
    <row r="4621" spans="2:5">
      <c r="B4621" s="943">
        <v>45115</v>
      </c>
      <c r="C4621" s="195">
        <f t="shared" si="145"/>
        <v>7</v>
      </c>
      <c r="D4621" s="195">
        <v>69.099999999999994</v>
      </c>
      <c r="E4621" s="705">
        <f t="shared" si="146"/>
        <v>20.611111111111107</v>
      </c>
    </row>
    <row r="4622" spans="2:5">
      <c r="B4622" s="943">
        <v>45115</v>
      </c>
      <c r="C4622" s="195">
        <f t="shared" si="145"/>
        <v>7</v>
      </c>
      <c r="D4622" s="195">
        <v>65.3</v>
      </c>
      <c r="E4622" s="705">
        <f t="shared" si="146"/>
        <v>18.499999999999996</v>
      </c>
    </row>
    <row r="4623" spans="2:5">
      <c r="B4623" s="943">
        <v>45115</v>
      </c>
      <c r="C4623" s="195">
        <f t="shared" si="145"/>
        <v>7</v>
      </c>
      <c r="D4623" s="195">
        <v>60.8</v>
      </c>
      <c r="E4623" s="705">
        <f t="shared" si="146"/>
        <v>15.999999999999998</v>
      </c>
    </row>
    <row r="4624" spans="2:5">
      <c r="B4624" s="943">
        <v>45115</v>
      </c>
      <c r="C4624" s="195">
        <f t="shared" si="145"/>
        <v>7</v>
      </c>
      <c r="D4624" s="195">
        <v>58.5</v>
      </c>
      <c r="E4624" s="705">
        <f t="shared" si="146"/>
        <v>14.722222222222221</v>
      </c>
    </row>
    <row r="4625" spans="2:5">
      <c r="B4625" s="943">
        <v>45115</v>
      </c>
      <c r="C4625" s="195">
        <f t="shared" si="145"/>
        <v>7</v>
      </c>
      <c r="D4625" s="195">
        <v>55.9</v>
      </c>
      <c r="E4625" s="705">
        <f t="shared" si="146"/>
        <v>13.277777777777777</v>
      </c>
    </row>
    <row r="4626" spans="2:5">
      <c r="B4626" s="943">
        <v>45115</v>
      </c>
      <c r="C4626" s="195">
        <f t="shared" si="145"/>
        <v>7</v>
      </c>
      <c r="D4626" s="195">
        <v>55.8</v>
      </c>
      <c r="E4626" s="705">
        <f t="shared" si="146"/>
        <v>13.22222222222222</v>
      </c>
    </row>
    <row r="4627" spans="2:5">
      <c r="B4627" s="943">
        <v>45115</v>
      </c>
      <c r="C4627" s="195">
        <f t="shared" si="145"/>
        <v>7</v>
      </c>
      <c r="D4627" s="195">
        <v>56.3</v>
      </c>
      <c r="E4627" s="705">
        <f t="shared" si="146"/>
        <v>13.499999999999998</v>
      </c>
    </row>
    <row r="4628" spans="2:5">
      <c r="B4628" s="943">
        <v>45115</v>
      </c>
      <c r="C4628" s="195">
        <f t="shared" si="145"/>
        <v>7</v>
      </c>
      <c r="D4628" s="195">
        <v>55.6</v>
      </c>
      <c r="E4628" s="705">
        <f t="shared" si="146"/>
        <v>13.111111111111111</v>
      </c>
    </row>
    <row r="4629" spans="2:5">
      <c r="B4629" s="943">
        <v>45115</v>
      </c>
      <c r="C4629" s="195">
        <f t="shared" si="145"/>
        <v>7</v>
      </c>
      <c r="D4629" s="195">
        <v>57.9</v>
      </c>
      <c r="E4629" s="705">
        <f t="shared" si="146"/>
        <v>14.388888888888888</v>
      </c>
    </row>
    <row r="4630" spans="2:5">
      <c r="B4630" s="943">
        <v>45115</v>
      </c>
      <c r="C4630" s="195">
        <f t="shared" si="145"/>
        <v>7</v>
      </c>
      <c r="D4630" s="195">
        <v>62.1</v>
      </c>
      <c r="E4630" s="705">
        <f t="shared" si="146"/>
        <v>16.722222222222221</v>
      </c>
    </row>
    <row r="4631" spans="2:5">
      <c r="B4631" s="943">
        <v>45115</v>
      </c>
      <c r="C4631" s="195">
        <f t="shared" si="145"/>
        <v>7</v>
      </c>
      <c r="D4631" s="195">
        <v>65.3</v>
      </c>
      <c r="E4631" s="705">
        <f t="shared" si="146"/>
        <v>18.499999999999996</v>
      </c>
    </row>
    <row r="4632" spans="2:5">
      <c r="B4632" s="943">
        <v>45115</v>
      </c>
      <c r="C4632" s="195">
        <f t="shared" si="145"/>
        <v>7</v>
      </c>
      <c r="D4632" s="195">
        <v>67.599999999999994</v>
      </c>
      <c r="E4632" s="705">
        <f t="shared" si="146"/>
        <v>19.777777777777775</v>
      </c>
    </row>
    <row r="4633" spans="2:5">
      <c r="B4633" s="943">
        <v>45115</v>
      </c>
      <c r="C4633" s="195">
        <f t="shared" si="145"/>
        <v>7</v>
      </c>
      <c r="D4633" s="195">
        <v>68.900000000000006</v>
      </c>
      <c r="E4633" s="705">
        <f t="shared" si="146"/>
        <v>20.500000000000004</v>
      </c>
    </row>
    <row r="4634" spans="2:5">
      <c r="B4634" s="943">
        <v>45115</v>
      </c>
      <c r="C4634" s="195">
        <f t="shared" si="145"/>
        <v>7</v>
      </c>
      <c r="D4634" s="195">
        <v>67.8</v>
      </c>
      <c r="E4634" s="705">
        <f t="shared" si="146"/>
        <v>19.888888888888886</v>
      </c>
    </row>
    <row r="4635" spans="2:5">
      <c r="B4635" s="943">
        <v>45115</v>
      </c>
      <c r="C4635" s="195">
        <f t="shared" si="145"/>
        <v>7</v>
      </c>
      <c r="D4635" s="195">
        <v>62.6</v>
      </c>
      <c r="E4635" s="705">
        <f t="shared" si="146"/>
        <v>17</v>
      </c>
    </row>
    <row r="4636" spans="2:5">
      <c r="B4636" s="943">
        <v>45115</v>
      </c>
      <c r="C4636" s="195">
        <f t="shared" si="145"/>
        <v>7</v>
      </c>
      <c r="D4636" s="195">
        <v>62.1</v>
      </c>
      <c r="E4636" s="705">
        <f t="shared" si="146"/>
        <v>16.722222222222221</v>
      </c>
    </row>
    <row r="4637" spans="2:5">
      <c r="B4637" s="943">
        <v>45115</v>
      </c>
      <c r="C4637" s="195">
        <f t="shared" si="145"/>
        <v>7</v>
      </c>
      <c r="D4637" s="195">
        <v>60.3</v>
      </c>
      <c r="E4637" s="705">
        <f t="shared" si="146"/>
        <v>15.72222222222222</v>
      </c>
    </row>
    <row r="4638" spans="2:5">
      <c r="B4638" s="943">
        <v>45115</v>
      </c>
      <c r="C4638" s="195">
        <f t="shared" si="145"/>
        <v>7</v>
      </c>
      <c r="D4638" s="195">
        <v>58.8</v>
      </c>
      <c r="E4638" s="705">
        <f t="shared" si="146"/>
        <v>14.888888888888888</v>
      </c>
    </row>
    <row r="4639" spans="2:5">
      <c r="B4639" s="943">
        <v>45115</v>
      </c>
      <c r="C4639" s="195">
        <f t="shared" si="145"/>
        <v>7</v>
      </c>
      <c r="D4639" s="195">
        <v>58.1</v>
      </c>
      <c r="E4639" s="705">
        <f t="shared" si="146"/>
        <v>14.5</v>
      </c>
    </row>
    <row r="4640" spans="2:5">
      <c r="B4640" s="943">
        <v>45115</v>
      </c>
      <c r="C4640" s="195">
        <f t="shared" si="145"/>
        <v>7</v>
      </c>
      <c r="D4640" s="195">
        <v>58.3</v>
      </c>
      <c r="E4640" s="705">
        <f t="shared" si="146"/>
        <v>14.611111111111109</v>
      </c>
    </row>
    <row r="4641" spans="2:5">
      <c r="B4641" s="943">
        <v>45116</v>
      </c>
      <c r="C4641" s="195">
        <f t="shared" si="145"/>
        <v>7</v>
      </c>
      <c r="D4641" s="195">
        <v>59.5</v>
      </c>
      <c r="E4641" s="705">
        <f t="shared" si="146"/>
        <v>15.277777777777777</v>
      </c>
    </row>
    <row r="4642" spans="2:5">
      <c r="B4642" s="943">
        <v>45116</v>
      </c>
      <c r="C4642" s="195">
        <f t="shared" si="145"/>
        <v>7</v>
      </c>
      <c r="D4642" s="195">
        <v>61.5</v>
      </c>
      <c r="E4642" s="705">
        <f t="shared" si="146"/>
        <v>16.388888888888889</v>
      </c>
    </row>
    <row r="4643" spans="2:5">
      <c r="B4643" s="943">
        <v>45116</v>
      </c>
      <c r="C4643" s="195">
        <f t="shared" si="145"/>
        <v>7</v>
      </c>
      <c r="D4643" s="195">
        <v>64.400000000000006</v>
      </c>
      <c r="E4643" s="705">
        <f t="shared" si="146"/>
        <v>18.000000000000004</v>
      </c>
    </row>
    <row r="4644" spans="2:5">
      <c r="B4644" s="943">
        <v>45116</v>
      </c>
      <c r="C4644" s="195">
        <f t="shared" si="145"/>
        <v>7</v>
      </c>
      <c r="D4644" s="195">
        <v>66.900000000000006</v>
      </c>
      <c r="E4644" s="705">
        <f t="shared" si="146"/>
        <v>19.388888888888893</v>
      </c>
    </row>
    <row r="4645" spans="2:5">
      <c r="B4645" s="943">
        <v>45116</v>
      </c>
      <c r="C4645" s="195">
        <f t="shared" si="145"/>
        <v>7</v>
      </c>
      <c r="D4645" s="195">
        <v>68.2</v>
      </c>
      <c r="E4645" s="705">
        <f t="shared" si="146"/>
        <v>20.111111111111111</v>
      </c>
    </row>
    <row r="4646" spans="2:5">
      <c r="B4646" s="943">
        <v>45116</v>
      </c>
      <c r="C4646" s="195">
        <f t="shared" si="145"/>
        <v>7</v>
      </c>
      <c r="D4646" s="195">
        <v>68.400000000000006</v>
      </c>
      <c r="E4646" s="705">
        <f t="shared" si="146"/>
        <v>20.222222222222225</v>
      </c>
    </row>
    <row r="4647" spans="2:5">
      <c r="B4647" s="943">
        <v>45116</v>
      </c>
      <c r="C4647" s="195">
        <f t="shared" si="145"/>
        <v>7</v>
      </c>
      <c r="D4647" s="195">
        <v>65.7</v>
      </c>
      <c r="E4647" s="705">
        <f t="shared" si="146"/>
        <v>18.722222222222225</v>
      </c>
    </row>
    <row r="4648" spans="2:5">
      <c r="B4648" s="943">
        <v>45116</v>
      </c>
      <c r="C4648" s="195">
        <f t="shared" si="145"/>
        <v>7</v>
      </c>
      <c r="D4648" s="195" t="s">
        <v>1443</v>
      </c>
      <c r="E4648" s="705">
        <f t="shared" si="146"/>
        <v>17.222222222222221</v>
      </c>
    </row>
    <row r="4649" spans="2:5">
      <c r="B4649" s="943">
        <v>45116</v>
      </c>
      <c r="C4649" s="195">
        <f t="shared" si="145"/>
        <v>7</v>
      </c>
      <c r="D4649" s="195">
        <v>61.2</v>
      </c>
      <c r="E4649" s="705">
        <f t="shared" si="146"/>
        <v>16.222222222222225</v>
      </c>
    </row>
    <row r="4650" spans="2:5">
      <c r="B4650" s="943">
        <v>45116</v>
      </c>
      <c r="C4650" s="195">
        <f t="shared" si="145"/>
        <v>7</v>
      </c>
      <c r="D4650" s="195">
        <v>59.4</v>
      </c>
      <c r="E4650" s="705">
        <f t="shared" si="146"/>
        <v>15.222222222222221</v>
      </c>
    </row>
    <row r="4651" spans="2:5">
      <c r="B4651" s="943">
        <v>45116</v>
      </c>
      <c r="C4651" s="195">
        <f t="shared" si="145"/>
        <v>7</v>
      </c>
      <c r="D4651" s="195">
        <v>58.3</v>
      </c>
      <c r="E4651" s="705">
        <f t="shared" si="146"/>
        <v>14.611111111111109</v>
      </c>
    </row>
    <row r="4652" spans="2:5">
      <c r="B4652" s="943">
        <v>45116</v>
      </c>
      <c r="C4652" s="195">
        <f t="shared" si="145"/>
        <v>7</v>
      </c>
      <c r="D4652" s="195">
        <v>59.7</v>
      </c>
      <c r="E4652" s="705">
        <f t="shared" si="146"/>
        <v>15.388888888888889</v>
      </c>
    </row>
    <row r="4653" spans="2:5">
      <c r="B4653" s="943">
        <v>45116</v>
      </c>
      <c r="C4653" s="195">
        <f t="shared" si="145"/>
        <v>7</v>
      </c>
      <c r="D4653" s="195">
        <v>59.5</v>
      </c>
      <c r="E4653" s="705">
        <f t="shared" si="146"/>
        <v>15.277777777777777</v>
      </c>
    </row>
    <row r="4654" spans="2:5">
      <c r="B4654" s="943">
        <v>45116</v>
      </c>
      <c r="C4654" s="195">
        <f t="shared" si="145"/>
        <v>7</v>
      </c>
      <c r="D4654" s="195">
        <v>61.2</v>
      </c>
      <c r="E4654" s="705">
        <f t="shared" si="146"/>
        <v>16.222222222222225</v>
      </c>
    </row>
    <row r="4655" spans="2:5">
      <c r="B4655" s="943">
        <v>45116</v>
      </c>
      <c r="C4655" s="195">
        <f t="shared" si="145"/>
        <v>7</v>
      </c>
      <c r="D4655" s="195" t="s">
        <v>1444</v>
      </c>
      <c r="E4655" s="705">
        <f t="shared" si="146"/>
        <v>17.777777777777779</v>
      </c>
    </row>
    <row r="4656" spans="2:5">
      <c r="B4656" s="943">
        <v>45116</v>
      </c>
      <c r="C4656" s="195">
        <f t="shared" si="145"/>
        <v>7</v>
      </c>
      <c r="D4656" s="195">
        <v>66.2</v>
      </c>
      <c r="E4656" s="705">
        <f t="shared" si="146"/>
        <v>19</v>
      </c>
    </row>
    <row r="4657" spans="2:5">
      <c r="B4657" s="943">
        <v>45116</v>
      </c>
      <c r="C4657" s="195">
        <f t="shared" si="145"/>
        <v>7</v>
      </c>
      <c r="D4657" s="195">
        <v>67.8</v>
      </c>
      <c r="E4657" s="705">
        <f t="shared" si="146"/>
        <v>19.888888888888886</v>
      </c>
    </row>
    <row r="4658" spans="2:5">
      <c r="B4658" s="943">
        <v>45116</v>
      </c>
      <c r="C4658" s="195">
        <f t="shared" si="145"/>
        <v>7</v>
      </c>
      <c r="D4658" s="195">
        <v>68.7</v>
      </c>
      <c r="E4658" s="705">
        <f t="shared" si="146"/>
        <v>20.388888888888889</v>
      </c>
    </row>
    <row r="4659" spans="2:5">
      <c r="B4659" s="943">
        <v>45116</v>
      </c>
      <c r="C4659" s="195">
        <f t="shared" si="145"/>
        <v>7</v>
      </c>
      <c r="D4659" s="195">
        <v>67.8</v>
      </c>
      <c r="E4659" s="705">
        <f t="shared" si="146"/>
        <v>19.888888888888886</v>
      </c>
    </row>
    <row r="4660" spans="2:5">
      <c r="B4660" s="943">
        <v>45116</v>
      </c>
      <c r="C4660" s="195">
        <f t="shared" si="145"/>
        <v>7</v>
      </c>
      <c r="D4660" s="195">
        <v>64.8</v>
      </c>
      <c r="E4660" s="705">
        <f t="shared" si="146"/>
        <v>18.222222222222221</v>
      </c>
    </row>
    <row r="4661" spans="2:5">
      <c r="B4661" s="943">
        <v>45116</v>
      </c>
      <c r="C4661" s="195">
        <f t="shared" si="145"/>
        <v>7</v>
      </c>
      <c r="D4661" s="195">
        <v>63.7</v>
      </c>
      <c r="E4661" s="705">
        <f t="shared" si="146"/>
        <v>17.611111111111111</v>
      </c>
    </row>
    <row r="4662" spans="2:5">
      <c r="B4662" s="943">
        <v>45116</v>
      </c>
      <c r="C4662" s="195">
        <f t="shared" si="145"/>
        <v>7</v>
      </c>
      <c r="D4662" s="195">
        <v>62.1</v>
      </c>
      <c r="E4662" s="705">
        <f t="shared" si="146"/>
        <v>16.722222222222221</v>
      </c>
    </row>
    <row r="4663" spans="2:5">
      <c r="B4663" s="943">
        <v>45116</v>
      </c>
      <c r="C4663" s="195">
        <f t="shared" si="145"/>
        <v>7</v>
      </c>
      <c r="D4663" s="195">
        <v>60.3</v>
      </c>
      <c r="E4663" s="705">
        <f t="shared" si="146"/>
        <v>15.72222222222222</v>
      </c>
    </row>
    <row r="4664" spans="2:5">
      <c r="B4664" s="943">
        <v>45116</v>
      </c>
      <c r="C4664" s="195">
        <f t="shared" si="145"/>
        <v>7</v>
      </c>
      <c r="D4664" s="195">
        <v>59.5</v>
      </c>
      <c r="E4664" s="705">
        <f t="shared" si="146"/>
        <v>15.277777777777777</v>
      </c>
    </row>
    <row r="4665" spans="2:5">
      <c r="B4665" s="943">
        <v>45117</v>
      </c>
      <c r="C4665" s="195">
        <f t="shared" si="145"/>
        <v>7</v>
      </c>
      <c r="D4665" s="195">
        <v>61.3</v>
      </c>
      <c r="E4665" s="705">
        <f t="shared" si="146"/>
        <v>16.277777777777775</v>
      </c>
    </row>
    <row r="4666" spans="2:5">
      <c r="B4666" s="943">
        <v>45117</v>
      </c>
      <c r="C4666" s="195">
        <f t="shared" si="145"/>
        <v>7</v>
      </c>
      <c r="D4666" s="195">
        <v>61.5</v>
      </c>
      <c r="E4666" s="705">
        <f t="shared" si="146"/>
        <v>16.388888888888889</v>
      </c>
    </row>
    <row r="4667" spans="2:5">
      <c r="B4667" s="943">
        <v>45117</v>
      </c>
      <c r="C4667" s="195">
        <f t="shared" si="145"/>
        <v>7</v>
      </c>
      <c r="D4667" s="195" t="s">
        <v>1443</v>
      </c>
      <c r="E4667" s="705">
        <f t="shared" si="146"/>
        <v>17.222222222222221</v>
      </c>
    </row>
    <row r="4668" spans="2:5">
      <c r="B4668" s="943">
        <v>45117</v>
      </c>
      <c r="C4668" s="195">
        <f t="shared" si="145"/>
        <v>7</v>
      </c>
      <c r="D4668" s="195">
        <v>65.3</v>
      </c>
      <c r="E4668" s="705">
        <f t="shared" si="146"/>
        <v>18.499999999999996</v>
      </c>
    </row>
    <row r="4669" spans="2:5">
      <c r="B4669" s="943">
        <v>45117</v>
      </c>
      <c r="C4669" s="195">
        <f t="shared" si="145"/>
        <v>7</v>
      </c>
      <c r="D4669" s="195">
        <v>66.900000000000006</v>
      </c>
      <c r="E4669" s="705">
        <f t="shared" si="146"/>
        <v>19.388888888888893</v>
      </c>
    </row>
    <row r="4670" spans="2:5">
      <c r="B4670" s="943">
        <v>45117</v>
      </c>
      <c r="C4670" s="195">
        <f t="shared" si="145"/>
        <v>7</v>
      </c>
      <c r="D4670" s="195" t="s">
        <v>1446</v>
      </c>
      <c r="E4670" s="705">
        <f t="shared" si="146"/>
        <v>20</v>
      </c>
    </row>
    <row r="4671" spans="2:5">
      <c r="B4671" s="943">
        <v>45117</v>
      </c>
      <c r="C4671" s="195">
        <f t="shared" si="145"/>
        <v>7</v>
      </c>
      <c r="D4671" s="195">
        <v>68.2</v>
      </c>
      <c r="E4671" s="705">
        <f t="shared" si="146"/>
        <v>20.111111111111111</v>
      </c>
    </row>
    <row r="4672" spans="2:5">
      <c r="B4672" s="943">
        <v>45117</v>
      </c>
      <c r="C4672" s="195">
        <f t="shared" si="145"/>
        <v>7</v>
      </c>
      <c r="D4672" s="195" t="s">
        <v>1445</v>
      </c>
      <c r="E4672" s="705">
        <f t="shared" si="146"/>
        <v>18.888888888888889</v>
      </c>
    </row>
    <row r="4673" spans="2:5">
      <c r="B4673" s="943">
        <v>45117</v>
      </c>
      <c r="C4673" s="195">
        <f t="shared" si="145"/>
        <v>7</v>
      </c>
      <c r="D4673" s="195">
        <v>64.400000000000006</v>
      </c>
      <c r="E4673" s="705">
        <f t="shared" si="146"/>
        <v>18.000000000000004</v>
      </c>
    </row>
    <row r="4674" spans="2:5">
      <c r="B4674" s="943">
        <v>45117</v>
      </c>
      <c r="C4674" s="195">
        <f t="shared" si="145"/>
        <v>7</v>
      </c>
      <c r="D4674" s="195">
        <v>62.6</v>
      </c>
      <c r="E4674" s="705">
        <f t="shared" si="146"/>
        <v>17</v>
      </c>
    </row>
    <row r="4675" spans="2:5">
      <c r="B4675" s="943">
        <v>45117</v>
      </c>
      <c r="C4675" s="195">
        <f t="shared" si="145"/>
        <v>7</v>
      </c>
      <c r="D4675" s="195">
        <v>62.4</v>
      </c>
      <c r="E4675" s="705">
        <f t="shared" si="146"/>
        <v>16.888888888888889</v>
      </c>
    </row>
    <row r="4676" spans="2:5">
      <c r="B4676" s="943">
        <v>45117</v>
      </c>
      <c r="C4676" s="195">
        <f t="shared" si="145"/>
        <v>7</v>
      </c>
      <c r="D4676" s="195">
        <v>61.7</v>
      </c>
      <c r="E4676" s="705">
        <f t="shared" si="146"/>
        <v>16.5</v>
      </c>
    </row>
    <row r="4677" spans="2:5">
      <c r="B4677" s="943">
        <v>45117</v>
      </c>
      <c r="C4677" s="195">
        <f t="shared" si="145"/>
        <v>7</v>
      </c>
      <c r="D4677" s="195">
        <v>63.1</v>
      </c>
      <c r="E4677" s="705">
        <f t="shared" si="146"/>
        <v>17.277777777777779</v>
      </c>
    </row>
    <row r="4678" spans="2:5">
      <c r="B4678" s="943">
        <v>45117</v>
      </c>
      <c r="C4678" s="195">
        <f t="shared" si="145"/>
        <v>7</v>
      </c>
      <c r="D4678" s="195" t="s">
        <v>1443</v>
      </c>
      <c r="E4678" s="705">
        <f t="shared" si="146"/>
        <v>17.222222222222221</v>
      </c>
    </row>
    <row r="4679" spans="2:5">
      <c r="B4679" s="943">
        <v>45117</v>
      </c>
      <c r="C4679" s="195">
        <f t="shared" si="145"/>
        <v>7</v>
      </c>
      <c r="D4679" s="195">
        <v>63.9</v>
      </c>
      <c r="E4679" s="705">
        <f t="shared" si="146"/>
        <v>17.722222222222221</v>
      </c>
    </row>
    <row r="4680" spans="2:5">
      <c r="B4680" s="943">
        <v>45117</v>
      </c>
      <c r="C4680" s="195">
        <f t="shared" si="145"/>
        <v>7</v>
      </c>
      <c r="D4680" s="195">
        <v>65.3</v>
      </c>
      <c r="E4680" s="705">
        <f t="shared" si="146"/>
        <v>18.499999999999996</v>
      </c>
    </row>
    <row r="4681" spans="2:5">
      <c r="B4681" s="943">
        <v>45117</v>
      </c>
      <c r="C4681" s="195">
        <f t="shared" si="145"/>
        <v>7</v>
      </c>
      <c r="D4681" s="195">
        <v>66.7</v>
      </c>
      <c r="E4681" s="705">
        <f t="shared" si="146"/>
        <v>19.277777777777779</v>
      </c>
    </row>
    <row r="4682" spans="2:5">
      <c r="B4682" s="943">
        <v>45117</v>
      </c>
      <c r="C4682" s="195">
        <f t="shared" ref="C4682:C4745" si="147">MONTH(B4682)</f>
        <v>7</v>
      </c>
      <c r="D4682" s="195">
        <v>67.8</v>
      </c>
      <c r="E4682" s="705">
        <f t="shared" ref="E4682:E4745" si="148">CONVERT(D4682,"F","C")</f>
        <v>19.888888888888886</v>
      </c>
    </row>
    <row r="4683" spans="2:5">
      <c r="B4683" s="943">
        <v>45117</v>
      </c>
      <c r="C4683" s="195">
        <f t="shared" si="147"/>
        <v>7</v>
      </c>
      <c r="D4683" s="195">
        <v>68.400000000000006</v>
      </c>
      <c r="E4683" s="705">
        <f t="shared" si="148"/>
        <v>20.222222222222225</v>
      </c>
    </row>
    <row r="4684" spans="2:5">
      <c r="B4684" s="943">
        <v>45117</v>
      </c>
      <c r="C4684" s="195">
        <f t="shared" si="147"/>
        <v>7</v>
      </c>
      <c r="D4684" s="195">
        <v>67.599999999999994</v>
      </c>
      <c r="E4684" s="705">
        <f t="shared" si="148"/>
        <v>19.777777777777775</v>
      </c>
    </row>
    <row r="4685" spans="2:5">
      <c r="B4685" s="943">
        <v>45117</v>
      </c>
      <c r="C4685" s="195">
        <f t="shared" si="147"/>
        <v>7</v>
      </c>
      <c r="D4685" s="195">
        <v>65.3</v>
      </c>
      <c r="E4685" s="705">
        <f t="shared" si="148"/>
        <v>18.499999999999996</v>
      </c>
    </row>
    <row r="4686" spans="2:5">
      <c r="B4686" s="943">
        <v>45117</v>
      </c>
      <c r="C4686" s="195">
        <f t="shared" si="147"/>
        <v>7</v>
      </c>
      <c r="D4686" s="195">
        <v>63.5</v>
      </c>
      <c r="E4686" s="705">
        <f t="shared" si="148"/>
        <v>17.5</v>
      </c>
    </row>
    <row r="4687" spans="2:5">
      <c r="B4687" s="943">
        <v>45117</v>
      </c>
      <c r="C4687" s="195">
        <f t="shared" si="147"/>
        <v>7</v>
      </c>
      <c r="D4687" s="195">
        <v>61.9</v>
      </c>
      <c r="E4687" s="705">
        <f t="shared" si="148"/>
        <v>16.611111111111111</v>
      </c>
    </row>
    <row r="4688" spans="2:5">
      <c r="B4688" s="943">
        <v>45117</v>
      </c>
      <c r="C4688" s="195">
        <f t="shared" si="147"/>
        <v>7</v>
      </c>
      <c r="D4688" s="195">
        <v>61.3</v>
      </c>
      <c r="E4688" s="705">
        <f t="shared" si="148"/>
        <v>16.277777777777775</v>
      </c>
    </row>
    <row r="4689" spans="2:5">
      <c r="B4689" s="943">
        <v>45118</v>
      </c>
      <c r="C4689" s="195">
        <f t="shared" si="147"/>
        <v>7</v>
      </c>
      <c r="D4689" s="195">
        <v>60.8</v>
      </c>
      <c r="E4689" s="705">
        <f t="shared" si="148"/>
        <v>15.999999999999998</v>
      </c>
    </row>
    <row r="4690" spans="2:5">
      <c r="B4690" s="943">
        <v>45118</v>
      </c>
      <c r="C4690" s="195">
        <f t="shared" si="147"/>
        <v>7</v>
      </c>
      <c r="D4690" s="195">
        <v>62.2</v>
      </c>
      <c r="E4690" s="705">
        <f t="shared" si="148"/>
        <v>16.777777777777779</v>
      </c>
    </row>
    <row r="4691" spans="2:5">
      <c r="B4691" s="943">
        <v>45118</v>
      </c>
      <c r="C4691" s="195">
        <f t="shared" si="147"/>
        <v>7</v>
      </c>
      <c r="D4691" s="195">
        <v>62.6</v>
      </c>
      <c r="E4691" s="705">
        <f t="shared" si="148"/>
        <v>17</v>
      </c>
    </row>
    <row r="4692" spans="2:5">
      <c r="B4692" s="943">
        <v>45118</v>
      </c>
      <c r="C4692" s="195">
        <f t="shared" si="147"/>
        <v>7</v>
      </c>
      <c r="D4692" s="195">
        <v>63.7</v>
      </c>
      <c r="E4692" s="705">
        <f t="shared" si="148"/>
        <v>17.611111111111111</v>
      </c>
    </row>
    <row r="4693" spans="2:5">
      <c r="B4693" s="943">
        <v>45118</v>
      </c>
      <c r="C4693" s="195">
        <f t="shared" si="147"/>
        <v>7</v>
      </c>
      <c r="D4693" s="195">
        <v>65.5</v>
      </c>
      <c r="E4693" s="705">
        <f t="shared" si="148"/>
        <v>18.611111111111111</v>
      </c>
    </row>
    <row r="4694" spans="2:5">
      <c r="B4694" s="943">
        <v>45118</v>
      </c>
      <c r="C4694" s="195">
        <f t="shared" si="147"/>
        <v>7</v>
      </c>
      <c r="D4694" s="195">
        <v>66.900000000000006</v>
      </c>
      <c r="E4694" s="705">
        <f t="shared" si="148"/>
        <v>19.388888888888893</v>
      </c>
    </row>
    <row r="4695" spans="2:5">
      <c r="B4695" s="943">
        <v>45118</v>
      </c>
      <c r="C4695" s="195">
        <f t="shared" si="147"/>
        <v>7</v>
      </c>
      <c r="D4695" s="195">
        <v>67.599999999999994</v>
      </c>
      <c r="E4695" s="705">
        <f t="shared" si="148"/>
        <v>19.777777777777775</v>
      </c>
    </row>
    <row r="4696" spans="2:5">
      <c r="B4696" s="943">
        <v>45118</v>
      </c>
      <c r="C4696" s="195">
        <f t="shared" si="147"/>
        <v>7</v>
      </c>
      <c r="D4696" s="195" t="s">
        <v>1446</v>
      </c>
      <c r="E4696" s="705">
        <f t="shared" si="148"/>
        <v>20</v>
      </c>
    </row>
    <row r="4697" spans="2:5">
      <c r="B4697" s="943">
        <v>45118</v>
      </c>
      <c r="C4697" s="195">
        <f t="shared" si="147"/>
        <v>7</v>
      </c>
      <c r="D4697" s="195">
        <v>67.3</v>
      </c>
      <c r="E4697" s="705">
        <f t="shared" si="148"/>
        <v>19.611111111111111</v>
      </c>
    </row>
    <row r="4698" spans="2:5">
      <c r="B4698" s="943">
        <v>45118</v>
      </c>
      <c r="C4698" s="195">
        <f t="shared" si="147"/>
        <v>7</v>
      </c>
      <c r="D4698" s="195">
        <v>65.099999999999994</v>
      </c>
      <c r="E4698" s="705">
        <f t="shared" si="148"/>
        <v>18.388888888888886</v>
      </c>
    </row>
    <row r="4699" spans="2:5">
      <c r="B4699" s="943">
        <v>45118</v>
      </c>
      <c r="C4699" s="195">
        <f t="shared" si="147"/>
        <v>7</v>
      </c>
      <c r="D4699" s="195">
        <v>64.8</v>
      </c>
      <c r="E4699" s="705">
        <f t="shared" si="148"/>
        <v>18.222222222222221</v>
      </c>
    </row>
    <row r="4700" spans="2:5">
      <c r="B4700" s="943">
        <v>45118</v>
      </c>
      <c r="C4700" s="195">
        <f t="shared" si="147"/>
        <v>7</v>
      </c>
      <c r="D4700" s="195">
        <v>63.1</v>
      </c>
      <c r="E4700" s="705">
        <f t="shared" si="148"/>
        <v>17.277777777777779</v>
      </c>
    </row>
    <row r="4701" spans="2:5">
      <c r="B4701" s="943">
        <v>45118</v>
      </c>
      <c r="C4701" s="195">
        <f t="shared" si="147"/>
        <v>7</v>
      </c>
      <c r="D4701" s="195">
        <v>62.2</v>
      </c>
      <c r="E4701" s="705">
        <f t="shared" si="148"/>
        <v>16.777777777777779</v>
      </c>
    </row>
    <row r="4702" spans="2:5">
      <c r="B4702" s="943">
        <v>45118</v>
      </c>
      <c r="C4702" s="195">
        <f t="shared" si="147"/>
        <v>7</v>
      </c>
      <c r="D4702" s="195">
        <v>63.5</v>
      </c>
      <c r="E4702" s="705">
        <f t="shared" si="148"/>
        <v>17.5</v>
      </c>
    </row>
    <row r="4703" spans="2:5">
      <c r="B4703" s="943">
        <v>45118</v>
      </c>
      <c r="C4703" s="195">
        <f t="shared" si="147"/>
        <v>7</v>
      </c>
      <c r="D4703" s="195">
        <v>63.3</v>
      </c>
      <c r="E4703" s="705">
        <f t="shared" si="148"/>
        <v>17.388888888888886</v>
      </c>
    </row>
    <row r="4704" spans="2:5">
      <c r="B4704" s="943">
        <v>45118</v>
      </c>
      <c r="C4704" s="195">
        <f t="shared" si="147"/>
        <v>7</v>
      </c>
      <c r="D4704" s="195">
        <v>64.599999999999994</v>
      </c>
      <c r="E4704" s="705">
        <f t="shared" si="148"/>
        <v>18.111111111111107</v>
      </c>
    </row>
    <row r="4705" spans="2:5">
      <c r="B4705" s="943">
        <v>45118</v>
      </c>
      <c r="C4705" s="195">
        <f t="shared" si="147"/>
        <v>7</v>
      </c>
      <c r="D4705" s="195">
        <v>66.2</v>
      </c>
      <c r="E4705" s="705">
        <f t="shared" si="148"/>
        <v>19</v>
      </c>
    </row>
    <row r="4706" spans="2:5">
      <c r="B4706" s="943">
        <v>45118</v>
      </c>
      <c r="C4706" s="195">
        <f t="shared" si="147"/>
        <v>7</v>
      </c>
      <c r="D4706" s="195">
        <v>67.5</v>
      </c>
      <c r="E4706" s="705">
        <f t="shared" si="148"/>
        <v>19.722222222222221</v>
      </c>
    </row>
    <row r="4707" spans="2:5">
      <c r="B4707" s="943">
        <v>45118</v>
      </c>
      <c r="C4707" s="195">
        <f t="shared" si="147"/>
        <v>7</v>
      </c>
      <c r="D4707" s="195">
        <v>68.400000000000006</v>
      </c>
      <c r="E4707" s="705">
        <f t="shared" si="148"/>
        <v>20.222222222222225</v>
      </c>
    </row>
    <row r="4708" spans="2:5">
      <c r="B4708" s="943">
        <v>45118</v>
      </c>
      <c r="C4708" s="195">
        <f t="shared" si="147"/>
        <v>7</v>
      </c>
      <c r="D4708" s="195">
        <v>69.099999999999994</v>
      </c>
      <c r="E4708" s="705">
        <f t="shared" si="148"/>
        <v>20.611111111111107</v>
      </c>
    </row>
    <row r="4709" spans="2:5">
      <c r="B4709" s="943">
        <v>45118</v>
      </c>
      <c r="C4709" s="195">
        <f t="shared" si="147"/>
        <v>7</v>
      </c>
      <c r="D4709" s="195">
        <v>68.2</v>
      </c>
      <c r="E4709" s="705">
        <f t="shared" si="148"/>
        <v>20.111111111111111</v>
      </c>
    </row>
    <row r="4710" spans="2:5">
      <c r="B4710" s="943">
        <v>45118</v>
      </c>
      <c r="C4710" s="195">
        <f t="shared" si="147"/>
        <v>7</v>
      </c>
      <c r="D4710" s="195">
        <v>65.7</v>
      </c>
      <c r="E4710" s="705">
        <f t="shared" si="148"/>
        <v>18.722222222222225</v>
      </c>
    </row>
    <row r="4711" spans="2:5">
      <c r="B4711" s="943">
        <v>45118</v>
      </c>
      <c r="C4711" s="195">
        <f t="shared" si="147"/>
        <v>7</v>
      </c>
      <c r="D4711" s="195">
        <v>65.3</v>
      </c>
      <c r="E4711" s="705">
        <f t="shared" si="148"/>
        <v>18.499999999999996</v>
      </c>
    </row>
    <row r="4712" spans="2:5">
      <c r="B4712" s="943">
        <v>45118</v>
      </c>
      <c r="C4712" s="195">
        <f t="shared" si="147"/>
        <v>7</v>
      </c>
      <c r="D4712" s="195">
        <v>66.400000000000006</v>
      </c>
      <c r="E4712" s="705">
        <f t="shared" si="148"/>
        <v>19.111111111111114</v>
      </c>
    </row>
    <row r="4713" spans="2:5">
      <c r="B4713" s="943">
        <v>45119</v>
      </c>
      <c r="C4713" s="195">
        <f t="shared" si="147"/>
        <v>7</v>
      </c>
      <c r="D4713" s="195">
        <v>66.7</v>
      </c>
      <c r="E4713" s="705">
        <f t="shared" si="148"/>
        <v>19.277777777777779</v>
      </c>
    </row>
    <row r="4714" spans="2:5">
      <c r="B4714" s="943">
        <v>45119</v>
      </c>
      <c r="C4714" s="195">
        <f t="shared" si="147"/>
        <v>7</v>
      </c>
      <c r="D4714" s="195">
        <v>65.5</v>
      </c>
      <c r="E4714" s="705">
        <f t="shared" si="148"/>
        <v>18.611111111111111</v>
      </c>
    </row>
    <row r="4715" spans="2:5">
      <c r="B4715" s="943">
        <v>45119</v>
      </c>
      <c r="C4715" s="195">
        <f t="shared" si="147"/>
        <v>7</v>
      </c>
      <c r="D4715" s="195">
        <v>66.400000000000006</v>
      </c>
      <c r="E4715" s="705">
        <f t="shared" si="148"/>
        <v>19.111111111111114</v>
      </c>
    </row>
    <row r="4716" spans="2:5">
      <c r="B4716" s="943">
        <v>45119</v>
      </c>
      <c r="C4716" s="195">
        <f t="shared" si="147"/>
        <v>7</v>
      </c>
      <c r="D4716" s="195">
        <v>66.7</v>
      </c>
      <c r="E4716" s="705">
        <f t="shared" si="148"/>
        <v>19.277777777777779</v>
      </c>
    </row>
    <row r="4717" spans="2:5">
      <c r="B4717" s="943">
        <v>45119</v>
      </c>
      <c r="C4717" s="195">
        <f t="shared" si="147"/>
        <v>7</v>
      </c>
      <c r="D4717" s="195">
        <v>67.3</v>
      </c>
      <c r="E4717" s="705">
        <f t="shared" si="148"/>
        <v>19.611111111111111</v>
      </c>
    </row>
    <row r="4718" spans="2:5">
      <c r="B4718" s="943">
        <v>45119</v>
      </c>
      <c r="C4718" s="195">
        <f t="shared" si="147"/>
        <v>7</v>
      </c>
      <c r="D4718" s="195">
        <v>67.8</v>
      </c>
      <c r="E4718" s="705">
        <f t="shared" si="148"/>
        <v>19.888888888888886</v>
      </c>
    </row>
    <row r="4719" spans="2:5">
      <c r="B4719" s="943">
        <v>45119</v>
      </c>
      <c r="C4719" s="195">
        <f t="shared" si="147"/>
        <v>7</v>
      </c>
      <c r="D4719" s="195">
        <v>68.5</v>
      </c>
      <c r="E4719" s="705">
        <f t="shared" si="148"/>
        <v>20.277777777777779</v>
      </c>
    </row>
    <row r="4720" spans="2:5">
      <c r="B4720" s="943">
        <v>45119</v>
      </c>
      <c r="C4720" s="195">
        <f t="shared" si="147"/>
        <v>7</v>
      </c>
      <c r="D4720" s="195">
        <v>69.099999999999994</v>
      </c>
      <c r="E4720" s="705">
        <f t="shared" si="148"/>
        <v>20.611111111111107</v>
      </c>
    </row>
    <row r="4721" spans="2:5">
      <c r="B4721" s="943">
        <v>45119</v>
      </c>
      <c r="C4721" s="195">
        <f t="shared" si="147"/>
        <v>7</v>
      </c>
      <c r="D4721" s="195">
        <v>69.400000000000006</v>
      </c>
      <c r="E4721" s="705">
        <f t="shared" si="148"/>
        <v>20.777777777777782</v>
      </c>
    </row>
    <row r="4722" spans="2:5">
      <c r="B4722" s="943">
        <v>45119</v>
      </c>
      <c r="C4722" s="195">
        <f t="shared" si="147"/>
        <v>7</v>
      </c>
      <c r="D4722" s="195">
        <v>68.900000000000006</v>
      </c>
      <c r="E4722" s="705">
        <f t="shared" si="148"/>
        <v>20.500000000000004</v>
      </c>
    </row>
    <row r="4723" spans="2:5">
      <c r="B4723" s="943">
        <v>45119</v>
      </c>
      <c r="C4723" s="195">
        <f t="shared" si="147"/>
        <v>7</v>
      </c>
      <c r="D4723" s="195">
        <v>63.3</v>
      </c>
      <c r="E4723" s="705">
        <f t="shared" si="148"/>
        <v>17.388888888888886</v>
      </c>
    </row>
    <row r="4724" spans="2:5">
      <c r="B4724" s="943">
        <v>45119</v>
      </c>
      <c r="C4724" s="195">
        <f t="shared" si="147"/>
        <v>7</v>
      </c>
      <c r="D4724" s="195">
        <v>60.8</v>
      </c>
      <c r="E4724" s="705">
        <f t="shared" si="148"/>
        <v>15.999999999999998</v>
      </c>
    </row>
    <row r="4725" spans="2:5">
      <c r="B4725" s="943">
        <v>45119</v>
      </c>
      <c r="C4725" s="195">
        <f t="shared" si="147"/>
        <v>7</v>
      </c>
      <c r="D4725" s="195">
        <v>60.1</v>
      </c>
      <c r="E4725" s="705">
        <f t="shared" si="148"/>
        <v>15.611111111111111</v>
      </c>
    </row>
    <row r="4726" spans="2:5">
      <c r="B4726" s="943">
        <v>45119</v>
      </c>
      <c r="C4726" s="195">
        <f t="shared" si="147"/>
        <v>7</v>
      </c>
      <c r="D4726" s="195">
        <v>60.1</v>
      </c>
      <c r="E4726" s="705">
        <f t="shared" si="148"/>
        <v>15.611111111111111</v>
      </c>
    </row>
    <row r="4727" spans="2:5">
      <c r="B4727" s="943">
        <v>45119</v>
      </c>
      <c r="C4727" s="195">
        <f t="shared" si="147"/>
        <v>7</v>
      </c>
      <c r="D4727" s="195">
        <v>61.9</v>
      </c>
      <c r="E4727" s="705">
        <f t="shared" si="148"/>
        <v>16.611111111111111</v>
      </c>
    </row>
    <row r="4728" spans="2:5">
      <c r="B4728" s="943">
        <v>45119</v>
      </c>
      <c r="C4728" s="195">
        <f t="shared" si="147"/>
        <v>7</v>
      </c>
      <c r="D4728" s="195">
        <v>61.5</v>
      </c>
      <c r="E4728" s="705">
        <f t="shared" si="148"/>
        <v>16.388888888888889</v>
      </c>
    </row>
    <row r="4729" spans="2:5">
      <c r="B4729" s="943">
        <v>45119</v>
      </c>
      <c r="C4729" s="195">
        <f t="shared" si="147"/>
        <v>7</v>
      </c>
      <c r="D4729" s="195">
        <v>62.8</v>
      </c>
      <c r="E4729" s="705">
        <f t="shared" si="148"/>
        <v>17.111111111111111</v>
      </c>
    </row>
    <row r="4730" spans="2:5">
      <c r="B4730" s="943">
        <v>45119</v>
      </c>
      <c r="C4730" s="195">
        <f t="shared" si="147"/>
        <v>7</v>
      </c>
      <c r="D4730" s="195">
        <v>65.5</v>
      </c>
      <c r="E4730" s="705">
        <f t="shared" si="148"/>
        <v>18.611111111111111</v>
      </c>
    </row>
    <row r="4731" spans="2:5">
      <c r="B4731" s="943">
        <v>45119</v>
      </c>
      <c r="C4731" s="195">
        <f t="shared" si="147"/>
        <v>7</v>
      </c>
      <c r="D4731" s="195">
        <v>68.2</v>
      </c>
      <c r="E4731" s="705">
        <f t="shared" si="148"/>
        <v>20.111111111111111</v>
      </c>
    </row>
    <row r="4732" spans="2:5">
      <c r="B4732" s="943">
        <v>45119</v>
      </c>
      <c r="C4732" s="195">
        <f t="shared" si="147"/>
        <v>7</v>
      </c>
      <c r="D4732" s="195">
        <v>69.400000000000006</v>
      </c>
      <c r="E4732" s="705">
        <f t="shared" si="148"/>
        <v>20.777777777777782</v>
      </c>
    </row>
    <row r="4733" spans="2:5">
      <c r="B4733" s="943">
        <v>45119</v>
      </c>
      <c r="C4733" s="195">
        <f t="shared" si="147"/>
        <v>7</v>
      </c>
      <c r="D4733" s="195" t="s">
        <v>1447</v>
      </c>
      <c r="E4733" s="705">
        <f t="shared" si="148"/>
        <v>21.111111111111111</v>
      </c>
    </row>
    <row r="4734" spans="2:5">
      <c r="B4734" s="943">
        <v>45119</v>
      </c>
      <c r="C4734" s="195">
        <f t="shared" si="147"/>
        <v>7</v>
      </c>
      <c r="D4734" s="195">
        <v>68.900000000000006</v>
      </c>
      <c r="E4734" s="705">
        <f t="shared" si="148"/>
        <v>20.500000000000004</v>
      </c>
    </row>
    <row r="4735" spans="2:5">
      <c r="B4735" s="943">
        <v>45119</v>
      </c>
      <c r="C4735" s="195">
        <f t="shared" si="147"/>
        <v>7</v>
      </c>
      <c r="D4735" s="195">
        <v>65.3</v>
      </c>
      <c r="E4735" s="705">
        <f t="shared" si="148"/>
        <v>18.499999999999996</v>
      </c>
    </row>
    <row r="4736" spans="2:5">
      <c r="B4736" s="943">
        <v>45119</v>
      </c>
      <c r="C4736" s="195">
        <f t="shared" si="147"/>
        <v>7</v>
      </c>
      <c r="D4736" s="195">
        <v>63.7</v>
      </c>
      <c r="E4736" s="705">
        <f t="shared" si="148"/>
        <v>17.611111111111111</v>
      </c>
    </row>
    <row r="4737" spans="2:5">
      <c r="B4737" s="943">
        <v>45120</v>
      </c>
      <c r="C4737" s="195">
        <f t="shared" si="147"/>
        <v>7</v>
      </c>
      <c r="D4737" s="195">
        <v>62.1</v>
      </c>
      <c r="E4737" s="705">
        <f t="shared" si="148"/>
        <v>16.722222222222221</v>
      </c>
    </row>
    <row r="4738" spans="2:5">
      <c r="B4738" s="943">
        <v>45120</v>
      </c>
      <c r="C4738" s="195">
        <f t="shared" si="147"/>
        <v>7</v>
      </c>
      <c r="D4738" s="195">
        <v>61.5</v>
      </c>
      <c r="E4738" s="705">
        <f t="shared" si="148"/>
        <v>16.388888888888889</v>
      </c>
    </row>
    <row r="4739" spans="2:5">
      <c r="B4739" s="943">
        <v>45120</v>
      </c>
      <c r="C4739" s="195">
        <f t="shared" si="147"/>
        <v>7</v>
      </c>
      <c r="D4739" s="195">
        <v>61.5</v>
      </c>
      <c r="E4739" s="705">
        <f t="shared" si="148"/>
        <v>16.388888888888889</v>
      </c>
    </row>
    <row r="4740" spans="2:5">
      <c r="B4740" s="943">
        <v>45120</v>
      </c>
      <c r="C4740" s="195">
        <f t="shared" si="147"/>
        <v>7</v>
      </c>
      <c r="D4740" s="195">
        <v>61.9</v>
      </c>
      <c r="E4740" s="705">
        <f t="shared" si="148"/>
        <v>16.611111111111111</v>
      </c>
    </row>
    <row r="4741" spans="2:5">
      <c r="B4741" s="943">
        <v>45120</v>
      </c>
      <c r="C4741" s="195">
        <f t="shared" si="147"/>
        <v>7</v>
      </c>
      <c r="D4741" s="195">
        <v>62.4</v>
      </c>
      <c r="E4741" s="705">
        <f t="shared" si="148"/>
        <v>16.888888888888889</v>
      </c>
    </row>
    <row r="4742" spans="2:5">
      <c r="B4742" s="943">
        <v>45120</v>
      </c>
      <c r="C4742" s="195">
        <f t="shared" si="147"/>
        <v>7</v>
      </c>
      <c r="D4742" s="195">
        <v>64.2</v>
      </c>
      <c r="E4742" s="705">
        <f t="shared" si="148"/>
        <v>17.888888888888889</v>
      </c>
    </row>
    <row r="4743" spans="2:5">
      <c r="B4743" s="943">
        <v>45120</v>
      </c>
      <c r="C4743" s="195">
        <f t="shared" si="147"/>
        <v>7</v>
      </c>
      <c r="D4743" s="195">
        <v>66.7</v>
      </c>
      <c r="E4743" s="705">
        <f t="shared" si="148"/>
        <v>19.277777777777779</v>
      </c>
    </row>
    <row r="4744" spans="2:5">
      <c r="B4744" s="943">
        <v>45120</v>
      </c>
      <c r="C4744" s="195">
        <f t="shared" si="147"/>
        <v>7</v>
      </c>
      <c r="D4744" s="195">
        <v>68.400000000000006</v>
      </c>
      <c r="E4744" s="705">
        <f t="shared" si="148"/>
        <v>20.222222222222225</v>
      </c>
    </row>
    <row r="4745" spans="2:5">
      <c r="B4745" s="943">
        <v>45120</v>
      </c>
      <c r="C4745" s="195">
        <f t="shared" si="147"/>
        <v>7</v>
      </c>
      <c r="D4745" s="195">
        <v>69.3</v>
      </c>
      <c r="E4745" s="705">
        <f t="shared" si="148"/>
        <v>20.722222222222221</v>
      </c>
    </row>
    <row r="4746" spans="2:5">
      <c r="B4746" s="943">
        <v>45120</v>
      </c>
      <c r="C4746" s="195">
        <f t="shared" ref="C4746:C4809" si="149">MONTH(B4746)</f>
        <v>7</v>
      </c>
      <c r="D4746" s="195">
        <v>69.599999999999994</v>
      </c>
      <c r="E4746" s="705">
        <f t="shared" ref="E4746:E4809" si="150">CONVERT(D4746,"F","C")</f>
        <v>20.888888888888886</v>
      </c>
    </row>
    <row r="4747" spans="2:5">
      <c r="B4747" s="943">
        <v>45120</v>
      </c>
      <c r="C4747" s="195">
        <f t="shared" si="149"/>
        <v>7</v>
      </c>
      <c r="D4747" s="195">
        <v>68.900000000000006</v>
      </c>
      <c r="E4747" s="705">
        <f t="shared" si="150"/>
        <v>20.500000000000004</v>
      </c>
    </row>
    <row r="4748" spans="2:5">
      <c r="B4748" s="943">
        <v>45120</v>
      </c>
      <c r="C4748" s="195">
        <f t="shared" si="149"/>
        <v>7</v>
      </c>
      <c r="D4748" s="195">
        <v>65.7</v>
      </c>
      <c r="E4748" s="705">
        <f t="shared" si="150"/>
        <v>18.722222222222225</v>
      </c>
    </row>
    <row r="4749" spans="2:5">
      <c r="B4749" s="943">
        <v>45120</v>
      </c>
      <c r="C4749" s="195">
        <f t="shared" si="149"/>
        <v>7</v>
      </c>
      <c r="D4749" s="195">
        <v>62.1</v>
      </c>
      <c r="E4749" s="705">
        <f t="shared" si="150"/>
        <v>16.722222222222221</v>
      </c>
    </row>
    <row r="4750" spans="2:5">
      <c r="B4750" s="943">
        <v>45120</v>
      </c>
      <c r="C4750" s="195">
        <f t="shared" si="149"/>
        <v>7</v>
      </c>
      <c r="D4750" s="195">
        <v>61.9</v>
      </c>
      <c r="E4750" s="705">
        <f t="shared" si="150"/>
        <v>16.611111111111111</v>
      </c>
    </row>
    <row r="4751" spans="2:5">
      <c r="B4751" s="943">
        <v>45120</v>
      </c>
      <c r="C4751" s="195">
        <f t="shared" si="149"/>
        <v>7</v>
      </c>
      <c r="D4751" s="195">
        <v>59.5</v>
      </c>
      <c r="E4751" s="705">
        <f t="shared" si="150"/>
        <v>15.277777777777777</v>
      </c>
    </row>
    <row r="4752" spans="2:5">
      <c r="B4752" s="943">
        <v>45120</v>
      </c>
      <c r="C4752" s="195">
        <f t="shared" si="149"/>
        <v>7</v>
      </c>
      <c r="D4752" s="195" t="s">
        <v>1442</v>
      </c>
      <c r="E4752" s="705">
        <f t="shared" si="150"/>
        <v>16.111111111111111</v>
      </c>
    </row>
    <row r="4753" spans="2:5">
      <c r="B4753" s="943">
        <v>45120</v>
      </c>
      <c r="C4753" s="195">
        <f t="shared" si="149"/>
        <v>7</v>
      </c>
      <c r="D4753" s="195">
        <v>61.2</v>
      </c>
      <c r="E4753" s="705">
        <f t="shared" si="150"/>
        <v>16.222222222222225</v>
      </c>
    </row>
    <row r="4754" spans="2:5">
      <c r="B4754" s="943">
        <v>45120</v>
      </c>
      <c r="C4754" s="195">
        <f t="shared" si="149"/>
        <v>7</v>
      </c>
      <c r="D4754" s="195">
        <v>62.8</v>
      </c>
      <c r="E4754" s="705">
        <f t="shared" si="150"/>
        <v>17.111111111111111</v>
      </c>
    </row>
    <row r="4755" spans="2:5">
      <c r="B4755" s="943">
        <v>45120</v>
      </c>
      <c r="C4755" s="195">
        <f t="shared" si="149"/>
        <v>7</v>
      </c>
      <c r="D4755" s="195">
        <v>65.5</v>
      </c>
      <c r="E4755" s="705">
        <f t="shared" si="150"/>
        <v>18.611111111111111</v>
      </c>
    </row>
    <row r="4756" spans="2:5">
      <c r="B4756" s="943">
        <v>45120</v>
      </c>
      <c r="C4756" s="195">
        <f t="shared" si="149"/>
        <v>7</v>
      </c>
      <c r="D4756" s="195" t="s">
        <v>1446</v>
      </c>
      <c r="E4756" s="705">
        <f t="shared" si="150"/>
        <v>20</v>
      </c>
    </row>
    <row r="4757" spans="2:5">
      <c r="B4757" s="943">
        <v>45120</v>
      </c>
      <c r="C4757" s="195">
        <f t="shared" si="149"/>
        <v>7</v>
      </c>
      <c r="D4757" s="195">
        <v>69.3</v>
      </c>
      <c r="E4757" s="705">
        <f t="shared" si="150"/>
        <v>20.722222222222221</v>
      </c>
    </row>
    <row r="4758" spans="2:5">
      <c r="B4758" s="943">
        <v>45120</v>
      </c>
      <c r="C4758" s="195">
        <f t="shared" si="149"/>
        <v>7</v>
      </c>
      <c r="D4758" s="195">
        <v>69.8</v>
      </c>
      <c r="E4758" s="705">
        <f t="shared" si="150"/>
        <v>20.999999999999996</v>
      </c>
    </row>
    <row r="4759" spans="2:5">
      <c r="B4759" s="943">
        <v>45120</v>
      </c>
      <c r="C4759" s="195">
        <f t="shared" si="149"/>
        <v>7</v>
      </c>
      <c r="D4759" s="195" t="s">
        <v>429</v>
      </c>
      <c r="E4759" s="705"/>
    </row>
    <row r="4760" spans="2:5">
      <c r="B4760" s="943">
        <v>45120</v>
      </c>
      <c r="C4760" s="195">
        <f t="shared" si="149"/>
        <v>7</v>
      </c>
      <c r="D4760" s="195">
        <v>64.900000000000006</v>
      </c>
      <c r="E4760" s="705">
        <f t="shared" si="150"/>
        <v>18.277777777777782</v>
      </c>
    </row>
    <row r="4761" spans="2:5">
      <c r="B4761" s="943">
        <v>45121</v>
      </c>
      <c r="C4761" s="195">
        <f t="shared" si="149"/>
        <v>7</v>
      </c>
      <c r="D4761" s="195">
        <v>64.2</v>
      </c>
      <c r="E4761" s="705">
        <f t="shared" si="150"/>
        <v>17.888888888888889</v>
      </c>
    </row>
    <row r="4762" spans="2:5">
      <c r="B4762" s="943">
        <v>45121</v>
      </c>
      <c r="C4762" s="195">
        <f t="shared" si="149"/>
        <v>7</v>
      </c>
      <c r="D4762" s="195">
        <v>62.4</v>
      </c>
      <c r="E4762" s="705">
        <f t="shared" si="150"/>
        <v>16.888888888888889</v>
      </c>
    </row>
    <row r="4763" spans="2:5">
      <c r="B4763" s="943">
        <v>45121</v>
      </c>
      <c r="C4763" s="195">
        <f t="shared" si="149"/>
        <v>7</v>
      </c>
      <c r="D4763" s="195">
        <v>62.6</v>
      </c>
      <c r="E4763" s="705">
        <f t="shared" si="150"/>
        <v>17</v>
      </c>
    </row>
    <row r="4764" spans="2:5">
      <c r="B4764" s="943">
        <v>45121</v>
      </c>
      <c r="C4764" s="195">
        <f t="shared" si="149"/>
        <v>7</v>
      </c>
      <c r="D4764" s="195">
        <v>63.7</v>
      </c>
      <c r="E4764" s="705">
        <f t="shared" si="150"/>
        <v>17.611111111111111</v>
      </c>
    </row>
    <row r="4765" spans="2:5">
      <c r="B4765" s="943">
        <v>45121</v>
      </c>
      <c r="C4765" s="195">
        <f t="shared" si="149"/>
        <v>7</v>
      </c>
      <c r="D4765" s="195">
        <v>63.9</v>
      </c>
      <c r="E4765" s="705">
        <f t="shared" si="150"/>
        <v>17.722222222222221</v>
      </c>
    </row>
    <row r="4766" spans="2:5">
      <c r="B4766" s="943">
        <v>45121</v>
      </c>
      <c r="C4766" s="195">
        <f t="shared" si="149"/>
        <v>7</v>
      </c>
      <c r="D4766" s="195" t="s">
        <v>1444</v>
      </c>
      <c r="E4766" s="705">
        <f t="shared" si="150"/>
        <v>17.777777777777779</v>
      </c>
    </row>
    <row r="4767" spans="2:5">
      <c r="B4767" s="943">
        <v>45121</v>
      </c>
      <c r="C4767" s="195">
        <f t="shared" si="149"/>
        <v>7</v>
      </c>
      <c r="D4767" s="195">
        <v>65.3</v>
      </c>
      <c r="E4767" s="705">
        <f t="shared" si="150"/>
        <v>18.499999999999996</v>
      </c>
    </row>
    <row r="4768" spans="2:5">
      <c r="B4768" s="943">
        <v>45121</v>
      </c>
      <c r="C4768" s="195">
        <f t="shared" si="149"/>
        <v>7</v>
      </c>
      <c r="D4768" s="195">
        <v>67.3</v>
      </c>
      <c r="E4768" s="705">
        <f t="shared" si="150"/>
        <v>19.611111111111111</v>
      </c>
    </row>
    <row r="4769" spans="2:5">
      <c r="B4769" s="943">
        <v>45121</v>
      </c>
      <c r="C4769" s="195">
        <f t="shared" si="149"/>
        <v>7</v>
      </c>
      <c r="D4769" s="195">
        <v>68.7</v>
      </c>
      <c r="E4769" s="705">
        <f t="shared" si="150"/>
        <v>20.388888888888889</v>
      </c>
    </row>
    <row r="4770" spans="2:5">
      <c r="B4770" s="943">
        <v>45121</v>
      </c>
      <c r="C4770" s="195">
        <f t="shared" si="149"/>
        <v>7</v>
      </c>
      <c r="D4770" s="195">
        <v>69.599999999999994</v>
      </c>
      <c r="E4770" s="705">
        <f t="shared" si="150"/>
        <v>20.888888888888886</v>
      </c>
    </row>
    <row r="4771" spans="2:5">
      <c r="B4771" s="943">
        <v>45121</v>
      </c>
      <c r="C4771" s="195">
        <f t="shared" si="149"/>
        <v>7</v>
      </c>
      <c r="D4771" s="195" t="s">
        <v>1447</v>
      </c>
      <c r="E4771" s="705">
        <f t="shared" si="150"/>
        <v>21.111111111111111</v>
      </c>
    </row>
    <row r="4772" spans="2:5">
      <c r="B4772" s="943">
        <v>45121</v>
      </c>
      <c r="C4772" s="195">
        <f t="shared" si="149"/>
        <v>7</v>
      </c>
      <c r="D4772" s="195">
        <v>69.099999999999994</v>
      </c>
      <c r="E4772" s="705">
        <f t="shared" si="150"/>
        <v>20.611111111111107</v>
      </c>
    </row>
    <row r="4773" spans="2:5">
      <c r="B4773" s="943">
        <v>45121</v>
      </c>
      <c r="C4773" s="195">
        <f t="shared" si="149"/>
        <v>7</v>
      </c>
      <c r="D4773" s="195">
        <v>64.400000000000006</v>
      </c>
      <c r="E4773" s="705">
        <f t="shared" si="150"/>
        <v>18.000000000000004</v>
      </c>
    </row>
    <row r="4774" spans="2:5">
      <c r="B4774" s="943">
        <v>45121</v>
      </c>
      <c r="C4774" s="195">
        <f t="shared" si="149"/>
        <v>7</v>
      </c>
      <c r="D4774" s="195">
        <v>63.5</v>
      </c>
      <c r="E4774" s="705">
        <f t="shared" si="150"/>
        <v>17.5</v>
      </c>
    </row>
    <row r="4775" spans="2:5">
      <c r="B4775" s="943">
        <v>45121</v>
      </c>
      <c r="C4775" s="195">
        <f t="shared" si="149"/>
        <v>7</v>
      </c>
      <c r="D4775" s="195">
        <v>59.4</v>
      </c>
      <c r="E4775" s="705">
        <f t="shared" si="150"/>
        <v>15.222222222222221</v>
      </c>
    </row>
    <row r="4776" spans="2:5">
      <c r="B4776" s="943">
        <v>45121</v>
      </c>
      <c r="C4776" s="195">
        <f t="shared" si="149"/>
        <v>7</v>
      </c>
      <c r="D4776" s="195">
        <v>58.8</v>
      </c>
      <c r="E4776" s="705">
        <f t="shared" si="150"/>
        <v>14.888888888888888</v>
      </c>
    </row>
    <row r="4777" spans="2:5">
      <c r="B4777" s="943">
        <v>45121</v>
      </c>
      <c r="C4777" s="195">
        <f t="shared" si="149"/>
        <v>7</v>
      </c>
      <c r="D4777" s="195">
        <v>59.5</v>
      </c>
      <c r="E4777" s="705">
        <f t="shared" si="150"/>
        <v>15.277777777777777</v>
      </c>
    </row>
    <row r="4778" spans="2:5">
      <c r="B4778" s="943">
        <v>45121</v>
      </c>
      <c r="C4778" s="195">
        <f t="shared" si="149"/>
        <v>7</v>
      </c>
      <c r="D4778" s="195">
        <v>60.1</v>
      </c>
      <c r="E4778" s="705">
        <f t="shared" si="150"/>
        <v>15.611111111111111</v>
      </c>
    </row>
    <row r="4779" spans="2:5">
      <c r="B4779" s="943">
        <v>45121</v>
      </c>
      <c r="C4779" s="195">
        <f t="shared" si="149"/>
        <v>7</v>
      </c>
      <c r="D4779" s="195">
        <v>61.9</v>
      </c>
      <c r="E4779" s="705">
        <f t="shared" si="150"/>
        <v>16.611111111111111</v>
      </c>
    </row>
    <row r="4780" spans="2:5">
      <c r="B4780" s="943">
        <v>45121</v>
      </c>
      <c r="C4780" s="195">
        <f t="shared" si="149"/>
        <v>7</v>
      </c>
      <c r="D4780" s="195">
        <v>65.3</v>
      </c>
      <c r="E4780" s="705">
        <f t="shared" si="150"/>
        <v>18.499999999999996</v>
      </c>
    </row>
    <row r="4781" spans="2:5">
      <c r="B4781" s="943">
        <v>45121</v>
      </c>
      <c r="C4781" s="195">
        <f t="shared" si="149"/>
        <v>7</v>
      </c>
      <c r="D4781" s="195" t="s">
        <v>1446</v>
      </c>
      <c r="E4781" s="705">
        <f t="shared" si="150"/>
        <v>20</v>
      </c>
    </row>
    <row r="4782" spans="2:5">
      <c r="B4782" s="943">
        <v>45121</v>
      </c>
      <c r="C4782" s="195">
        <f t="shared" si="149"/>
        <v>7</v>
      </c>
      <c r="D4782" s="195">
        <v>69.400000000000006</v>
      </c>
      <c r="E4782" s="705">
        <f t="shared" si="150"/>
        <v>20.777777777777782</v>
      </c>
    </row>
    <row r="4783" spans="2:5">
      <c r="B4783" s="943">
        <v>45121</v>
      </c>
      <c r="C4783" s="195">
        <f t="shared" si="149"/>
        <v>7</v>
      </c>
      <c r="D4783" s="195">
        <v>69.599999999999994</v>
      </c>
      <c r="E4783" s="705">
        <f t="shared" si="150"/>
        <v>20.888888888888886</v>
      </c>
    </row>
    <row r="4784" spans="2:5">
      <c r="B4784" s="943">
        <v>45121</v>
      </c>
      <c r="C4784" s="195">
        <f t="shared" si="149"/>
        <v>7</v>
      </c>
      <c r="D4784" s="195">
        <v>66.400000000000006</v>
      </c>
      <c r="E4784" s="705">
        <f t="shared" si="150"/>
        <v>19.111111111111114</v>
      </c>
    </row>
    <row r="4785" spans="2:5">
      <c r="B4785" s="943">
        <v>45122</v>
      </c>
      <c r="C4785" s="195">
        <f t="shared" si="149"/>
        <v>7</v>
      </c>
      <c r="D4785" s="195">
        <v>63.7</v>
      </c>
      <c r="E4785" s="705">
        <f t="shared" si="150"/>
        <v>17.611111111111111</v>
      </c>
    </row>
    <row r="4786" spans="2:5">
      <c r="B4786" s="943">
        <v>45122</v>
      </c>
      <c r="C4786" s="195">
        <f t="shared" si="149"/>
        <v>7</v>
      </c>
      <c r="D4786" s="195">
        <v>62.4</v>
      </c>
      <c r="E4786" s="705">
        <f t="shared" si="150"/>
        <v>16.888888888888889</v>
      </c>
    </row>
    <row r="4787" spans="2:5">
      <c r="B4787" s="943">
        <v>45122</v>
      </c>
      <c r="C4787" s="195">
        <f t="shared" si="149"/>
        <v>7</v>
      </c>
      <c r="D4787" s="195">
        <v>61.9</v>
      </c>
      <c r="E4787" s="705">
        <f t="shared" si="150"/>
        <v>16.611111111111111</v>
      </c>
    </row>
    <row r="4788" spans="2:5">
      <c r="B4788" s="943">
        <v>45122</v>
      </c>
      <c r="C4788" s="195">
        <f t="shared" si="149"/>
        <v>7</v>
      </c>
      <c r="D4788" s="195">
        <v>60.8</v>
      </c>
      <c r="E4788" s="705">
        <f t="shared" si="150"/>
        <v>15.999999999999998</v>
      </c>
    </row>
    <row r="4789" spans="2:5">
      <c r="B4789" s="943">
        <v>45122</v>
      </c>
      <c r="C4789" s="195">
        <f t="shared" si="149"/>
        <v>7</v>
      </c>
      <c r="D4789" s="195">
        <v>60.3</v>
      </c>
      <c r="E4789" s="705">
        <f t="shared" si="150"/>
        <v>15.72222222222222</v>
      </c>
    </row>
    <row r="4790" spans="2:5">
      <c r="B4790" s="943">
        <v>45122</v>
      </c>
      <c r="C4790" s="195">
        <f t="shared" si="149"/>
        <v>7</v>
      </c>
      <c r="D4790" s="195">
        <v>60.6</v>
      </c>
      <c r="E4790" s="705">
        <f t="shared" si="150"/>
        <v>15.888888888888889</v>
      </c>
    </row>
    <row r="4791" spans="2:5">
      <c r="B4791" s="943">
        <v>45122</v>
      </c>
      <c r="C4791" s="195">
        <f t="shared" si="149"/>
        <v>7</v>
      </c>
      <c r="D4791" s="195">
        <v>62.1</v>
      </c>
      <c r="E4791" s="705">
        <f t="shared" si="150"/>
        <v>16.722222222222221</v>
      </c>
    </row>
    <row r="4792" spans="2:5">
      <c r="B4792" s="943">
        <v>45122</v>
      </c>
      <c r="C4792" s="195">
        <f t="shared" si="149"/>
        <v>7</v>
      </c>
      <c r="D4792" s="195">
        <v>64.400000000000006</v>
      </c>
      <c r="E4792" s="705">
        <f t="shared" si="150"/>
        <v>18.000000000000004</v>
      </c>
    </row>
    <row r="4793" spans="2:5">
      <c r="B4793" s="943">
        <v>45122</v>
      </c>
      <c r="C4793" s="195">
        <f t="shared" si="149"/>
        <v>7</v>
      </c>
      <c r="D4793" s="195">
        <v>66.599999999999994</v>
      </c>
      <c r="E4793" s="705">
        <f t="shared" si="150"/>
        <v>19.222222222222218</v>
      </c>
    </row>
    <row r="4794" spans="2:5">
      <c r="B4794" s="943">
        <v>45122</v>
      </c>
      <c r="C4794" s="195">
        <f t="shared" si="149"/>
        <v>7</v>
      </c>
      <c r="D4794" s="195">
        <v>68.400000000000006</v>
      </c>
      <c r="E4794" s="705">
        <f t="shared" si="150"/>
        <v>20.222222222222225</v>
      </c>
    </row>
    <row r="4795" spans="2:5">
      <c r="B4795" s="943">
        <v>45122</v>
      </c>
      <c r="C4795" s="195">
        <f t="shared" si="149"/>
        <v>7</v>
      </c>
      <c r="D4795" s="195">
        <v>69.400000000000006</v>
      </c>
      <c r="E4795" s="705">
        <f t="shared" si="150"/>
        <v>20.777777777777782</v>
      </c>
    </row>
    <row r="4796" spans="2:5">
      <c r="B4796" s="943">
        <v>45122</v>
      </c>
      <c r="C4796" s="195">
        <f t="shared" si="149"/>
        <v>7</v>
      </c>
      <c r="D4796" s="195">
        <v>69.599999999999994</v>
      </c>
      <c r="E4796" s="705">
        <f t="shared" si="150"/>
        <v>20.888888888888886</v>
      </c>
    </row>
    <row r="4797" spans="2:5">
      <c r="B4797" s="943">
        <v>45122</v>
      </c>
      <c r="C4797" s="195">
        <f t="shared" si="149"/>
        <v>7</v>
      </c>
      <c r="D4797" s="195">
        <v>67.8</v>
      </c>
      <c r="E4797" s="705">
        <f t="shared" si="150"/>
        <v>19.888888888888886</v>
      </c>
    </row>
    <row r="4798" spans="2:5">
      <c r="B4798" s="943">
        <v>45122</v>
      </c>
      <c r="C4798" s="195">
        <f t="shared" si="149"/>
        <v>7</v>
      </c>
      <c r="D4798" s="195" t="s">
        <v>1444</v>
      </c>
      <c r="E4798" s="705">
        <f t="shared" si="150"/>
        <v>17.777777777777779</v>
      </c>
    </row>
    <row r="4799" spans="2:5">
      <c r="B4799" s="943">
        <v>45122</v>
      </c>
      <c r="C4799" s="195">
        <f t="shared" si="149"/>
        <v>7</v>
      </c>
      <c r="D4799" s="195">
        <v>61.3</v>
      </c>
      <c r="E4799" s="705">
        <f t="shared" si="150"/>
        <v>16.277777777777775</v>
      </c>
    </row>
    <row r="4800" spans="2:5">
      <c r="B4800" s="943">
        <v>45122</v>
      </c>
      <c r="C4800" s="195">
        <f t="shared" si="149"/>
        <v>7</v>
      </c>
      <c r="D4800" s="195">
        <v>60.8</v>
      </c>
      <c r="E4800" s="705">
        <f t="shared" si="150"/>
        <v>15.999999999999998</v>
      </c>
    </row>
    <row r="4801" spans="2:5">
      <c r="B4801" s="943">
        <v>45122</v>
      </c>
      <c r="C4801" s="195">
        <f t="shared" si="149"/>
        <v>7</v>
      </c>
      <c r="D4801" s="195">
        <v>58.6</v>
      </c>
      <c r="E4801" s="705">
        <f t="shared" si="150"/>
        <v>14.777777777777779</v>
      </c>
    </row>
    <row r="4802" spans="2:5">
      <c r="B4802" s="943">
        <v>45122</v>
      </c>
      <c r="C4802" s="195">
        <f t="shared" si="149"/>
        <v>7</v>
      </c>
      <c r="D4802" s="195">
        <v>61.3</v>
      </c>
      <c r="E4802" s="705">
        <f t="shared" si="150"/>
        <v>16.277777777777775</v>
      </c>
    </row>
    <row r="4803" spans="2:5">
      <c r="B4803" s="943">
        <v>45122</v>
      </c>
      <c r="C4803" s="195">
        <f t="shared" si="149"/>
        <v>7</v>
      </c>
      <c r="D4803" s="195" t="s">
        <v>1442</v>
      </c>
      <c r="E4803" s="705">
        <f t="shared" si="150"/>
        <v>16.111111111111111</v>
      </c>
    </row>
    <row r="4804" spans="2:5">
      <c r="B4804" s="943">
        <v>45122</v>
      </c>
      <c r="C4804" s="195">
        <f t="shared" si="149"/>
        <v>7</v>
      </c>
      <c r="D4804" s="195" t="s">
        <v>1443</v>
      </c>
      <c r="E4804" s="705">
        <f t="shared" si="150"/>
        <v>17.222222222222221</v>
      </c>
    </row>
    <row r="4805" spans="2:5">
      <c r="B4805" s="943">
        <v>45122</v>
      </c>
      <c r="C4805" s="195">
        <f t="shared" si="149"/>
        <v>7</v>
      </c>
      <c r="D4805" s="195">
        <v>65.7</v>
      </c>
      <c r="E4805" s="705">
        <f t="shared" si="150"/>
        <v>18.722222222222225</v>
      </c>
    </row>
    <row r="4806" spans="2:5">
      <c r="B4806" s="943">
        <v>45122</v>
      </c>
      <c r="C4806" s="195">
        <f t="shared" si="149"/>
        <v>7</v>
      </c>
      <c r="D4806" s="195">
        <v>68.2</v>
      </c>
      <c r="E4806" s="705">
        <f t="shared" si="150"/>
        <v>20.111111111111111</v>
      </c>
    </row>
    <row r="4807" spans="2:5">
      <c r="B4807" s="943">
        <v>45122</v>
      </c>
      <c r="C4807" s="195">
        <f t="shared" si="149"/>
        <v>7</v>
      </c>
      <c r="D4807" s="195">
        <v>69.3</v>
      </c>
      <c r="E4807" s="705">
        <f t="shared" si="150"/>
        <v>20.722222222222221</v>
      </c>
    </row>
    <row r="4808" spans="2:5">
      <c r="B4808" s="943">
        <v>45122</v>
      </c>
      <c r="C4808" s="195">
        <f t="shared" si="149"/>
        <v>7</v>
      </c>
      <c r="D4808" s="195">
        <v>69.099999999999994</v>
      </c>
      <c r="E4808" s="705">
        <f t="shared" si="150"/>
        <v>20.611111111111107</v>
      </c>
    </row>
    <row r="4809" spans="2:5">
      <c r="B4809" s="943">
        <v>45123</v>
      </c>
      <c r="C4809" s="195">
        <f t="shared" si="149"/>
        <v>7</v>
      </c>
      <c r="D4809" s="195">
        <v>66.2</v>
      </c>
      <c r="E4809" s="705">
        <f t="shared" si="150"/>
        <v>19</v>
      </c>
    </row>
    <row r="4810" spans="2:5">
      <c r="B4810" s="943">
        <v>45123</v>
      </c>
      <c r="C4810" s="195">
        <f t="shared" ref="C4810:C4873" si="151">MONTH(B4810)</f>
        <v>7</v>
      </c>
      <c r="D4810" s="195">
        <v>63.3</v>
      </c>
      <c r="E4810" s="705">
        <f t="shared" ref="E4810:E4873" si="152">CONVERT(D4810,"F","C")</f>
        <v>17.388888888888886</v>
      </c>
    </row>
    <row r="4811" spans="2:5">
      <c r="B4811" s="943">
        <v>45123</v>
      </c>
      <c r="C4811" s="195">
        <f t="shared" si="151"/>
        <v>7</v>
      </c>
      <c r="D4811" s="195">
        <v>60.4</v>
      </c>
      <c r="E4811" s="705">
        <f t="shared" si="152"/>
        <v>15.777777777777777</v>
      </c>
    </row>
    <row r="4812" spans="2:5">
      <c r="B4812" s="943">
        <v>45123</v>
      </c>
      <c r="C4812" s="195">
        <f t="shared" si="151"/>
        <v>7</v>
      </c>
      <c r="D4812" s="195" t="s">
        <v>1441</v>
      </c>
      <c r="E4812" s="705">
        <f t="shared" si="152"/>
        <v>15</v>
      </c>
    </row>
    <row r="4813" spans="2:5">
      <c r="B4813" s="943">
        <v>45123</v>
      </c>
      <c r="C4813" s="195">
        <f t="shared" si="151"/>
        <v>7</v>
      </c>
      <c r="D4813" s="195">
        <v>57.7</v>
      </c>
      <c r="E4813" s="705">
        <f t="shared" si="152"/>
        <v>14.277777777777779</v>
      </c>
    </row>
    <row r="4814" spans="2:5">
      <c r="B4814" s="943">
        <v>45123</v>
      </c>
      <c r="C4814" s="195">
        <f t="shared" si="151"/>
        <v>7</v>
      </c>
      <c r="D4814" s="195">
        <v>59.7</v>
      </c>
      <c r="E4814" s="705">
        <f t="shared" si="152"/>
        <v>15.388888888888889</v>
      </c>
    </row>
    <row r="4815" spans="2:5">
      <c r="B4815" s="943">
        <v>45123</v>
      </c>
      <c r="C4815" s="195">
        <f t="shared" si="151"/>
        <v>7</v>
      </c>
      <c r="D4815" s="195">
        <v>58.6</v>
      </c>
      <c r="E4815" s="705">
        <f t="shared" si="152"/>
        <v>14.777777777777779</v>
      </c>
    </row>
    <row r="4816" spans="2:5">
      <c r="B4816" s="943">
        <v>45123</v>
      </c>
      <c r="C4816" s="195">
        <f t="shared" si="151"/>
        <v>7</v>
      </c>
      <c r="D4816" s="195">
        <v>60.6</v>
      </c>
      <c r="E4816" s="705">
        <f t="shared" si="152"/>
        <v>15.888888888888889</v>
      </c>
    </row>
    <row r="4817" spans="2:5">
      <c r="B4817" s="943">
        <v>45123</v>
      </c>
      <c r="C4817" s="195">
        <f t="shared" si="151"/>
        <v>7</v>
      </c>
      <c r="D4817" s="195" t="s">
        <v>1444</v>
      </c>
      <c r="E4817" s="705">
        <f t="shared" si="152"/>
        <v>17.777777777777779</v>
      </c>
    </row>
    <row r="4818" spans="2:5">
      <c r="B4818" s="943">
        <v>45123</v>
      </c>
      <c r="C4818" s="195">
        <f t="shared" si="151"/>
        <v>7</v>
      </c>
      <c r="D4818" s="195">
        <v>66.599999999999994</v>
      </c>
      <c r="E4818" s="705">
        <f t="shared" si="152"/>
        <v>19.222222222222218</v>
      </c>
    </row>
    <row r="4819" spans="2:5">
      <c r="B4819" s="943">
        <v>45123</v>
      </c>
      <c r="C4819" s="195">
        <f t="shared" si="151"/>
        <v>7</v>
      </c>
      <c r="D4819" s="195">
        <v>68.5</v>
      </c>
      <c r="E4819" s="705">
        <f t="shared" si="152"/>
        <v>20.277777777777779</v>
      </c>
    </row>
    <row r="4820" spans="2:5">
      <c r="B4820" s="943">
        <v>45123</v>
      </c>
      <c r="C4820" s="195">
        <f t="shared" si="151"/>
        <v>7</v>
      </c>
      <c r="D4820" s="195">
        <v>69.400000000000006</v>
      </c>
      <c r="E4820" s="705">
        <f t="shared" si="152"/>
        <v>20.777777777777782</v>
      </c>
    </row>
    <row r="4821" spans="2:5">
      <c r="B4821" s="943">
        <v>45123</v>
      </c>
      <c r="C4821" s="195">
        <f t="shared" si="151"/>
        <v>7</v>
      </c>
      <c r="D4821" s="195">
        <v>69.400000000000006</v>
      </c>
      <c r="E4821" s="705">
        <f t="shared" si="152"/>
        <v>20.777777777777782</v>
      </c>
    </row>
    <row r="4822" spans="2:5">
      <c r="B4822" s="943">
        <v>45123</v>
      </c>
      <c r="C4822" s="195">
        <f t="shared" si="151"/>
        <v>7</v>
      </c>
      <c r="D4822" s="195">
        <v>66.400000000000006</v>
      </c>
      <c r="E4822" s="705">
        <f t="shared" si="152"/>
        <v>19.111111111111114</v>
      </c>
    </row>
    <row r="4823" spans="2:5">
      <c r="B4823" s="943">
        <v>45123</v>
      </c>
      <c r="C4823" s="195">
        <f t="shared" si="151"/>
        <v>7</v>
      </c>
      <c r="D4823" s="195">
        <v>63.5</v>
      </c>
      <c r="E4823" s="705">
        <f t="shared" si="152"/>
        <v>17.5</v>
      </c>
    </row>
    <row r="4824" spans="2:5">
      <c r="B4824" s="943">
        <v>45123</v>
      </c>
      <c r="C4824" s="195">
        <f t="shared" si="151"/>
        <v>7</v>
      </c>
      <c r="D4824" s="195">
        <v>60.8</v>
      </c>
      <c r="E4824" s="705">
        <f t="shared" si="152"/>
        <v>15.999999999999998</v>
      </c>
    </row>
    <row r="4825" spans="2:5">
      <c r="B4825" s="943">
        <v>45123</v>
      </c>
      <c r="C4825" s="195">
        <f t="shared" si="151"/>
        <v>7</v>
      </c>
      <c r="D4825" s="195">
        <v>60.8</v>
      </c>
      <c r="E4825" s="705">
        <f t="shared" si="152"/>
        <v>15.999999999999998</v>
      </c>
    </row>
    <row r="4826" spans="2:5">
      <c r="B4826" s="943">
        <v>45123</v>
      </c>
      <c r="C4826" s="195">
        <f t="shared" si="151"/>
        <v>7</v>
      </c>
      <c r="D4826" s="195">
        <v>58.3</v>
      </c>
      <c r="E4826" s="705">
        <f t="shared" si="152"/>
        <v>14.611111111111109</v>
      </c>
    </row>
    <row r="4827" spans="2:5">
      <c r="B4827" s="943">
        <v>45123</v>
      </c>
      <c r="C4827" s="195">
        <f t="shared" si="151"/>
        <v>7</v>
      </c>
      <c r="D4827" s="195">
        <v>58.8</v>
      </c>
      <c r="E4827" s="705">
        <f t="shared" si="152"/>
        <v>14.888888888888888</v>
      </c>
    </row>
    <row r="4828" spans="2:5">
      <c r="B4828" s="943">
        <v>45123</v>
      </c>
      <c r="C4828" s="195">
        <f t="shared" si="151"/>
        <v>7</v>
      </c>
      <c r="D4828" s="195">
        <v>59.4</v>
      </c>
      <c r="E4828" s="705">
        <f t="shared" si="152"/>
        <v>15.222222222222221</v>
      </c>
    </row>
    <row r="4829" spans="2:5">
      <c r="B4829" s="943">
        <v>45123</v>
      </c>
      <c r="C4829" s="195">
        <f t="shared" si="151"/>
        <v>7</v>
      </c>
      <c r="D4829" s="195">
        <v>61.7</v>
      </c>
      <c r="E4829" s="705">
        <f t="shared" si="152"/>
        <v>16.5</v>
      </c>
    </row>
    <row r="4830" spans="2:5">
      <c r="B4830" s="943">
        <v>45123</v>
      </c>
      <c r="C4830" s="195">
        <f t="shared" si="151"/>
        <v>7</v>
      </c>
      <c r="D4830" s="195">
        <v>64.900000000000006</v>
      </c>
      <c r="E4830" s="705">
        <f t="shared" si="152"/>
        <v>18.277777777777782</v>
      </c>
    </row>
    <row r="4831" spans="2:5">
      <c r="B4831" s="943">
        <v>45123</v>
      </c>
      <c r="C4831" s="195">
        <f t="shared" si="151"/>
        <v>7</v>
      </c>
      <c r="D4831" s="195">
        <v>67.5</v>
      </c>
      <c r="E4831" s="705">
        <f t="shared" si="152"/>
        <v>19.722222222222221</v>
      </c>
    </row>
    <row r="4832" spans="2:5">
      <c r="B4832" s="943">
        <v>45123</v>
      </c>
      <c r="C4832" s="195">
        <f t="shared" si="151"/>
        <v>7</v>
      </c>
      <c r="D4832" s="195">
        <v>68.400000000000006</v>
      </c>
      <c r="E4832" s="705">
        <f t="shared" si="152"/>
        <v>20.222222222222225</v>
      </c>
    </row>
    <row r="4833" spans="2:5">
      <c r="B4833" s="943">
        <v>45124</v>
      </c>
      <c r="C4833" s="195">
        <f t="shared" si="151"/>
        <v>7</v>
      </c>
      <c r="D4833" s="195">
        <v>67.3</v>
      </c>
      <c r="E4833" s="705">
        <f t="shared" si="152"/>
        <v>19.611111111111111</v>
      </c>
    </row>
    <row r="4834" spans="2:5">
      <c r="B4834" s="943">
        <v>45124</v>
      </c>
      <c r="C4834" s="195">
        <f t="shared" si="151"/>
        <v>7</v>
      </c>
      <c r="D4834" s="195">
        <v>64.400000000000006</v>
      </c>
      <c r="E4834" s="705">
        <f t="shared" si="152"/>
        <v>18.000000000000004</v>
      </c>
    </row>
    <row r="4835" spans="2:5">
      <c r="B4835" s="943">
        <v>45124</v>
      </c>
      <c r="C4835" s="195">
        <f t="shared" si="151"/>
        <v>7</v>
      </c>
      <c r="D4835" s="195">
        <v>61.3</v>
      </c>
      <c r="E4835" s="705">
        <f t="shared" si="152"/>
        <v>16.277777777777775</v>
      </c>
    </row>
    <row r="4836" spans="2:5">
      <c r="B4836" s="943">
        <v>45124</v>
      </c>
      <c r="C4836" s="195">
        <f t="shared" si="151"/>
        <v>7</v>
      </c>
      <c r="D4836" s="195">
        <v>59.5</v>
      </c>
      <c r="E4836" s="705">
        <f t="shared" si="152"/>
        <v>15.277777777777777</v>
      </c>
    </row>
    <row r="4837" spans="2:5">
      <c r="B4837" s="943">
        <v>45124</v>
      </c>
      <c r="C4837" s="195">
        <f t="shared" si="151"/>
        <v>7</v>
      </c>
      <c r="D4837" s="195">
        <v>57.9</v>
      </c>
      <c r="E4837" s="705">
        <f t="shared" si="152"/>
        <v>14.388888888888888</v>
      </c>
    </row>
    <row r="4838" spans="2:5">
      <c r="B4838" s="943">
        <v>45124</v>
      </c>
      <c r="C4838" s="195">
        <f t="shared" si="151"/>
        <v>7</v>
      </c>
      <c r="D4838" s="195">
        <v>56.7</v>
      </c>
      <c r="E4838" s="705">
        <f t="shared" si="152"/>
        <v>13.722222222222223</v>
      </c>
    </row>
    <row r="4839" spans="2:5">
      <c r="B4839" s="943">
        <v>45124</v>
      </c>
      <c r="C4839" s="195">
        <f t="shared" si="151"/>
        <v>7</v>
      </c>
      <c r="D4839" s="195">
        <v>57.6</v>
      </c>
      <c r="E4839" s="705">
        <f t="shared" si="152"/>
        <v>14.222222222222223</v>
      </c>
    </row>
    <row r="4840" spans="2:5">
      <c r="B4840" s="943">
        <v>45124</v>
      </c>
      <c r="C4840" s="195">
        <f t="shared" si="151"/>
        <v>7</v>
      </c>
      <c r="D4840" s="195">
        <v>57.9</v>
      </c>
      <c r="E4840" s="705">
        <f t="shared" si="152"/>
        <v>14.388888888888888</v>
      </c>
    </row>
    <row r="4841" spans="2:5">
      <c r="B4841" s="943">
        <v>45124</v>
      </c>
      <c r="C4841" s="195">
        <f t="shared" si="151"/>
        <v>7</v>
      </c>
      <c r="D4841" s="195">
        <v>60.1</v>
      </c>
      <c r="E4841" s="705">
        <f t="shared" si="152"/>
        <v>15.611111111111111</v>
      </c>
    </row>
    <row r="4842" spans="2:5">
      <c r="B4842" s="943">
        <v>45124</v>
      </c>
      <c r="C4842" s="195">
        <f t="shared" si="151"/>
        <v>7</v>
      </c>
      <c r="D4842" s="195">
        <v>63.7</v>
      </c>
      <c r="E4842" s="705">
        <f t="shared" si="152"/>
        <v>17.611111111111111</v>
      </c>
    </row>
    <row r="4843" spans="2:5">
      <c r="B4843" s="943">
        <v>45124</v>
      </c>
      <c r="C4843" s="195">
        <f t="shared" si="151"/>
        <v>7</v>
      </c>
      <c r="D4843" s="195">
        <v>66.2</v>
      </c>
      <c r="E4843" s="705">
        <f t="shared" si="152"/>
        <v>19</v>
      </c>
    </row>
    <row r="4844" spans="2:5">
      <c r="B4844" s="943">
        <v>45124</v>
      </c>
      <c r="C4844" s="195">
        <f t="shared" si="151"/>
        <v>7</v>
      </c>
      <c r="D4844" s="195" t="s">
        <v>1446</v>
      </c>
      <c r="E4844" s="705">
        <f t="shared" si="152"/>
        <v>20</v>
      </c>
    </row>
    <row r="4845" spans="2:5">
      <c r="B4845" s="943">
        <v>45124</v>
      </c>
      <c r="C4845" s="195">
        <f t="shared" si="151"/>
        <v>7</v>
      </c>
      <c r="D4845" s="195">
        <v>68.900000000000006</v>
      </c>
      <c r="E4845" s="705">
        <f t="shared" si="152"/>
        <v>20.500000000000004</v>
      </c>
    </row>
    <row r="4846" spans="2:5">
      <c r="B4846" s="943">
        <v>45124</v>
      </c>
      <c r="C4846" s="195">
        <f t="shared" si="151"/>
        <v>7</v>
      </c>
      <c r="D4846" s="195">
        <v>68.2</v>
      </c>
      <c r="E4846" s="705">
        <f t="shared" si="152"/>
        <v>20.111111111111111</v>
      </c>
    </row>
    <row r="4847" spans="2:5">
      <c r="B4847" s="943">
        <v>45124</v>
      </c>
      <c r="C4847" s="195">
        <f t="shared" si="151"/>
        <v>7</v>
      </c>
      <c r="D4847" s="195">
        <v>64.8</v>
      </c>
      <c r="E4847" s="705">
        <f t="shared" si="152"/>
        <v>18.222222222222221</v>
      </c>
    </row>
    <row r="4848" spans="2:5">
      <c r="B4848" s="943">
        <v>45124</v>
      </c>
      <c r="C4848" s="195">
        <f t="shared" si="151"/>
        <v>7</v>
      </c>
      <c r="D4848" s="195">
        <v>59.5</v>
      </c>
      <c r="E4848" s="705">
        <f t="shared" si="152"/>
        <v>15.277777777777777</v>
      </c>
    </row>
    <row r="4849" spans="2:5">
      <c r="B4849" s="943">
        <v>45124</v>
      </c>
      <c r="C4849" s="195">
        <f t="shared" si="151"/>
        <v>7</v>
      </c>
      <c r="D4849" s="195">
        <v>58.5</v>
      </c>
      <c r="E4849" s="705">
        <f t="shared" si="152"/>
        <v>14.722222222222221</v>
      </c>
    </row>
    <row r="4850" spans="2:5">
      <c r="B4850" s="943">
        <v>45124</v>
      </c>
      <c r="C4850" s="195">
        <f t="shared" si="151"/>
        <v>7</v>
      </c>
      <c r="D4850" s="195">
        <v>57.9</v>
      </c>
      <c r="E4850" s="705">
        <f t="shared" si="152"/>
        <v>14.388888888888888</v>
      </c>
    </row>
    <row r="4851" spans="2:5">
      <c r="B4851" s="943">
        <v>45124</v>
      </c>
      <c r="C4851" s="195">
        <f t="shared" si="151"/>
        <v>7</v>
      </c>
      <c r="D4851" s="195">
        <v>56.5</v>
      </c>
      <c r="E4851" s="705">
        <f t="shared" si="152"/>
        <v>13.611111111111111</v>
      </c>
    </row>
    <row r="4852" spans="2:5">
      <c r="B4852" s="943">
        <v>45124</v>
      </c>
      <c r="C4852" s="195">
        <f t="shared" si="151"/>
        <v>7</v>
      </c>
      <c r="D4852" s="195">
        <v>59.2</v>
      </c>
      <c r="E4852" s="705">
        <f t="shared" si="152"/>
        <v>15.111111111111112</v>
      </c>
    </row>
    <row r="4853" spans="2:5">
      <c r="B4853" s="943">
        <v>45124</v>
      </c>
      <c r="C4853" s="195">
        <f t="shared" si="151"/>
        <v>7</v>
      </c>
      <c r="D4853" s="195">
        <v>59.2</v>
      </c>
      <c r="E4853" s="705">
        <f t="shared" si="152"/>
        <v>15.111111111111112</v>
      </c>
    </row>
    <row r="4854" spans="2:5">
      <c r="B4854" s="943">
        <v>45124</v>
      </c>
      <c r="C4854" s="195">
        <f t="shared" si="151"/>
        <v>7</v>
      </c>
      <c r="D4854" s="195">
        <v>62.2</v>
      </c>
      <c r="E4854" s="705">
        <f t="shared" si="152"/>
        <v>16.777777777777779</v>
      </c>
    </row>
    <row r="4855" spans="2:5">
      <c r="B4855" s="943">
        <v>45124</v>
      </c>
      <c r="C4855" s="195">
        <f t="shared" si="151"/>
        <v>7</v>
      </c>
      <c r="D4855" s="195" t="s">
        <v>1445</v>
      </c>
      <c r="E4855" s="705">
        <f t="shared" si="152"/>
        <v>18.888888888888889</v>
      </c>
    </row>
    <row r="4856" spans="2:5">
      <c r="B4856" s="943">
        <v>45124</v>
      </c>
      <c r="C4856" s="195">
        <f t="shared" si="151"/>
        <v>7</v>
      </c>
      <c r="D4856" s="195">
        <v>68.400000000000006</v>
      </c>
      <c r="E4856" s="705">
        <f t="shared" si="152"/>
        <v>20.222222222222225</v>
      </c>
    </row>
    <row r="4857" spans="2:5">
      <c r="B4857" s="943">
        <v>45125</v>
      </c>
      <c r="C4857" s="195">
        <f t="shared" si="151"/>
        <v>7</v>
      </c>
      <c r="D4857" s="195">
        <v>69.3</v>
      </c>
      <c r="E4857" s="705">
        <f t="shared" si="152"/>
        <v>20.722222222222221</v>
      </c>
    </row>
    <row r="4858" spans="2:5">
      <c r="B4858" s="943">
        <v>45125</v>
      </c>
      <c r="C4858" s="195">
        <f t="shared" si="151"/>
        <v>7</v>
      </c>
      <c r="D4858" s="195">
        <v>67.3</v>
      </c>
      <c r="E4858" s="705">
        <f t="shared" si="152"/>
        <v>19.611111111111111</v>
      </c>
    </row>
    <row r="4859" spans="2:5">
      <c r="B4859" s="943">
        <v>45125</v>
      </c>
      <c r="C4859" s="195">
        <f t="shared" si="151"/>
        <v>7</v>
      </c>
      <c r="D4859" s="195">
        <v>62.1</v>
      </c>
      <c r="E4859" s="705">
        <f t="shared" si="152"/>
        <v>16.722222222222221</v>
      </c>
    </row>
    <row r="4860" spans="2:5">
      <c r="B4860" s="943">
        <v>45125</v>
      </c>
      <c r="C4860" s="195">
        <f t="shared" si="151"/>
        <v>7</v>
      </c>
      <c r="D4860" s="195">
        <v>60.1</v>
      </c>
      <c r="E4860" s="705">
        <f t="shared" si="152"/>
        <v>15.611111111111111</v>
      </c>
    </row>
    <row r="4861" spans="2:5">
      <c r="B4861" s="943">
        <v>45125</v>
      </c>
      <c r="C4861" s="195">
        <f t="shared" si="151"/>
        <v>7</v>
      </c>
      <c r="D4861" s="195">
        <v>58.1</v>
      </c>
      <c r="E4861" s="705">
        <f t="shared" si="152"/>
        <v>14.5</v>
      </c>
    </row>
    <row r="4862" spans="2:5">
      <c r="B4862" s="943">
        <v>45125</v>
      </c>
      <c r="C4862" s="195">
        <f t="shared" si="151"/>
        <v>7</v>
      </c>
      <c r="D4862" s="195">
        <v>56.8</v>
      </c>
      <c r="E4862" s="705">
        <f t="shared" si="152"/>
        <v>13.777777777777775</v>
      </c>
    </row>
    <row r="4863" spans="2:5">
      <c r="B4863" s="943">
        <v>45125</v>
      </c>
      <c r="C4863" s="195">
        <f t="shared" si="151"/>
        <v>7</v>
      </c>
      <c r="D4863" s="195">
        <v>56.3</v>
      </c>
      <c r="E4863" s="705">
        <f t="shared" si="152"/>
        <v>13.499999999999998</v>
      </c>
    </row>
    <row r="4864" spans="2:5">
      <c r="B4864" s="943">
        <v>45125</v>
      </c>
      <c r="C4864" s="195">
        <f t="shared" si="151"/>
        <v>7</v>
      </c>
      <c r="D4864" s="195">
        <v>56.3</v>
      </c>
      <c r="E4864" s="705">
        <f t="shared" si="152"/>
        <v>13.499999999999998</v>
      </c>
    </row>
    <row r="4865" spans="2:5">
      <c r="B4865" s="943">
        <v>45125</v>
      </c>
      <c r="C4865" s="195">
        <f t="shared" si="151"/>
        <v>7</v>
      </c>
      <c r="D4865" s="195">
        <v>57.7</v>
      </c>
      <c r="E4865" s="705">
        <f t="shared" si="152"/>
        <v>14.277777777777779</v>
      </c>
    </row>
    <row r="4866" spans="2:5">
      <c r="B4866" s="943">
        <v>45125</v>
      </c>
      <c r="C4866" s="195">
        <f t="shared" si="151"/>
        <v>7</v>
      </c>
      <c r="D4866" s="195" t="s">
        <v>1442</v>
      </c>
      <c r="E4866" s="705">
        <f t="shared" si="152"/>
        <v>16.111111111111111</v>
      </c>
    </row>
    <row r="4867" spans="2:5">
      <c r="B4867" s="943">
        <v>45125</v>
      </c>
      <c r="C4867" s="195">
        <f t="shared" si="151"/>
        <v>7</v>
      </c>
      <c r="D4867" s="195">
        <v>64.8</v>
      </c>
      <c r="E4867" s="705">
        <f t="shared" si="152"/>
        <v>18.222222222222221</v>
      </c>
    </row>
    <row r="4868" spans="2:5">
      <c r="B4868" s="943">
        <v>45125</v>
      </c>
      <c r="C4868" s="195">
        <f t="shared" si="151"/>
        <v>7</v>
      </c>
      <c r="D4868" s="195">
        <v>67.3</v>
      </c>
      <c r="E4868" s="705">
        <f t="shared" si="152"/>
        <v>19.611111111111111</v>
      </c>
    </row>
    <row r="4869" spans="2:5">
      <c r="B4869" s="943">
        <v>45125</v>
      </c>
      <c r="C4869" s="195">
        <f t="shared" si="151"/>
        <v>7</v>
      </c>
      <c r="D4869" s="195">
        <v>68.7</v>
      </c>
      <c r="E4869" s="705">
        <f t="shared" si="152"/>
        <v>20.388888888888889</v>
      </c>
    </row>
    <row r="4870" spans="2:5">
      <c r="B4870" s="943">
        <v>45125</v>
      </c>
      <c r="C4870" s="195">
        <f t="shared" si="151"/>
        <v>7</v>
      </c>
      <c r="D4870" s="195">
        <v>69.599999999999994</v>
      </c>
      <c r="E4870" s="705">
        <f t="shared" si="152"/>
        <v>20.888888888888886</v>
      </c>
    </row>
    <row r="4871" spans="2:5">
      <c r="B4871" s="943">
        <v>45125</v>
      </c>
      <c r="C4871" s="195">
        <f t="shared" si="151"/>
        <v>7</v>
      </c>
      <c r="D4871" s="195" t="s">
        <v>1446</v>
      </c>
      <c r="E4871" s="705">
        <f t="shared" si="152"/>
        <v>20</v>
      </c>
    </row>
    <row r="4872" spans="2:5">
      <c r="B4872" s="943">
        <v>45125</v>
      </c>
      <c r="C4872" s="195">
        <f t="shared" si="151"/>
        <v>7</v>
      </c>
      <c r="D4872" s="195">
        <v>61.2</v>
      </c>
      <c r="E4872" s="705">
        <f t="shared" si="152"/>
        <v>16.222222222222225</v>
      </c>
    </row>
    <row r="4873" spans="2:5">
      <c r="B4873" s="943">
        <v>45125</v>
      </c>
      <c r="C4873" s="195">
        <f t="shared" si="151"/>
        <v>7</v>
      </c>
      <c r="D4873" s="195">
        <v>60.6</v>
      </c>
      <c r="E4873" s="705">
        <f t="shared" si="152"/>
        <v>15.888888888888889</v>
      </c>
    </row>
    <row r="4874" spans="2:5">
      <c r="B4874" s="943">
        <v>45125</v>
      </c>
      <c r="C4874" s="195">
        <f t="shared" ref="C4874:C4937" si="153">MONTH(B4874)</f>
        <v>7</v>
      </c>
      <c r="D4874" s="195">
        <v>59.4</v>
      </c>
      <c r="E4874" s="705">
        <f t="shared" ref="E4874:E4937" si="154">CONVERT(D4874,"F","C")</f>
        <v>15.222222222222221</v>
      </c>
    </row>
    <row r="4875" spans="2:5">
      <c r="B4875" s="943">
        <v>45125</v>
      </c>
      <c r="C4875" s="195">
        <f t="shared" si="153"/>
        <v>7</v>
      </c>
      <c r="D4875" s="195">
        <v>57.2</v>
      </c>
      <c r="E4875" s="705">
        <f t="shared" si="154"/>
        <v>14.000000000000002</v>
      </c>
    </row>
    <row r="4876" spans="2:5">
      <c r="B4876" s="943">
        <v>45125</v>
      </c>
      <c r="C4876" s="195">
        <f t="shared" si="153"/>
        <v>7</v>
      </c>
      <c r="D4876" s="195">
        <v>56.7</v>
      </c>
      <c r="E4876" s="705">
        <f t="shared" si="154"/>
        <v>13.722222222222223</v>
      </c>
    </row>
    <row r="4877" spans="2:5">
      <c r="B4877" s="943">
        <v>45125</v>
      </c>
      <c r="C4877" s="195">
        <f t="shared" si="153"/>
        <v>7</v>
      </c>
      <c r="D4877" s="195">
        <v>58.1</v>
      </c>
      <c r="E4877" s="705">
        <f t="shared" si="154"/>
        <v>14.5</v>
      </c>
    </row>
    <row r="4878" spans="2:5">
      <c r="B4878" s="943">
        <v>45125</v>
      </c>
      <c r="C4878" s="195">
        <f t="shared" si="153"/>
        <v>7</v>
      </c>
      <c r="D4878" s="195">
        <v>59.4</v>
      </c>
      <c r="E4878" s="705">
        <f t="shared" si="154"/>
        <v>15.222222222222221</v>
      </c>
    </row>
    <row r="4879" spans="2:5">
      <c r="B4879" s="943">
        <v>45125</v>
      </c>
      <c r="C4879" s="195">
        <f t="shared" si="153"/>
        <v>7</v>
      </c>
      <c r="D4879" s="195" t="s">
        <v>1443</v>
      </c>
      <c r="E4879" s="705">
        <f t="shared" si="154"/>
        <v>17.222222222222221</v>
      </c>
    </row>
    <row r="4880" spans="2:5">
      <c r="B4880" s="943">
        <v>45125</v>
      </c>
      <c r="C4880" s="195">
        <f t="shared" si="153"/>
        <v>7</v>
      </c>
      <c r="D4880" s="195">
        <v>66.400000000000006</v>
      </c>
      <c r="E4880" s="705">
        <f t="shared" si="154"/>
        <v>19.111111111111114</v>
      </c>
    </row>
    <row r="4881" spans="2:5">
      <c r="B4881" s="943">
        <v>45126</v>
      </c>
      <c r="C4881" s="195">
        <f t="shared" si="153"/>
        <v>7</v>
      </c>
      <c r="D4881" s="195">
        <v>68.400000000000006</v>
      </c>
      <c r="E4881" s="705">
        <f t="shared" si="154"/>
        <v>20.222222222222225</v>
      </c>
    </row>
    <row r="4882" spans="2:5">
      <c r="B4882" s="943">
        <v>45126</v>
      </c>
      <c r="C4882" s="195">
        <f t="shared" si="153"/>
        <v>7</v>
      </c>
      <c r="D4882" s="195">
        <v>68.900000000000006</v>
      </c>
      <c r="E4882" s="705">
        <f t="shared" si="154"/>
        <v>20.500000000000004</v>
      </c>
    </row>
    <row r="4883" spans="2:5">
      <c r="B4883" s="943">
        <v>45126</v>
      </c>
      <c r="C4883" s="195">
        <f t="shared" si="153"/>
        <v>7</v>
      </c>
      <c r="D4883" s="195">
        <v>66.7</v>
      </c>
      <c r="E4883" s="705">
        <f t="shared" si="154"/>
        <v>19.277777777777779</v>
      </c>
    </row>
    <row r="4884" spans="2:5">
      <c r="B4884" s="943">
        <v>45126</v>
      </c>
      <c r="C4884" s="195">
        <f t="shared" si="153"/>
        <v>7</v>
      </c>
      <c r="D4884" s="195">
        <v>61.9</v>
      </c>
      <c r="E4884" s="705">
        <f t="shared" si="154"/>
        <v>16.611111111111111</v>
      </c>
    </row>
    <row r="4885" spans="2:5">
      <c r="B4885" s="943">
        <v>45126</v>
      </c>
      <c r="C4885" s="195">
        <f t="shared" si="153"/>
        <v>7</v>
      </c>
      <c r="D4885" s="195" t="s">
        <v>1441</v>
      </c>
      <c r="E4885" s="705">
        <f t="shared" si="154"/>
        <v>15</v>
      </c>
    </row>
    <row r="4886" spans="2:5">
      <c r="B4886" s="943">
        <v>45126</v>
      </c>
      <c r="C4886" s="195">
        <f t="shared" si="153"/>
        <v>7</v>
      </c>
      <c r="D4886" s="195">
        <v>57.7</v>
      </c>
      <c r="E4886" s="705">
        <f t="shared" si="154"/>
        <v>14.277777777777779</v>
      </c>
    </row>
    <row r="4887" spans="2:5">
      <c r="B4887" s="943">
        <v>45126</v>
      </c>
      <c r="C4887" s="195">
        <f t="shared" si="153"/>
        <v>7</v>
      </c>
      <c r="D4887" s="195">
        <v>56.8</v>
      </c>
      <c r="E4887" s="705">
        <f t="shared" si="154"/>
        <v>13.777777777777775</v>
      </c>
    </row>
    <row r="4888" spans="2:5">
      <c r="B4888" s="943">
        <v>45126</v>
      </c>
      <c r="C4888" s="195">
        <f t="shared" si="153"/>
        <v>7</v>
      </c>
      <c r="D4888" s="195">
        <v>55.6</v>
      </c>
      <c r="E4888" s="705">
        <f t="shared" si="154"/>
        <v>13.111111111111111</v>
      </c>
    </row>
    <row r="4889" spans="2:5">
      <c r="B4889" s="943">
        <v>45126</v>
      </c>
      <c r="C4889" s="195">
        <f t="shared" si="153"/>
        <v>7</v>
      </c>
      <c r="D4889" s="195">
        <v>56.5</v>
      </c>
      <c r="E4889" s="705">
        <f t="shared" si="154"/>
        <v>13.611111111111111</v>
      </c>
    </row>
    <row r="4890" spans="2:5">
      <c r="B4890" s="943">
        <v>45126</v>
      </c>
      <c r="C4890" s="195">
        <f t="shared" si="153"/>
        <v>7</v>
      </c>
      <c r="D4890" s="195">
        <v>58.1</v>
      </c>
      <c r="E4890" s="705">
        <f t="shared" si="154"/>
        <v>14.5</v>
      </c>
    </row>
    <row r="4891" spans="2:5">
      <c r="B4891" s="943">
        <v>45126</v>
      </c>
      <c r="C4891" s="195">
        <f t="shared" si="153"/>
        <v>7</v>
      </c>
      <c r="D4891" s="195">
        <v>61.7</v>
      </c>
      <c r="E4891" s="705">
        <f t="shared" si="154"/>
        <v>16.5</v>
      </c>
    </row>
    <row r="4892" spans="2:5">
      <c r="B4892" s="943">
        <v>45126</v>
      </c>
      <c r="C4892" s="195">
        <f t="shared" si="153"/>
        <v>7</v>
      </c>
      <c r="D4892" s="195">
        <v>65.3</v>
      </c>
      <c r="E4892" s="705">
        <f t="shared" si="154"/>
        <v>18.499999999999996</v>
      </c>
    </row>
    <row r="4893" spans="2:5">
      <c r="B4893" s="943">
        <v>45126</v>
      </c>
      <c r="C4893" s="195">
        <f t="shared" si="153"/>
        <v>7</v>
      </c>
      <c r="D4893" s="195">
        <v>67.599999999999994</v>
      </c>
      <c r="E4893" s="705">
        <f t="shared" si="154"/>
        <v>19.777777777777775</v>
      </c>
    </row>
    <row r="4894" spans="2:5">
      <c r="B4894" s="943">
        <v>45126</v>
      </c>
      <c r="C4894" s="195">
        <f t="shared" si="153"/>
        <v>7</v>
      </c>
      <c r="D4894" s="195">
        <v>68.7</v>
      </c>
      <c r="E4894" s="705">
        <f t="shared" si="154"/>
        <v>20.388888888888889</v>
      </c>
    </row>
    <row r="4895" spans="2:5">
      <c r="B4895" s="943">
        <v>45126</v>
      </c>
      <c r="C4895" s="195">
        <f t="shared" si="153"/>
        <v>7</v>
      </c>
      <c r="D4895" s="195">
        <v>69.400000000000006</v>
      </c>
      <c r="E4895" s="705">
        <f t="shared" si="154"/>
        <v>20.777777777777782</v>
      </c>
    </row>
    <row r="4896" spans="2:5">
      <c r="B4896" s="943">
        <v>45126</v>
      </c>
      <c r="C4896" s="195">
        <f t="shared" si="153"/>
        <v>7</v>
      </c>
      <c r="D4896" s="195">
        <v>66.2</v>
      </c>
      <c r="E4896" s="705">
        <f t="shared" si="154"/>
        <v>19</v>
      </c>
    </row>
    <row r="4897" spans="2:5">
      <c r="B4897" s="943">
        <v>45126</v>
      </c>
      <c r="C4897" s="195">
        <f t="shared" si="153"/>
        <v>7</v>
      </c>
      <c r="D4897" s="195">
        <v>59.2</v>
      </c>
      <c r="E4897" s="705">
        <f t="shared" si="154"/>
        <v>15.111111111111112</v>
      </c>
    </row>
    <row r="4898" spans="2:5">
      <c r="B4898" s="943">
        <v>45126</v>
      </c>
      <c r="C4898" s="195">
        <f t="shared" si="153"/>
        <v>7</v>
      </c>
      <c r="D4898" s="195">
        <v>57.6</v>
      </c>
      <c r="E4898" s="705">
        <f t="shared" si="154"/>
        <v>14.222222222222223</v>
      </c>
    </row>
    <row r="4899" spans="2:5">
      <c r="B4899" s="943">
        <v>45126</v>
      </c>
      <c r="C4899" s="195">
        <f t="shared" si="153"/>
        <v>7</v>
      </c>
      <c r="D4899" s="195">
        <v>56.3</v>
      </c>
      <c r="E4899" s="705">
        <f t="shared" si="154"/>
        <v>13.499999999999998</v>
      </c>
    </row>
    <row r="4900" spans="2:5">
      <c r="B4900" s="943">
        <v>45126</v>
      </c>
      <c r="C4900" s="195">
        <f t="shared" si="153"/>
        <v>7</v>
      </c>
      <c r="D4900" s="195">
        <v>54.7</v>
      </c>
      <c r="E4900" s="705">
        <f t="shared" si="154"/>
        <v>12.611111111111112</v>
      </c>
    </row>
    <row r="4901" spans="2:5">
      <c r="B4901" s="943">
        <v>45126</v>
      </c>
      <c r="C4901" s="195">
        <f t="shared" si="153"/>
        <v>7</v>
      </c>
      <c r="D4901" s="195">
        <v>58.5</v>
      </c>
      <c r="E4901" s="705">
        <f t="shared" si="154"/>
        <v>14.722222222222221</v>
      </c>
    </row>
    <row r="4902" spans="2:5">
      <c r="B4902" s="943">
        <v>45126</v>
      </c>
      <c r="C4902" s="195">
        <f t="shared" si="153"/>
        <v>7</v>
      </c>
      <c r="D4902" s="195">
        <v>57.4</v>
      </c>
      <c r="E4902" s="705">
        <f t="shared" si="154"/>
        <v>14.111111111111111</v>
      </c>
    </row>
    <row r="4903" spans="2:5">
      <c r="B4903" s="943">
        <v>45126</v>
      </c>
      <c r="C4903" s="195">
        <f t="shared" si="153"/>
        <v>7</v>
      </c>
      <c r="D4903" s="195">
        <v>60.1</v>
      </c>
      <c r="E4903" s="705">
        <f t="shared" si="154"/>
        <v>15.611111111111111</v>
      </c>
    </row>
    <row r="4904" spans="2:5">
      <c r="B4904" s="943">
        <v>45126</v>
      </c>
      <c r="C4904" s="195">
        <f t="shared" si="153"/>
        <v>7</v>
      </c>
      <c r="D4904" s="195">
        <v>63.9</v>
      </c>
      <c r="E4904" s="705">
        <f t="shared" si="154"/>
        <v>17.722222222222221</v>
      </c>
    </row>
    <row r="4905" spans="2:5">
      <c r="B4905" s="943">
        <v>45127</v>
      </c>
      <c r="C4905" s="195">
        <f t="shared" si="153"/>
        <v>7</v>
      </c>
      <c r="D4905" s="195">
        <v>67.099999999999994</v>
      </c>
      <c r="E4905" s="705">
        <f t="shared" si="154"/>
        <v>19.499999999999996</v>
      </c>
    </row>
    <row r="4906" spans="2:5">
      <c r="B4906" s="943">
        <v>45127</v>
      </c>
      <c r="C4906" s="195">
        <f t="shared" si="153"/>
        <v>7</v>
      </c>
      <c r="D4906" s="195">
        <v>68.5</v>
      </c>
      <c r="E4906" s="705">
        <f t="shared" si="154"/>
        <v>20.277777777777779</v>
      </c>
    </row>
    <row r="4907" spans="2:5">
      <c r="B4907" s="943">
        <v>45127</v>
      </c>
      <c r="C4907" s="195">
        <f t="shared" si="153"/>
        <v>7</v>
      </c>
      <c r="D4907" s="195">
        <v>67.599999999999994</v>
      </c>
      <c r="E4907" s="705">
        <f t="shared" si="154"/>
        <v>19.777777777777775</v>
      </c>
    </row>
    <row r="4908" spans="2:5">
      <c r="B4908" s="943">
        <v>45127</v>
      </c>
      <c r="C4908" s="195">
        <f t="shared" si="153"/>
        <v>7</v>
      </c>
      <c r="D4908" s="195">
        <v>63.5</v>
      </c>
      <c r="E4908" s="705">
        <f t="shared" si="154"/>
        <v>17.5</v>
      </c>
    </row>
    <row r="4909" spans="2:5">
      <c r="B4909" s="943">
        <v>45127</v>
      </c>
      <c r="C4909" s="195">
        <f t="shared" si="153"/>
        <v>7</v>
      </c>
      <c r="D4909" s="195">
        <v>60.1</v>
      </c>
      <c r="E4909" s="705">
        <f t="shared" si="154"/>
        <v>15.611111111111111</v>
      </c>
    </row>
    <row r="4910" spans="2:5">
      <c r="B4910" s="943">
        <v>45127</v>
      </c>
      <c r="C4910" s="195">
        <f t="shared" si="153"/>
        <v>7</v>
      </c>
      <c r="D4910" s="195">
        <v>58.6</v>
      </c>
      <c r="E4910" s="705">
        <f t="shared" si="154"/>
        <v>14.777777777777779</v>
      </c>
    </row>
    <row r="4911" spans="2:5">
      <c r="B4911" s="943">
        <v>45127</v>
      </c>
      <c r="C4911" s="195">
        <f t="shared" si="153"/>
        <v>7</v>
      </c>
      <c r="D4911" s="195">
        <v>56.7</v>
      </c>
      <c r="E4911" s="705">
        <f t="shared" si="154"/>
        <v>13.722222222222223</v>
      </c>
    </row>
    <row r="4912" spans="2:5">
      <c r="B4912" s="943">
        <v>45127</v>
      </c>
      <c r="C4912" s="195">
        <f t="shared" si="153"/>
        <v>7</v>
      </c>
      <c r="D4912" s="195">
        <v>55.8</v>
      </c>
      <c r="E4912" s="705">
        <f t="shared" si="154"/>
        <v>13.22222222222222</v>
      </c>
    </row>
    <row r="4913" spans="2:5">
      <c r="B4913" s="943">
        <v>45127</v>
      </c>
      <c r="C4913" s="195">
        <f t="shared" si="153"/>
        <v>7</v>
      </c>
      <c r="D4913" s="195">
        <v>56.5</v>
      </c>
      <c r="E4913" s="705">
        <f t="shared" si="154"/>
        <v>13.611111111111111</v>
      </c>
    </row>
    <row r="4914" spans="2:5">
      <c r="B4914" s="943">
        <v>45127</v>
      </c>
      <c r="C4914" s="195">
        <f t="shared" si="153"/>
        <v>7</v>
      </c>
      <c r="D4914" s="195">
        <v>56.7</v>
      </c>
      <c r="E4914" s="705">
        <f t="shared" si="154"/>
        <v>13.722222222222223</v>
      </c>
    </row>
    <row r="4915" spans="2:5">
      <c r="B4915" s="943">
        <v>45127</v>
      </c>
      <c r="C4915" s="195">
        <f t="shared" si="153"/>
        <v>7</v>
      </c>
      <c r="D4915" s="195">
        <v>58.8</v>
      </c>
      <c r="E4915" s="705">
        <f t="shared" si="154"/>
        <v>14.888888888888888</v>
      </c>
    </row>
    <row r="4916" spans="2:5">
      <c r="B4916" s="943">
        <v>45127</v>
      </c>
      <c r="C4916" s="195">
        <f t="shared" si="153"/>
        <v>7</v>
      </c>
      <c r="D4916" s="195">
        <v>62.6</v>
      </c>
      <c r="E4916" s="705">
        <f t="shared" si="154"/>
        <v>17</v>
      </c>
    </row>
    <row r="4917" spans="2:5">
      <c r="B4917" s="943">
        <v>45127</v>
      </c>
      <c r="C4917" s="195">
        <f t="shared" si="153"/>
        <v>7</v>
      </c>
      <c r="D4917" s="195">
        <v>65.8</v>
      </c>
      <c r="E4917" s="705">
        <f t="shared" si="154"/>
        <v>18.777777777777775</v>
      </c>
    </row>
    <row r="4918" spans="2:5">
      <c r="B4918" s="943">
        <v>45127</v>
      </c>
      <c r="C4918" s="195">
        <f t="shared" si="153"/>
        <v>7</v>
      </c>
      <c r="D4918" s="195">
        <v>67.8</v>
      </c>
      <c r="E4918" s="705">
        <f t="shared" si="154"/>
        <v>19.888888888888886</v>
      </c>
    </row>
    <row r="4919" spans="2:5">
      <c r="B4919" s="943">
        <v>45127</v>
      </c>
      <c r="C4919" s="195">
        <f t="shared" si="153"/>
        <v>7</v>
      </c>
      <c r="D4919" s="195">
        <v>68.7</v>
      </c>
      <c r="E4919" s="705">
        <f t="shared" si="154"/>
        <v>20.388888888888889</v>
      </c>
    </row>
    <row r="4920" spans="2:5">
      <c r="B4920" s="943">
        <v>45127</v>
      </c>
      <c r="C4920" s="195">
        <f t="shared" si="153"/>
        <v>7</v>
      </c>
      <c r="D4920" s="195">
        <v>67.599999999999994</v>
      </c>
      <c r="E4920" s="705">
        <f t="shared" si="154"/>
        <v>19.777777777777775</v>
      </c>
    </row>
    <row r="4921" spans="2:5">
      <c r="B4921" s="943">
        <v>45127</v>
      </c>
      <c r="C4921" s="195">
        <f t="shared" si="153"/>
        <v>7</v>
      </c>
      <c r="D4921" s="195">
        <v>62.8</v>
      </c>
      <c r="E4921" s="705">
        <f t="shared" si="154"/>
        <v>17.111111111111111</v>
      </c>
    </row>
    <row r="4922" spans="2:5">
      <c r="B4922" s="943">
        <v>45127</v>
      </c>
      <c r="C4922" s="195">
        <f t="shared" si="153"/>
        <v>7</v>
      </c>
      <c r="D4922" s="195">
        <v>60.4</v>
      </c>
      <c r="E4922" s="705">
        <f t="shared" si="154"/>
        <v>15.777777777777777</v>
      </c>
    </row>
    <row r="4923" spans="2:5">
      <c r="B4923" s="943">
        <v>45127</v>
      </c>
      <c r="C4923" s="195">
        <f t="shared" si="153"/>
        <v>7</v>
      </c>
      <c r="D4923" s="195">
        <v>59.7</v>
      </c>
      <c r="E4923" s="705">
        <f t="shared" si="154"/>
        <v>15.388888888888889</v>
      </c>
    </row>
    <row r="4924" spans="2:5">
      <c r="B4924" s="943">
        <v>45127</v>
      </c>
      <c r="C4924" s="195">
        <f t="shared" si="153"/>
        <v>7</v>
      </c>
      <c r="D4924" s="195">
        <v>59.7</v>
      </c>
      <c r="E4924" s="705">
        <f t="shared" si="154"/>
        <v>15.388888888888889</v>
      </c>
    </row>
    <row r="4925" spans="2:5">
      <c r="B4925" s="943">
        <v>45127</v>
      </c>
      <c r="C4925" s="195">
        <f t="shared" si="153"/>
        <v>7</v>
      </c>
      <c r="D4925" s="195">
        <v>58.5</v>
      </c>
      <c r="E4925" s="705">
        <f t="shared" si="154"/>
        <v>14.722222222222221</v>
      </c>
    </row>
    <row r="4926" spans="2:5">
      <c r="B4926" s="943">
        <v>45127</v>
      </c>
      <c r="C4926" s="195">
        <f t="shared" si="153"/>
        <v>7</v>
      </c>
      <c r="D4926" s="195">
        <v>60.4</v>
      </c>
      <c r="E4926" s="705">
        <f t="shared" si="154"/>
        <v>15.777777777777777</v>
      </c>
    </row>
    <row r="4927" spans="2:5">
      <c r="B4927" s="943">
        <v>45127</v>
      </c>
      <c r="C4927" s="195">
        <f t="shared" si="153"/>
        <v>7</v>
      </c>
      <c r="D4927" s="195">
        <v>60.6</v>
      </c>
      <c r="E4927" s="705">
        <f t="shared" si="154"/>
        <v>15.888888888888889</v>
      </c>
    </row>
    <row r="4928" spans="2:5">
      <c r="B4928" s="943">
        <v>45127</v>
      </c>
      <c r="C4928" s="195">
        <f t="shared" si="153"/>
        <v>7</v>
      </c>
      <c r="D4928" s="195">
        <v>62.2</v>
      </c>
      <c r="E4928" s="705">
        <f t="shared" si="154"/>
        <v>16.777777777777779</v>
      </c>
    </row>
    <row r="4929" spans="2:5">
      <c r="B4929" s="943">
        <v>45128</v>
      </c>
      <c r="C4929" s="195">
        <f t="shared" si="153"/>
        <v>7</v>
      </c>
      <c r="D4929" s="195">
        <v>65.3</v>
      </c>
      <c r="E4929" s="705">
        <f t="shared" si="154"/>
        <v>18.499999999999996</v>
      </c>
    </row>
    <row r="4930" spans="2:5">
      <c r="B4930" s="943">
        <v>45128</v>
      </c>
      <c r="C4930" s="195">
        <f t="shared" si="153"/>
        <v>7</v>
      </c>
      <c r="D4930" s="195">
        <v>67.5</v>
      </c>
      <c r="E4930" s="705">
        <f t="shared" si="154"/>
        <v>19.722222222222221</v>
      </c>
    </row>
    <row r="4931" spans="2:5">
      <c r="B4931" s="943">
        <v>45128</v>
      </c>
      <c r="C4931" s="195">
        <f t="shared" si="153"/>
        <v>7</v>
      </c>
      <c r="D4931" s="195">
        <v>68.400000000000006</v>
      </c>
      <c r="E4931" s="705">
        <f t="shared" si="154"/>
        <v>20.222222222222225</v>
      </c>
    </row>
    <row r="4932" spans="2:5">
      <c r="B4932" s="943">
        <v>45128</v>
      </c>
      <c r="C4932" s="195">
        <f t="shared" si="153"/>
        <v>7</v>
      </c>
      <c r="D4932" s="195">
        <v>66.2</v>
      </c>
      <c r="E4932" s="705">
        <f t="shared" si="154"/>
        <v>19</v>
      </c>
    </row>
    <row r="4933" spans="2:5">
      <c r="B4933" s="943">
        <v>45128</v>
      </c>
      <c r="C4933" s="195">
        <f t="shared" si="153"/>
        <v>7</v>
      </c>
      <c r="D4933" s="195">
        <v>62.6</v>
      </c>
      <c r="E4933" s="705">
        <f t="shared" si="154"/>
        <v>17</v>
      </c>
    </row>
    <row r="4934" spans="2:5">
      <c r="B4934" s="943">
        <v>45128</v>
      </c>
      <c r="C4934" s="195">
        <f t="shared" si="153"/>
        <v>7</v>
      </c>
      <c r="D4934" s="195">
        <v>62.4</v>
      </c>
      <c r="E4934" s="705">
        <f t="shared" si="154"/>
        <v>16.888888888888889</v>
      </c>
    </row>
    <row r="4935" spans="2:5">
      <c r="B4935" s="943">
        <v>45128</v>
      </c>
      <c r="C4935" s="195">
        <f t="shared" si="153"/>
        <v>7</v>
      </c>
      <c r="D4935" s="195">
        <v>62.2</v>
      </c>
      <c r="E4935" s="705">
        <f t="shared" si="154"/>
        <v>16.777777777777779</v>
      </c>
    </row>
    <row r="4936" spans="2:5">
      <c r="B4936" s="943">
        <v>45128</v>
      </c>
      <c r="C4936" s="195">
        <f t="shared" si="153"/>
        <v>7</v>
      </c>
      <c r="D4936" s="195">
        <v>61.7</v>
      </c>
      <c r="E4936" s="705">
        <f t="shared" si="154"/>
        <v>16.5</v>
      </c>
    </row>
    <row r="4937" spans="2:5">
      <c r="B4937" s="943">
        <v>45128</v>
      </c>
      <c r="C4937" s="195">
        <f t="shared" si="153"/>
        <v>7</v>
      </c>
      <c r="D4937" s="195">
        <v>60.8</v>
      </c>
      <c r="E4937" s="705">
        <f t="shared" si="154"/>
        <v>15.999999999999998</v>
      </c>
    </row>
    <row r="4938" spans="2:5">
      <c r="B4938" s="943">
        <v>45128</v>
      </c>
      <c r="C4938" s="195">
        <f t="shared" ref="C4938:C5001" si="155">MONTH(B4938)</f>
        <v>7</v>
      </c>
      <c r="D4938" s="195">
        <v>61.3</v>
      </c>
      <c r="E4938" s="705">
        <f t="shared" ref="E4938:E5001" si="156">CONVERT(D4938,"F","C")</f>
        <v>16.277777777777775</v>
      </c>
    </row>
    <row r="4939" spans="2:5">
      <c r="B4939" s="943">
        <v>45128</v>
      </c>
      <c r="C4939" s="195">
        <f t="shared" si="155"/>
        <v>7</v>
      </c>
      <c r="D4939" s="195">
        <v>62.1</v>
      </c>
      <c r="E4939" s="705">
        <f t="shared" si="156"/>
        <v>16.722222222222221</v>
      </c>
    </row>
    <row r="4940" spans="2:5">
      <c r="B4940" s="943">
        <v>45128</v>
      </c>
      <c r="C4940" s="195">
        <f t="shared" si="155"/>
        <v>7</v>
      </c>
      <c r="D4940" s="195">
        <v>63.5</v>
      </c>
      <c r="E4940" s="705">
        <f t="shared" si="156"/>
        <v>17.5</v>
      </c>
    </row>
    <row r="4941" spans="2:5">
      <c r="B4941" s="943">
        <v>45128</v>
      </c>
      <c r="C4941" s="195">
        <f t="shared" si="155"/>
        <v>7</v>
      </c>
      <c r="D4941" s="195">
        <v>65.7</v>
      </c>
      <c r="E4941" s="705">
        <f t="shared" si="156"/>
        <v>18.722222222222225</v>
      </c>
    </row>
    <row r="4942" spans="2:5">
      <c r="B4942" s="943">
        <v>45128</v>
      </c>
      <c r="C4942" s="195">
        <f t="shared" si="155"/>
        <v>7</v>
      </c>
      <c r="D4942" s="195">
        <v>67.5</v>
      </c>
      <c r="E4942" s="705">
        <f t="shared" si="156"/>
        <v>19.722222222222221</v>
      </c>
    </row>
    <row r="4943" spans="2:5">
      <c r="B4943" s="943">
        <v>45128</v>
      </c>
      <c r="C4943" s="195">
        <f t="shared" si="155"/>
        <v>7</v>
      </c>
      <c r="D4943" s="195">
        <v>68.5</v>
      </c>
      <c r="E4943" s="705">
        <f t="shared" si="156"/>
        <v>20.277777777777779</v>
      </c>
    </row>
    <row r="4944" spans="2:5">
      <c r="B4944" s="943">
        <v>45128</v>
      </c>
      <c r="C4944" s="195">
        <f t="shared" si="155"/>
        <v>7</v>
      </c>
      <c r="D4944" s="195">
        <v>69.099999999999994</v>
      </c>
      <c r="E4944" s="705">
        <f t="shared" si="156"/>
        <v>20.611111111111107</v>
      </c>
    </row>
    <row r="4945" spans="2:5">
      <c r="B4945" s="943">
        <v>45128</v>
      </c>
      <c r="C4945" s="195">
        <f t="shared" si="155"/>
        <v>7</v>
      </c>
      <c r="D4945" s="195">
        <v>67.5</v>
      </c>
      <c r="E4945" s="705">
        <f t="shared" si="156"/>
        <v>19.722222222222221</v>
      </c>
    </row>
    <row r="4946" spans="2:5">
      <c r="B4946" s="943">
        <v>45128</v>
      </c>
      <c r="C4946" s="195">
        <f t="shared" si="155"/>
        <v>7</v>
      </c>
      <c r="D4946" s="195">
        <v>64.599999999999994</v>
      </c>
      <c r="E4946" s="705">
        <f t="shared" si="156"/>
        <v>18.111111111111107</v>
      </c>
    </row>
    <row r="4947" spans="2:5">
      <c r="B4947" s="943">
        <v>45128</v>
      </c>
      <c r="C4947" s="195">
        <f t="shared" si="155"/>
        <v>7</v>
      </c>
      <c r="D4947" s="195">
        <v>63.9</v>
      </c>
      <c r="E4947" s="705">
        <f t="shared" si="156"/>
        <v>17.722222222222221</v>
      </c>
    </row>
    <row r="4948" spans="2:5">
      <c r="B4948" s="943">
        <v>45128</v>
      </c>
      <c r="C4948" s="195">
        <f t="shared" si="155"/>
        <v>7</v>
      </c>
      <c r="D4948" s="195">
        <v>62.4</v>
      </c>
      <c r="E4948" s="705">
        <f t="shared" si="156"/>
        <v>16.888888888888889</v>
      </c>
    </row>
    <row r="4949" spans="2:5">
      <c r="B4949" s="943">
        <v>45128</v>
      </c>
      <c r="C4949" s="195">
        <f t="shared" si="155"/>
        <v>7</v>
      </c>
      <c r="D4949" s="195" t="s">
        <v>1442</v>
      </c>
      <c r="E4949" s="705">
        <f t="shared" si="156"/>
        <v>16.111111111111111</v>
      </c>
    </row>
    <row r="4950" spans="2:5">
      <c r="B4950" s="943">
        <v>45128</v>
      </c>
      <c r="C4950" s="195">
        <f t="shared" si="155"/>
        <v>7</v>
      </c>
      <c r="D4950" s="195">
        <v>62.8</v>
      </c>
      <c r="E4950" s="705">
        <f t="shared" si="156"/>
        <v>17.111111111111111</v>
      </c>
    </row>
    <row r="4951" spans="2:5">
      <c r="B4951" s="943">
        <v>45128</v>
      </c>
      <c r="C4951" s="195">
        <f t="shared" si="155"/>
        <v>7</v>
      </c>
      <c r="D4951" s="195">
        <v>62.6</v>
      </c>
      <c r="E4951" s="705">
        <f t="shared" si="156"/>
        <v>17</v>
      </c>
    </row>
    <row r="4952" spans="2:5">
      <c r="B4952" s="943">
        <v>45128</v>
      </c>
      <c r="C4952" s="195">
        <f t="shared" si="155"/>
        <v>7</v>
      </c>
      <c r="D4952" s="195">
        <v>63.9</v>
      </c>
      <c r="E4952" s="705">
        <f t="shared" si="156"/>
        <v>17.722222222222221</v>
      </c>
    </row>
    <row r="4953" spans="2:5">
      <c r="B4953" s="943">
        <v>45129</v>
      </c>
      <c r="C4953" s="195">
        <f t="shared" si="155"/>
        <v>7</v>
      </c>
      <c r="D4953" s="195">
        <v>65.5</v>
      </c>
      <c r="E4953" s="705">
        <f t="shared" si="156"/>
        <v>18.611111111111111</v>
      </c>
    </row>
    <row r="4954" spans="2:5">
      <c r="B4954" s="943">
        <v>45129</v>
      </c>
      <c r="C4954" s="195">
        <f t="shared" si="155"/>
        <v>7</v>
      </c>
      <c r="D4954" s="195">
        <v>67.3</v>
      </c>
      <c r="E4954" s="705">
        <f t="shared" si="156"/>
        <v>19.611111111111111</v>
      </c>
    </row>
    <row r="4955" spans="2:5">
      <c r="B4955" s="943">
        <v>45129</v>
      </c>
      <c r="C4955" s="195">
        <f t="shared" si="155"/>
        <v>7</v>
      </c>
      <c r="D4955" s="195">
        <v>68.2</v>
      </c>
      <c r="E4955" s="705">
        <f t="shared" si="156"/>
        <v>20.111111111111111</v>
      </c>
    </row>
    <row r="4956" spans="2:5">
      <c r="B4956" s="943">
        <v>45129</v>
      </c>
      <c r="C4956" s="195">
        <f t="shared" si="155"/>
        <v>7</v>
      </c>
      <c r="D4956" s="195">
        <v>68.5</v>
      </c>
      <c r="E4956" s="705">
        <f t="shared" si="156"/>
        <v>20.277777777777779</v>
      </c>
    </row>
    <row r="4957" spans="2:5">
      <c r="B4957" s="943">
        <v>45129</v>
      </c>
      <c r="C4957" s="195">
        <f t="shared" si="155"/>
        <v>7</v>
      </c>
      <c r="D4957" s="195">
        <v>67.099999999999994</v>
      </c>
      <c r="E4957" s="705">
        <f t="shared" si="156"/>
        <v>19.499999999999996</v>
      </c>
    </row>
    <row r="4958" spans="2:5">
      <c r="B4958" s="943">
        <v>45129</v>
      </c>
      <c r="C4958" s="195">
        <f t="shared" si="155"/>
        <v>7</v>
      </c>
      <c r="D4958" s="195">
        <v>64.2</v>
      </c>
      <c r="E4958" s="705">
        <f t="shared" si="156"/>
        <v>17.888888888888889</v>
      </c>
    </row>
    <row r="4959" spans="2:5">
      <c r="B4959" s="943">
        <v>45129</v>
      </c>
      <c r="C4959" s="195">
        <f t="shared" si="155"/>
        <v>7</v>
      </c>
      <c r="D4959" s="195">
        <v>64.599999999999994</v>
      </c>
      <c r="E4959" s="705">
        <f t="shared" si="156"/>
        <v>18.111111111111107</v>
      </c>
    </row>
    <row r="4960" spans="2:5">
      <c r="B4960" s="943">
        <v>45129</v>
      </c>
      <c r="C4960" s="195">
        <f t="shared" si="155"/>
        <v>7</v>
      </c>
      <c r="D4960" s="195">
        <v>64.400000000000006</v>
      </c>
      <c r="E4960" s="705">
        <f t="shared" si="156"/>
        <v>18.000000000000004</v>
      </c>
    </row>
    <row r="4961" spans="2:5">
      <c r="B4961" s="943">
        <v>45129</v>
      </c>
      <c r="C4961" s="195">
        <f t="shared" si="155"/>
        <v>7</v>
      </c>
      <c r="D4961" s="195">
        <v>63.7</v>
      </c>
      <c r="E4961" s="705">
        <f t="shared" si="156"/>
        <v>17.611111111111111</v>
      </c>
    </row>
    <row r="4962" spans="2:5">
      <c r="B4962" s="943">
        <v>45129</v>
      </c>
      <c r="C4962" s="195">
        <f t="shared" si="155"/>
        <v>7</v>
      </c>
      <c r="D4962" s="195">
        <v>64.400000000000006</v>
      </c>
      <c r="E4962" s="705">
        <f t="shared" si="156"/>
        <v>18.000000000000004</v>
      </c>
    </row>
    <row r="4963" spans="2:5">
      <c r="B4963" s="943">
        <v>45129</v>
      </c>
      <c r="C4963" s="195">
        <f t="shared" si="155"/>
        <v>7</v>
      </c>
      <c r="D4963" s="195">
        <v>64.400000000000006</v>
      </c>
      <c r="E4963" s="705">
        <f t="shared" si="156"/>
        <v>18.000000000000004</v>
      </c>
    </row>
    <row r="4964" spans="2:5">
      <c r="B4964" s="943">
        <v>45129</v>
      </c>
      <c r="C4964" s="195">
        <f t="shared" si="155"/>
        <v>7</v>
      </c>
      <c r="D4964" s="195">
        <v>64.900000000000006</v>
      </c>
      <c r="E4964" s="705">
        <f t="shared" si="156"/>
        <v>18.277777777777782</v>
      </c>
    </row>
    <row r="4965" spans="2:5">
      <c r="B4965" s="943">
        <v>45129</v>
      </c>
      <c r="C4965" s="195">
        <f t="shared" si="155"/>
        <v>7</v>
      </c>
      <c r="D4965" s="195">
        <v>65.8</v>
      </c>
      <c r="E4965" s="705">
        <f t="shared" si="156"/>
        <v>18.777777777777775</v>
      </c>
    </row>
    <row r="4966" spans="2:5">
      <c r="B4966" s="943">
        <v>45129</v>
      </c>
      <c r="C4966" s="195">
        <f t="shared" si="155"/>
        <v>7</v>
      </c>
      <c r="D4966" s="195">
        <v>67.3</v>
      </c>
      <c r="E4966" s="705">
        <f t="shared" si="156"/>
        <v>19.611111111111111</v>
      </c>
    </row>
    <row r="4967" spans="2:5">
      <c r="B4967" s="943">
        <v>45129</v>
      </c>
      <c r="C4967" s="195">
        <f t="shared" si="155"/>
        <v>7</v>
      </c>
      <c r="D4967" s="195">
        <v>68.400000000000006</v>
      </c>
      <c r="E4967" s="705">
        <f t="shared" si="156"/>
        <v>20.222222222222225</v>
      </c>
    </row>
    <row r="4968" spans="2:5">
      <c r="B4968" s="943">
        <v>45129</v>
      </c>
      <c r="C4968" s="195">
        <f t="shared" si="155"/>
        <v>7</v>
      </c>
      <c r="D4968" s="195">
        <v>69.099999999999994</v>
      </c>
      <c r="E4968" s="705">
        <f t="shared" si="156"/>
        <v>20.611111111111107</v>
      </c>
    </row>
    <row r="4969" spans="2:5">
      <c r="B4969" s="943">
        <v>45129</v>
      </c>
      <c r="C4969" s="195">
        <f t="shared" si="155"/>
        <v>7</v>
      </c>
      <c r="D4969" s="195">
        <v>68.5</v>
      </c>
      <c r="E4969" s="705">
        <f t="shared" si="156"/>
        <v>20.277777777777779</v>
      </c>
    </row>
    <row r="4970" spans="2:5">
      <c r="B4970" s="943">
        <v>45129</v>
      </c>
      <c r="C4970" s="195">
        <f t="shared" si="155"/>
        <v>7</v>
      </c>
      <c r="D4970" s="195">
        <v>66.7</v>
      </c>
      <c r="E4970" s="705">
        <f t="shared" si="156"/>
        <v>19.277777777777779</v>
      </c>
    </row>
    <row r="4971" spans="2:5">
      <c r="B4971" s="943">
        <v>45129</v>
      </c>
      <c r="C4971" s="195">
        <f t="shared" si="155"/>
        <v>7</v>
      </c>
      <c r="D4971" s="195">
        <v>63.5</v>
      </c>
      <c r="E4971" s="705">
        <f t="shared" si="156"/>
        <v>17.5</v>
      </c>
    </row>
    <row r="4972" spans="2:5">
      <c r="B4972" s="943">
        <v>45129</v>
      </c>
      <c r="C4972" s="195">
        <f t="shared" si="155"/>
        <v>7</v>
      </c>
      <c r="D4972" s="195" t="s">
        <v>1443</v>
      </c>
      <c r="E4972" s="705">
        <f t="shared" si="156"/>
        <v>17.222222222222221</v>
      </c>
    </row>
    <row r="4973" spans="2:5">
      <c r="B4973" s="943">
        <v>45129</v>
      </c>
      <c r="C4973" s="195">
        <f t="shared" si="155"/>
        <v>7</v>
      </c>
      <c r="D4973" s="195">
        <v>61.2</v>
      </c>
      <c r="E4973" s="705">
        <f t="shared" si="156"/>
        <v>16.222222222222225</v>
      </c>
    </row>
    <row r="4974" spans="2:5">
      <c r="B4974" s="943">
        <v>45129</v>
      </c>
      <c r="C4974" s="195">
        <f t="shared" si="155"/>
        <v>7</v>
      </c>
      <c r="D4974" s="195">
        <v>62.4</v>
      </c>
      <c r="E4974" s="705">
        <f t="shared" si="156"/>
        <v>16.888888888888889</v>
      </c>
    </row>
    <row r="4975" spans="2:5">
      <c r="B4975" s="943">
        <v>45129</v>
      </c>
      <c r="C4975" s="195">
        <f t="shared" si="155"/>
        <v>7</v>
      </c>
      <c r="D4975" s="195">
        <v>63.7</v>
      </c>
      <c r="E4975" s="705">
        <f t="shared" si="156"/>
        <v>17.611111111111111</v>
      </c>
    </row>
    <row r="4976" spans="2:5">
      <c r="B4976" s="943">
        <v>45129</v>
      </c>
      <c r="C4976" s="195">
        <f t="shared" si="155"/>
        <v>7</v>
      </c>
      <c r="D4976" s="195">
        <v>62.4</v>
      </c>
      <c r="E4976" s="705">
        <f t="shared" si="156"/>
        <v>16.888888888888889</v>
      </c>
    </row>
    <row r="4977" spans="2:5">
      <c r="B4977" s="943">
        <v>45130</v>
      </c>
      <c r="C4977" s="195">
        <f t="shared" si="155"/>
        <v>7</v>
      </c>
      <c r="D4977" s="195">
        <v>63.9</v>
      </c>
      <c r="E4977" s="705">
        <f t="shared" si="156"/>
        <v>17.722222222222221</v>
      </c>
    </row>
    <row r="4978" spans="2:5">
      <c r="B4978" s="943">
        <v>45130</v>
      </c>
      <c r="C4978" s="195">
        <f t="shared" si="155"/>
        <v>7</v>
      </c>
      <c r="D4978" s="195">
        <v>66.400000000000006</v>
      </c>
      <c r="E4978" s="705">
        <f t="shared" si="156"/>
        <v>19.111111111111114</v>
      </c>
    </row>
    <row r="4979" spans="2:5">
      <c r="B4979" s="943">
        <v>45130</v>
      </c>
      <c r="C4979" s="195">
        <f t="shared" si="155"/>
        <v>7</v>
      </c>
      <c r="D4979" s="195">
        <v>68.2</v>
      </c>
      <c r="E4979" s="705">
        <f t="shared" si="156"/>
        <v>20.111111111111111</v>
      </c>
    </row>
    <row r="4980" spans="2:5">
      <c r="B4980" s="943">
        <v>45130</v>
      </c>
      <c r="C4980" s="195">
        <f t="shared" si="155"/>
        <v>7</v>
      </c>
      <c r="D4980" s="195">
        <v>69.099999999999994</v>
      </c>
      <c r="E4980" s="705">
        <f t="shared" si="156"/>
        <v>20.611111111111107</v>
      </c>
    </row>
    <row r="4981" spans="2:5">
      <c r="B4981" s="943">
        <v>45130</v>
      </c>
      <c r="C4981" s="195">
        <f t="shared" si="155"/>
        <v>7</v>
      </c>
      <c r="D4981" s="195">
        <v>68.5</v>
      </c>
      <c r="E4981" s="705">
        <f t="shared" si="156"/>
        <v>20.277777777777779</v>
      </c>
    </row>
    <row r="4982" spans="2:5">
      <c r="B4982" s="943">
        <v>45130</v>
      </c>
      <c r="C4982" s="195">
        <f t="shared" si="155"/>
        <v>7</v>
      </c>
      <c r="D4982" s="195">
        <v>66.7</v>
      </c>
      <c r="E4982" s="705">
        <f t="shared" si="156"/>
        <v>19.277777777777779</v>
      </c>
    </row>
    <row r="4983" spans="2:5">
      <c r="B4983" s="943">
        <v>45130</v>
      </c>
      <c r="C4983" s="195">
        <f t="shared" si="155"/>
        <v>7</v>
      </c>
      <c r="D4983" s="195">
        <v>65.099999999999994</v>
      </c>
      <c r="E4983" s="705">
        <f t="shared" si="156"/>
        <v>18.388888888888886</v>
      </c>
    </row>
    <row r="4984" spans="2:5">
      <c r="B4984" s="943">
        <v>45130</v>
      </c>
      <c r="C4984" s="195">
        <f t="shared" si="155"/>
        <v>7</v>
      </c>
      <c r="D4984" s="195">
        <v>64.2</v>
      </c>
      <c r="E4984" s="705">
        <f t="shared" si="156"/>
        <v>17.888888888888889</v>
      </c>
    </row>
    <row r="4985" spans="2:5">
      <c r="B4985" s="943">
        <v>45130</v>
      </c>
      <c r="C4985" s="195">
        <f t="shared" si="155"/>
        <v>7</v>
      </c>
      <c r="D4985" s="195">
        <v>63.9</v>
      </c>
      <c r="E4985" s="705">
        <f t="shared" si="156"/>
        <v>17.722222222222221</v>
      </c>
    </row>
    <row r="4986" spans="2:5">
      <c r="B4986" s="943">
        <v>45130</v>
      </c>
      <c r="C4986" s="195">
        <f t="shared" si="155"/>
        <v>7</v>
      </c>
      <c r="D4986" s="195">
        <v>63.1</v>
      </c>
      <c r="E4986" s="705">
        <f t="shared" si="156"/>
        <v>17.277777777777779</v>
      </c>
    </row>
    <row r="4987" spans="2:5">
      <c r="B4987" s="943">
        <v>45130</v>
      </c>
      <c r="C4987" s="195">
        <f t="shared" si="155"/>
        <v>7</v>
      </c>
      <c r="D4987" s="195" t="s">
        <v>1444</v>
      </c>
      <c r="E4987" s="705">
        <f t="shared" si="156"/>
        <v>17.777777777777779</v>
      </c>
    </row>
    <row r="4988" spans="2:5">
      <c r="B4988" s="943">
        <v>45130</v>
      </c>
      <c r="C4988" s="195">
        <f t="shared" si="155"/>
        <v>7</v>
      </c>
      <c r="D4988" s="195">
        <v>64.400000000000006</v>
      </c>
      <c r="E4988" s="705">
        <f t="shared" si="156"/>
        <v>18.000000000000004</v>
      </c>
    </row>
    <row r="4989" spans="2:5">
      <c r="B4989" s="943">
        <v>45130</v>
      </c>
      <c r="C4989" s="195">
        <f t="shared" si="155"/>
        <v>7</v>
      </c>
      <c r="D4989" s="195">
        <v>65.099999999999994</v>
      </c>
      <c r="E4989" s="705">
        <f t="shared" si="156"/>
        <v>18.388888888888886</v>
      </c>
    </row>
    <row r="4990" spans="2:5">
      <c r="B4990" s="943">
        <v>45130</v>
      </c>
      <c r="C4990" s="195">
        <f t="shared" si="155"/>
        <v>7</v>
      </c>
      <c r="D4990" s="195">
        <v>66.900000000000006</v>
      </c>
      <c r="E4990" s="705">
        <f t="shared" si="156"/>
        <v>19.388888888888893</v>
      </c>
    </row>
    <row r="4991" spans="2:5">
      <c r="B4991" s="943">
        <v>45130</v>
      </c>
      <c r="C4991" s="195">
        <f t="shared" si="155"/>
        <v>7</v>
      </c>
      <c r="D4991" s="195">
        <v>68.400000000000006</v>
      </c>
      <c r="E4991" s="705">
        <f t="shared" si="156"/>
        <v>20.222222222222225</v>
      </c>
    </row>
    <row r="4992" spans="2:5">
      <c r="B4992" s="943">
        <v>45130</v>
      </c>
      <c r="C4992" s="195">
        <f t="shared" si="155"/>
        <v>7</v>
      </c>
      <c r="D4992" s="195">
        <v>69.400000000000006</v>
      </c>
      <c r="E4992" s="705">
        <f t="shared" si="156"/>
        <v>20.777777777777782</v>
      </c>
    </row>
    <row r="4993" spans="2:5">
      <c r="B4993" s="943">
        <v>45130</v>
      </c>
      <c r="C4993" s="195">
        <f t="shared" si="155"/>
        <v>7</v>
      </c>
      <c r="D4993" s="195">
        <v>69.8</v>
      </c>
      <c r="E4993" s="705">
        <f t="shared" si="156"/>
        <v>20.999999999999996</v>
      </c>
    </row>
    <row r="4994" spans="2:5">
      <c r="B4994" s="943">
        <v>45130</v>
      </c>
      <c r="C4994" s="195">
        <f t="shared" si="155"/>
        <v>7</v>
      </c>
      <c r="D4994" s="195">
        <v>69.099999999999994</v>
      </c>
      <c r="E4994" s="705">
        <f t="shared" si="156"/>
        <v>20.611111111111107</v>
      </c>
    </row>
    <row r="4995" spans="2:5">
      <c r="B4995" s="943">
        <v>45130</v>
      </c>
      <c r="C4995" s="195">
        <f t="shared" si="155"/>
        <v>7</v>
      </c>
      <c r="D4995" s="195" t="s">
        <v>1445</v>
      </c>
      <c r="E4995" s="705">
        <f t="shared" si="156"/>
        <v>18.888888888888889</v>
      </c>
    </row>
    <row r="4996" spans="2:5">
      <c r="B4996" s="943">
        <v>45130</v>
      </c>
      <c r="C4996" s="195">
        <f t="shared" si="155"/>
        <v>7</v>
      </c>
      <c r="D4996" s="195">
        <v>64.599999999999994</v>
      </c>
      <c r="E4996" s="705">
        <f t="shared" si="156"/>
        <v>18.111111111111107</v>
      </c>
    </row>
    <row r="4997" spans="2:5">
      <c r="B4997" s="943">
        <v>45130</v>
      </c>
      <c r="C4997" s="195">
        <f t="shared" si="155"/>
        <v>7</v>
      </c>
      <c r="D4997" s="195">
        <v>62.8</v>
      </c>
      <c r="E4997" s="705">
        <f t="shared" si="156"/>
        <v>17.111111111111111</v>
      </c>
    </row>
    <row r="4998" spans="2:5">
      <c r="B4998" s="943">
        <v>45130</v>
      </c>
      <c r="C4998" s="195">
        <f t="shared" si="155"/>
        <v>7</v>
      </c>
      <c r="D4998" s="195" t="s">
        <v>1443</v>
      </c>
      <c r="E4998" s="705">
        <f t="shared" si="156"/>
        <v>17.222222222222221</v>
      </c>
    </row>
    <row r="4999" spans="2:5">
      <c r="B4999" s="943">
        <v>45130</v>
      </c>
      <c r="C4999" s="195">
        <f t="shared" si="155"/>
        <v>7</v>
      </c>
      <c r="D4999" s="195" t="s">
        <v>1444</v>
      </c>
      <c r="E4999" s="705">
        <f t="shared" si="156"/>
        <v>17.777777777777779</v>
      </c>
    </row>
    <row r="5000" spans="2:5">
      <c r="B5000" s="943">
        <v>45130</v>
      </c>
      <c r="C5000" s="195">
        <f t="shared" si="155"/>
        <v>7</v>
      </c>
      <c r="D5000" s="195">
        <v>64.8</v>
      </c>
      <c r="E5000" s="705">
        <f t="shared" si="156"/>
        <v>18.222222222222221</v>
      </c>
    </row>
    <row r="5001" spans="2:5">
      <c r="B5001" s="943">
        <v>45131</v>
      </c>
      <c r="C5001" s="195">
        <f t="shared" si="155"/>
        <v>7</v>
      </c>
      <c r="D5001" s="195">
        <v>64.599999999999994</v>
      </c>
      <c r="E5001" s="705">
        <f t="shared" si="156"/>
        <v>18.111111111111107</v>
      </c>
    </row>
    <row r="5002" spans="2:5">
      <c r="B5002" s="943">
        <v>45131</v>
      </c>
      <c r="C5002" s="195">
        <f t="shared" ref="C5002:C5065" si="157">MONTH(B5002)</f>
        <v>7</v>
      </c>
      <c r="D5002" s="195" t="s">
        <v>1445</v>
      </c>
      <c r="E5002" s="705">
        <f t="shared" ref="E5002:E5065" si="158">CONVERT(D5002,"F","C")</f>
        <v>18.888888888888889</v>
      </c>
    </row>
    <row r="5003" spans="2:5">
      <c r="B5003" s="943">
        <v>45131</v>
      </c>
      <c r="C5003" s="195">
        <f t="shared" si="157"/>
        <v>7</v>
      </c>
      <c r="D5003" s="195">
        <v>68.2</v>
      </c>
      <c r="E5003" s="705">
        <f t="shared" si="158"/>
        <v>20.111111111111111</v>
      </c>
    </row>
    <row r="5004" spans="2:5">
      <c r="B5004" s="943">
        <v>45131</v>
      </c>
      <c r="C5004" s="195">
        <f t="shared" si="157"/>
        <v>7</v>
      </c>
      <c r="D5004" s="195">
        <v>69.400000000000006</v>
      </c>
      <c r="E5004" s="705">
        <f t="shared" si="158"/>
        <v>20.777777777777782</v>
      </c>
    </row>
    <row r="5005" spans="2:5">
      <c r="B5005" s="943">
        <v>45131</v>
      </c>
      <c r="C5005" s="195">
        <f t="shared" si="157"/>
        <v>7</v>
      </c>
      <c r="D5005" s="195" t="s">
        <v>1447</v>
      </c>
      <c r="E5005" s="705">
        <f t="shared" si="158"/>
        <v>21.111111111111111</v>
      </c>
    </row>
    <row r="5006" spans="2:5">
      <c r="B5006" s="943">
        <v>45131</v>
      </c>
      <c r="C5006" s="195">
        <f t="shared" si="157"/>
        <v>7</v>
      </c>
      <c r="D5006" s="195">
        <v>69.099999999999994</v>
      </c>
      <c r="E5006" s="705">
        <f t="shared" si="158"/>
        <v>20.611111111111107</v>
      </c>
    </row>
    <row r="5007" spans="2:5">
      <c r="B5007" s="943">
        <v>45131</v>
      </c>
      <c r="C5007" s="195">
        <f t="shared" si="157"/>
        <v>7</v>
      </c>
      <c r="D5007" s="195" t="s">
        <v>1446</v>
      </c>
      <c r="E5007" s="705">
        <f t="shared" si="158"/>
        <v>20</v>
      </c>
    </row>
    <row r="5008" spans="2:5">
      <c r="B5008" s="943">
        <v>45131</v>
      </c>
      <c r="C5008" s="195">
        <f t="shared" si="157"/>
        <v>7</v>
      </c>
      <c r="D5008" s="195">
        <v>64.400000000000006</v>
      </c>
      <c r="E5008" s="705">
        <f t="shared" si="158"/>
        <v>18.000000000000004</v>
      </c>
    </row>
    <row r="5009" spans="2:5">
      <c r="B5009" s="943">
        <v>45131</v>
      </c>
      <c r="C5009" s="195">
        <f t="shared" si="157"/>
        <v>7</v>
      </c>
      <c r="D5009" s="195">
        <v>61.5</v>
      </c>
      <c r="E5009" s="705">
        <f t="shared" si="158"/>
        <v>16.388888888888889</v>
      </c>
    </row>
    <row r="5010" spans="2:5">
      <c r="B5010" s="943">
        <v>45131</v>
      </c>
      <c r="C5010" s="195">
        <f t="shared" si="157"/>
        <v>7</v>
      </c>
      <c r="D5010" s="195">
        <v>60.6</v>
      </c>
      <c r="E5010" s="705">
        <f t="shared" si="158"/>
        <v>15.888888888888889</v>
      </c>
    </row>
    <row r="5011" spans="2:5">
      <c r="B5011" s="943">
        <v>45131</v>
      </c>
      <c r="C5011" s="195">
        <f t="shared" si="157"/>
        <v>7</v>
      </c>
      <c r="D5011" s="195">
        <v>60.6</v>
      </c>
      <c r="E5011" s="705">
        <f t="shared" si="158"/>
        <v>15.888888888888889</v>
      </c>
    </row>
    <row r="5012" spans="2:5">
      <c r="B5012" s="943">
        <v>45131</v>
      </c>
      <c r="C5012" s="195">
        <f t="shared" si="157"/>
        <v>7</v>
      </c>
      <c r="D5012" s="195">
        <v>62.1</v>
      </c>
      <c r="E5012" s="705">
        <f t="shared" si="158"/>
        <v>16.722222222222221</v>
      </c>
    </row>
    <row r="5013" spans="2:5">
      <c r="B5013" s="943">
        <v>45131</v>
      </c>
      <c r="C5013" s="195">
        <f t="shared" si="157"/>
        <v>7</v>
      </c>
      <c r="D5013" s="195">
        <v>62.6</v>
      </c>
      <c r="E5013" s="705">
        <f t="shared" si="158"/>
        <v>17</v>
      </c>
    </row>
    <row r="5014" spans="2:5">
      <c r="B5014" s="943">
        <v>45131</v>
      </c>
      <c r="C5014" s="195">
        <f t="shared" si="157"/>
        <v>7</v>
      </c>
      <c r="D5014" s="195">
        <v>64.8</v>
      </c>
      <c r="E5014" s="705">
        <f t="shared" si="158"/>
        <v>18.222222222222221</v>
      </c>
    </row>
    <row r="5015" spans="2:5">
      <c r="B5015" s="943">
        <v>45131</v>
      </c>
      <c r="C5015" s="195">
        <f t="shared" si="157"/>
        <v>7</v>
      </c>
      <c r="D5015" s="195">
        <v>67.599999999999994</v>
      </c>
      <c r="E5015" s="705">
        <f t="shared" si="158"/>
        <v>19.777777777777775</v>
      </c>
    </row>
    <row r="5016" spans="2:5">
      <c r="B5016" s="943">
        <v>45131</v>
      </c>
      <c r="C5016" s="195">
        <f t="shared" si="157"/>
        <v>7</v>
      </c>
      <c r="D5016" s="195">
        <v>69.400000000000006</v>
      </c>
      <c r="E5016" s="705">
        <f t="shared" si="158"/>
        <v>20.777777777777782</v>
      </c>
    </row>
    <row r="5017" spans="2:5">
      <c r="B5017" s="943">
        <v>45131</v>
      </c>
      <c r="C5017" s="195">
        <f t="shared" si="157"/>
        <v>7</v>
      </c>
      <c r="D5017" s="195">
        <v>70.2</v>
      </c>
      <c r="E5017" s="705">
        <f t="shared" si="158"/>
        <v>21.222222222222225</v>
      </c>
    </row>
    <row r="5018" spans="2:5">
      <c r="B5018" s="943">
        <v>45131</v>
      </c>
      <c r="C5018" s="195">
        <f t="shared" si="157"/>
        <v>7</v>
      </c>
      <c r="D5018" s="195">
        <v>70.3</v>
      </c>
      <c r="E5018" s="705">
        <f t="shared" si="158"/>
        <v>21.277777777777775</v>
      </c>
    </row>
    <row r="5019" spans="2:5">
      <c r="B5019" s="943">
        <v>45131</v>
      </c>
      <c r="C5019" s="195">
        <f t="shared" si="157"/>
        <v>7</v>
      </c>
      <c r="D5019" s="195">
        <v>67.8</v>
      </c>
      <c r="E5019" s="705">
        <f t="shared" si="158"/>
        <v>19.888888888888886</v>
      </c>
    </row>
    <row r="5020" spans="2:5">
      <c r="B5020" s="943">
        <v>45131</v>
      </c>
      <c r="C5020" s="195">
        <f t="shared" si="157"/>
        <v>7</v>
      </c>
      <c r="D5020" s="195">
        <v>63.9</v>
      </c>
      <c r="E5020" s="705">
        <f t="shared" si="158"/>
        <v>17.722222222222221</v>
      </c>
    </row>
    <row r="5021" spans="2:5">
      <c r="B5021" s="943">
        <v>45131</v>
      </c>
      <c r="C5021" s="195">
        <f t="shared" si="157"/>
        <v>7</v>
      </c>
      <c r="D5021" s="195">
        <v>62.4</v>
      </c>
      <c r="E5021" s="705">
        <f t="shared" si="158"/>
        <v>16.888888888888889</v>
      </c>
    </row>
    <row r="5022" spans="2:5">
      <c r="B5022" s="943">
        <v>45131</v>
      </c>
      <c r="C5022" s="195">
        <f t="shared" si="157"/>
        <v>7</v>
      </c>
      <c r="D5022" s="195">
        <v>61.7</v>
      </c>
      <c r="E5022" s="705">
        <f t="shared" si="158"/>
        <v>16.5</v>
      </c>
    </row>
    <row r="5023" spans="2:5">
      <c r="B5023" s="943">
        <v>45131</v>
      </c>
      <c r="C5023" s="195">
        <f t="shared" si="157"/>
        <v>7</v>
      </c>
      <c r="D5023" s="195">
        <v>61.2</v>
      </c>
      <c r="E5023" s="705">
        <f t="shared" si="158"/>
        <v>16.222222222222225</v>
      </c>
    </row>
    <row r="5024" spans="2:5">
      <c r="B5024" s="943">
        <v>45131</v>
      </c>
      <c r="C5024" s="195">
        <f t="shared" si="157"/>
        <v>7</v>
      </c>
      <c r="D5024" s="195">
        <v>62.2</v>
      </c>
      <c r="E5024" s="705">
        <f t="shared" si="158"/>
        <v>16.777777777777779</v>
      </c>
    </row>
    <row r="5025" spans="2:5">
      <c r="B5025" s="943">
        <v>45132</v>
      </c>
      <c r="C5025" s="195">
        <f t="shared" si="157"/>
        <v>7</v>
      </c>
      <c r="D5025" s="195">
        <v>61.3</v>
      </c>
      <c r="E5025" s="705">
        <f t="shared" si="158"/>
        <v>16.277777777777775</v>
      </c>
    </row>
    <row r="5026" spans="2:5">
      <c r="B5026" s="943">
        <v>45132</v>
      </c>
      <c r="C5026" s="195">
        <f t="shared" si="157"/>
        <v>7</v>
      </c>
      <c r="D5026" s="195" t="s">
        <v>1443</v>
      </c>
      <c r="E5026" s="705">
        <f t="shared" si="158"/>
        <v>17.222222222222221</v>
      </c>
    </row>
    <row r="5027" spans="2:5">
      <c r="B5027" s="943">
        <v>45132</v>
      </c>
      <c r="C5027" s="195">
        <f t="shared" si="157"/>
        <v>7</v>
      </c>
      <c r="D5027" s="195">
        <v>65.7</v>
      </c>
      <c r="E5027" s="705">
        <f t="shared" si="158"/>
        <v>18.722222222222225</v>
      </c>
    </row>
    <row r="5028" spans="2:5">
      <c r="B5028" s="943">
        <v>45132</v>
      </c>
      <c r="C5028" s="195">
        <f t="shared" si="157"/>
        <v>7</v>
      </c>
      <c r="D5028" s="195" t="s">
        <v>1446</v>
      </c>
      <c r="E5028" s="705">
        <f t="shared" si="158"/>
        <v>20</v>
      </c>
    </row>
    <row r="5029" spans="2:5">
      <c r="B5029" s="943">
        <v>45132</v>
      </c>
      <c r="C5029" s="195">
        <f t="shared" si="157"/>
        <v>7</v>
      </c>
      <c r="D5029" s="195">
        <v>69.400000000000006</v>
      </c>
      <c r="E5029" s="705">
        <f t="shared" si="158"/>
        <v>20.777777777777782</v>
      </c>
    </row>
    <row r="5030" spans="2:5">
      <c r="B5030" s="943">
        <v>45132</v>
      </c>
      <c r="C5030" s="195">
        <f t="shared" si="157"/>
        <v>7</v>
      </c>
      <c r="D5030" s="195" t="s">
        <v>1447</v>
      </c>
      <c r="E5030" s="705">
        <f t="shared" si="158"/>
        <v>21.111111111111111</v>
      </c>
    </row>
    <row r="5031" spans="2:5">
      <c r="B5031" s="943">
        <v>45132</v>
      </c>
      <c r="C5031" s="195">
        <f t="shared" si="157"/>
        <v>7</v>
      </c>
      <c r="D5031" s="195">
        <v>68.2</v>
      </c>
      <c r="E5031" s="705">
        <f t="shared" si="158"/>
        <v>20.111111111111111</v>
      </c>
    </row>
    <row r="5032" spans="2:5">
      <c r="B5032" s="943">
        <v>45132</v>
      </c>
      <c r="C5032" s="195">
        <f t="shared" si="157"/>
        <v>7</v>
      </c>
      <c r="D5032" s="195">
        <v>64.599999999999994</v>
      </c>
      <c r="E5032" s="705">
        <f t="shared" si="158"/>
        <v>18.111111111111107</v>
      </c>
    </row>
    <row r="5033" spans="2:5">
      <c r="B5033" s="943">
        <v>45132</v>
      </c>
      <c r="C5033" s="195">
        <f t="shared" si="157"/>
        <v>7</v>
      </c>
      <c r="D5033" s="195">
        <v>64.2</v>
      </c>
      <c r="E5033" s="705">
        <f t="shared" si="158"/>
        <v>17.888888888888889</v>
      </c>
    </row>
    <row r="5034" spans="2:5">
      <c r="B5034" s="943">
        <v>45132</v>
      </c>
      <c r="C5034" s="195">
        <f t="shared" si="157"/>
        <v>7</v>
      </c>
      <c r="D5034" s="195">
        <v>61.3</v>
      </c>
      <c r="E5034" s="705">
        <f t="shared" si="158"/>
        <v>16.277777777777775</v>
      </c>
    </row>
    <row r="5035" spans="2:5">
      <c r="B5035" s="943">
        <v>45132</v>
      </c>
      <c r="C5035" s="195">
        <f t="shared" si="157"/>
        <v>7</v>
      </c>
      <c r="D5035" s="195">
        <v>59.9</v>
      </c>
      <c r="E5035" s="705">
        <f t="shared" si="158"/>
        <v>15.499999999999998</v>
      </c>
    </row>
    <row r="5036" spans="2:5">
      <c r="B5036" s="943">
        <v>45132</v>
      </c>
      <c r="C5036" s="195">
        <f t="shared" si="157"/>
        <v>7</v>
      </c>
      <c r="D5036" s="195">
        <v>59.5</v>
      </c>
      <c r="E5036" s="705">
        <f t="shared" si="158"/>
        <v>15.277777777777777</v>
      </c>
    </row>
    <row r="5037" spans="2:5">
      <c r="B5037" s="943">
        <v>45132</v>
      </c>
      <c r="C5037" s="195">
        <f t="shared" si="157"/>
        <v>7</v>
      </c>
      <c r="D5037" s="195">
        <v>60.8</v>
      </c>
      <c r="E5037" s="705">
        <f t="shared" si="158"/>
        <v>15.999999999999998</v>
      </c>
    </row>
    <row r="5038" spans="2:5">
      <c r="B5038" s="943">
        <v>45132</v>
      </c>
      <c r="C5038" s="195">
        <f t="shared" si="157"/>
        <v>7</v>
      </c>
      <c r="D5038" s="195">
        <v>62.4</v>
      </c>
      <c r="E5038" s="705">
        <f t="shared" si="158"/>
        <v>16.888888888888889</v>
      </c>
    </row>
    <row r="5039" spans="2:5">
      <c r="B5039" s="943">
        <v>45132</v>
      </c>
      <c r="C5039" s="195">
        <f t="shared" si="157"/>
        <v>7</v>
      </c>
      <c r="D5039" s="195">
        <v>64.599999999999994</v>
      </c>
      <c r="E5039" s="705">
        <f t="shared" si="158"/>
        <v>18.111111111111107</v>
      </c>
    </row>
    <row r="5040" spans="2:5">
      <c r="B5040" s="943">
        <v>45132</v>
      </c>
      <c r="C5040" s="195">
        <f t="shared" si="157"/>
        <v>7</v>
      </c>
      <c r="D5040" s="195">
        <v>67.599999999999994</v>
      </c>
      <c r="E5040" s="705">
        <f t="shared" si="158"/>
        <v>19.777777777777775</v>
      </c>
    </row>
    <row r="5041" spans="2:5">
      <c r="B5041" s="943">
        <v>45132</v>
      </c>
      <c r="C5041" s="195">
        <f t="shared" si="157"/>
        <v>7</v>
      </c>
      <c r="D5041" s="195">
        <v>69.3</v>
      </c>
      <c r="E5041" s="705">
        <f t="shared" si="158"/>
        <v>20.722222222222221</v>
      </c>
    </row>
    <row r="5042" spans="2:5">
      <c r="B5042" s="943">
        <v>45132</v>
      </c>
      <c r="C5042" s="195">
        <f t="shared" si="157"/>
        <v>7</v>
      </c>
      <c r="D5042" s="195" t="s">
        <v>1447</v>
      </c>
      <c r="E5042" s="705">
        <f t="shared" si="158"/>
        <v>21.111111111111111</v>
      </c>
    </row>
    <row r="5043" spans="2:5">
      <c r="B5043" s="943">
        <v>45132</v>
      </c>
      <c r="C5043" s="195">
        <f t="shared" si="157"/>
        <v>7</v>
      </c>
      <c r="D5043" s="195">
        <v>68.900000000000006</v>
      </c>
      <c r="E5043" s="705">
        <f t="shared" si="158"/>
        <v>20.500000000000004</v>
      </c>
    </row>
    <row r="5044" spans="2:5">
      <c r="B5044" s="943">
        <v>45132</v>
      </c>
      <c r="C5044" s="195">
        <f t="shared" si="157"/>
        <v>7</v>
      </c>
      <c r="D5044" s="195" t="s">
        <v>1445</v>
      </c>
      <c r="E5044" s="705">
        <f t="shared" si="158"/>
        <v>18.888888888888889</v>
      </c>
    </row>
    <row r="5045" spans="2:5">
      <c r="B5045" s="943">
        <v>45132</v>
      </c>
      <c r="C5045" s="195">
        <f t="shared" si="157"/>
        <v>7</v>
      </c>
      <c r="D5045" s="195" t="s">
        <v>1444</v>
      </c>
      <c r="E5045" s="705">
        <f t="shared" si="158"/>
        <v>17.777777777777779</v>
      </c>
    </row>
    <row r="5046" spans="2:5">
      <c r="B5046" s="943">
        <v>45132</v>
      </c>
      <c r="C5046" s="195">
        <f t="shared" si="157"/>
        <v>7</v>
      </c>
      <c r="D5046" s="195">
        <v>62.4</v>
      </c>
      <c r="E5046" s="705">
        <f t="shared" si="158"/>
        <v>16.888888888888889</v>
      </c>
    </row>
    <row r="5047" spans="2:5">
      <c r="B5047" s="943">
        <v>45132</v>
      </c>
      <c r="C5047" s="195">
        <f t="shared" si="157"/>
        <v>7</v>
      </c>
      <c r="D5047" s="195">
        <v>60.6</v>
      </c>
      <c r="E5047" s="705">
        <f t="shared" si="158"/>
        <v>15.888888888888889</v>
      </c>
    </row>
    <row r="5048" spans="2:5">
      <c r="B5048" s="943">
        <v>45132</v>
      </c>
      <c r="C5048" s="195">
        <f t="shared" si="157"/>
        <v>7</v>
      </c>
      <c r="D5048" s="195">
        <v>59.7</v>
      </c>
      <c r="E5048" s="705">
        <f t="shared" si="158"/>
        <v>15.388888888888889</v>
      </c>
    </row>
    <row r="5049" spans="2:5">
      <c r="B5049" s="943">
        <v>45133</v>
      </c>
      <c r="C5049" s="195">
        <f t="shared" si="157"/>
        <v>7</v>
      </c>
      <c r="D5049" s="195">
        <v>60.8</v>
      </c>
      <c r="E5049" s="705">
        <f t="shared" si="158"/>
        <v>15.999999999999998</v>
      </c>
    </row>
    <row r="5050" spans="2:5">
      <c r="B5050" s="943">
        <v>45133</v>
      </c>
      <c r="C5050" s="195">
        <f t="shared" si="157"/>
        <v>7</v>
      </c>
      <c r="D5050" s="195">
        <v>61.2</v>
      </c>
      <c r="E5050" s="705">
        <f t="shared" si="158"/>
        <v>16.222222222222225</v>
      </c>
    </row>
    <row r="5051" spans="2:5">
      <c r="B5051" s="943">
        <v>45133</v>
      </c>
      <c r="C5051" s="195">
        <f t="shared" si="157"/>
        <v>7</v>
      </c>
      <c r="D5051" s="195">
        <v>62.8</v>
      </c>
      <c r="E5051" s="705">
        <f t="shared" si="158"/>
        <v>17.111111111111111</v>
      </c>
    </row>
    <row r="5052" spans="2:5">
      <c r="B5052" s="943">
        <v>45133</v>
      </c>
      <c r="C5052" s="195">
        <f t="shared" si="157"/>
        <v>7</v>
      </c>
      <c r="D5052" s="195">
        <v>65.7</v>
      </c>
      <c r="E5052" s="705">
        <f t="shared" si="158"/>
        <v>18.722222222222225</v>
      </c>
    </row>
    <row r="5053" spans="2:5">
      <c r="B5053" s="943">
        <v>45133</v>
      </c>
      <c r="C5053" s="195">
        <f t="shared" si="157"/>
        <v>7</v>
      </c>
      <c r="D5053" s="195">
        <v>68.2</v>
      </c>
      <c r="E5053" s="705">
        <f t="shared" si="158"/>
        <v>20.111111111111111</v>
      </c>
    </row>
    <row r="5054" spans="2:5">
      <c r="B5054" s="943">
        <v>45133</v>
      </c>
      <c r="C5054" s="195">
        <f t="shared" si="157"/>
        <v>7</v>
      </c>
      <c r="D5054" s="195">
        <v>69.3</v>
      </c>
      <c r="E5054" s="705">
        <f t="shared" si="158"/>
        <v>20.722222222222221</v>
      </c>
    </row>
    <row r="5055" spans="2:5">
      <c r="B5055" s="943">
        <v>45133</v>
      </c>
      <c r="C5055" s="195">
        <f t="shared" si="157"/>
        <v>7</v>
      </c>
      <c r="D5055" s="195">
        <v>69.599999999999994</v>
      </c>
      <c r="E5055" s="705">
        <f t="shared" si="158"/>
        <v>20.888888888888886</v>
      </c>
    </row>
    <row r="5056" spans="2:5">
      <c r="B5056" s="943">
        <v>45133</v>
      </c>
      <c r="C5056" s="195">
        <f t="shared" si="157"/>
        <v>7</v>
      </c>
      <c r="D5056" s="195">
        <v>68.5</v>
      </c>
      <c r="E5056" s="705">
        <f t="shared" si="158"/>
        <v>20.277777777777779</v>
      </c>
    </row>
    <row r="5057" spans="2:5">
      <c r="B5057" s="943">
        <v>45133</v>
      </c>
      <c r="C5057" s="195">
        <f t="shared" si="157"/>
        <v>7</v>
      </c>
      <c r="D5057" s="195">
        <v>62.8</v>
      </c>
      <c r="E5057" s="705">
        <f t="shared" si="158"/>
        <v>17.111111111111111</v>
      </c>
    </row>
    <row r="5058" spans="2:5">
      <c r="B5058" s="943">
        <v>45133</v>
      </c>
      <c r="C5058" s="195">
        <f t="shared" si="157"/>
        <v>7</v>
      </c>
      <c r="D5058" s="195">
        <v>61.7</v>
      </c>
      <c r="E5058" s="705">
        <f t="shared" si="158"/>
        <v>16.5</v>
      </c>
    </row>
    <row r="5059" spans="2:5">
      <c r="B5059" s="943">
        <v>45133</v>
      </c>
      <c r="C5059" s="195">
        <f t="shared" si="157"/>
        <v>7</v>
      </c>
      <c r="D5059" s="195">
        <v>58.6</v>
      </c>
      <c r="E5059" s="705">
        <f t="shared" si="158"/>
        <v>14.777777777777779</v>
      </c>
    </row>
    <row r="5060" spans="2:5">
      <c r="B5060" s="943">
        <v>45133</v>
      </c>
      <c r="C5060" s="195">
        <f t="shared" si="157"/>
        <v>7</v>
      </c>
      <c r="D5060" s="195">
        <v>57.4</v>
      </c>
      <c r="E5060" s="705">
        <f t="shared" si="158"/>
        <v>14.111111111111111</v>
      </c>
    </row>
    <row r="5061" spans="2:5">
      <c r="B5061" s="943">
        <v>45133</v>
      </c>
      <c r="C5061" s="195">
        <f t="shared" si="157"/>
        <v>7</v>
      </c>
      <c r="D5061" s="195">
        <v>60.6</v>
      </c>
      <c r="E5061" s="705">
        <f t="shared" si="158"/>
        <v>15.888888888888889</v>
      </c>
    </row>
    <row r="5062" spans="2:5">
      <c r="B5062" s="943">
        <v>45133</v>
      </c>
      <c r="C5062" s="195">
        <f t="shared" si="157"/>
        <v>7</v>
      </c>
      <c r="D5062" s="195">
        <v>58.8</v>
      </c>
      <c r="E5062" s="705">
        <f t="shared" si="158"/>
        <v>14.888888888888888</v>
      </c>
    </row>
    <row r="5063" spans="2:5">
      <c r="B5063" s="943">
        <v>45133</v>
      </c>
      <c r="C5063" s="195">
        <f t="shared" si="157"/>
        <v>7</v>
      </c>
      <c r="D5063" s="195">
        <v>60.6</v>
      </c>
      <c r="E5063" s="705">
        <f t="shared" si="158"/>
        <v>15.888888888888889</v>
      </c>
    </row>
    <row r="5064" spans="2:5">
      <c r="B5064" s="943">
        <v>45133</v>
      </c>
      <c r="C5064" s="195">
        <f t="shared" si="157"/>
        <v>7</v>
      </c>
      <c r="D5064" s="195">
        <v>63.9</v>
      </c>
      <c r="E5064" s="705">
        <f t="shared" si="158"/>
        <v>17.722222222222221</v>
      </c>
    </row>
    <row r="5065" spans="2:5">
      <c r="B5065" s="943">
        <v>45133</v>
      </c>
      <c r="C5065" s="195">
        <f t="shared" si="157"/>
        <v>7</v>
      </c>
      <c r="D5065" s="195">
        <v>67.099999999999994</v>
      </c>
      <c r="E5065" s="705">
        <f t="shared" si="158"/>
        <v>19.499999999999996</v>
      </c>
    </row>
    <row r="5066" spans="2:5">
      <c r="B5066" s="943">
        <v>45133</v>
      </c>
      <c r="C5066" s="195">
        <f t="shared" ref="C5066:C5129" si="159">MONTH(B5066)</f>
        <v>7</v>
      </c>
      <c r="D5066" s="195">
        <v>69.3</v>
      </c>
      <c r="E5066" s="705">
        <f t="shared" ref="E5066:E5129" si="160">CONVERT(D5066,"F","C")</f>
        <v>20.722222222222221</v>
      </c>
    </row>
    <row r="5067" spans="2:5">
      <c r="B5067" s="943">
        <v>45133</v>
      </c>
      <c r="C5067" s="195">
        <f t="shared" si="159"/>
        <v>7</v>
      </c>
      <c r="D5067" s="195" t="s">
        <v>1447</v>
      </c>
      <c r="E5067" s="705">
        <f t="shared" si="160"/>
        <v>21.111111111111111</v>
      </c>
    </row>
    <row r="5068" spans="2:5">
      <c r="B5068" s="943">
        <v>45133</v>
      </c>
      <c r="C5068" s="195">
        <f t="shared" si="159"/>
        <v>7</v>
      </c>
      <c r="D5068" s="195">
        <v>67.099999999999994</v>
      </c>
      <c r="E5068" s="705">
        <f t="shared" si="160"/>
        <v>19.499999999999996</v>
      </c>
    </row>
    <row r="5069" spans="2:5">
      <c r="B5069" s="943">
        <v>45133</v>
      </c>
      <c r="C5069" s="195">
        <f t="shared" si="159"/>
        <v>7</v>
      </c>
      <c r="D5069" s="195">
        <v>62.2</v>
      </c>
      <c r="E5069" s="705">
        <f t="shared" si="160"/>
        <v>16.777777777777779</v>
      </c>
    </row>
    <row r="5070" spans="2:5">
      <c r="B5070" s="943">
        <v>45133</v>
      </c>
      <c r="C5070" s="195">
        <f t="shared" si="159"/>
        <v>7</v>
      </c>
      <c r="D5070" s="195">
        <v>61.7</v>
      </c>
      <c r="E5070" s="705">
        <f t="shared" si="160"/>
        <v>16.5</v>
      </c>
    </row>
    <row r="5071" spans="2:5">
      <c r="B5071" s="943">
        <v>45133</v>
      </c>
      <c r="C5071" s="195">
        <f t="shared" si="159"/>
        <v>7</v>
      </c>
      <c r="D5071" s="195">
        <v>60.8</v>
      </c>
      <c r="E5071" s="705">
        <f t="shared" si="160"/>
        <v>15.999999999999998</v>
      </c>
    </row>
    <row r="5072" spans="2:5">
      <c r="B5072" s="943">
        <v>45133</v>
      </c>
      <c r="C5072" s="195">
        <f t="shared" si="159"/>
        <v>7</v>
      </c>
      <c r="D5072" s="195">
        <v>59.2</v>
      </c>
      <c r="E5072" s="705">
        <f t="shared" si="160"/>
        <v>15.111111111111112</v>
      </c>
    </row>
    <row r="5073" spans="2:5">
      <c r="B5073" s="943">
        <v>45134</v>
      </c>
      <c r="C5073" s="195">
        <f t="shared" si="159"/>
        <v>7</v>
      </c>
      <c r="D5073" s="195" t="s">
        <v>1441</v>
      </c>
      <c r="E5073" s="705">
        <f t="shared" si="160"/>
        <v>15</v>
      </c>
    </row>
    <row r="5074" spans="2:5">
      <c r="B5074" s="943">
        <v>45134</v>
      </c>
      <c r="C5074" s="195">
        <f t="shared" si="159"/>
        <v>7</v>
      </c>
      <c r="D5074" s="195" t="s">
        <v>1441</v>
      </c>
      <c r="E5074" s="705">
        <f t="shared" si="160"/>
        <v>15</v>
      </c>
    </row>
    <row r="5075" spans="2:5">
      <c r="B5075" s="943">
        <v>45134</v>
      </c>
      <c r="C5075" s="195">
        <f t="shared" si="159"/>
        <v>7</v>
      </c>
      <c r="D5075" s="195">
        <v>59.9</v>
      </c>
      <c r="E5075" s="705">
        <f t="shared" si="160"/>
        <v>15.499999999999998</v>
      </c>
    </row>
    <row r="5076" spans="2:5">
      <c r="B5076" s="943">
        <v>45134</v>
      </c>
      <c r="C5076" s="195">
        <f t="shared" si="159"/>
        <v>7</v>
      </c>
      <c r="D5076" s="195">
        <v>61.7</v>
      </c>
      <c r="E5076" s="705">
        <f t="shared" si="160"/>
        <v>16.5</v>
      </c>
    </row>
    <row r="5077" spans="2:5">
      <c r="B5077" s="943">
        <v>45134</v>
      </c>
      <c r="C5077" s="195">
        <f t="shared" si="159"/>
        <v>7</v>
      </c>
      <c r="D5077" s="195">
        <v>65.3</v>
      </c>
      <c r="E5077" s="705">
        <f t="shared" si="160"/>
        <v>18.499999999999996</v>
      </c>
    </row>
    <row r="5078" spans="2:5">
      <c r="B5078" s="943">
        <v>45134</v>
      </c>
      <c r="C5078" s="195">
        <f t="shared" si="159"/>
        <v>7</v>
      </c>
      <c r="D5078" s="195">
        <v>67.599999999999994</v>
      </c>
      <c r="E5078" s="705">
        <f t="shared" si="160"/>
        <v>19.777777777777775</v>
      </c>
    </row>
    <row r="5079" spans="2:5">
      <c r="B5079" s="943">
        <v>45134</v>
      </c>
      <c r="C5079" s="195">
        <f t="shared" si="159"/>
        <v>7</v>
      </c>
      <c r="D5079" s="195">
        <v>68.900000000000006</v>
      </c>
      <c r="E5079" s="705">
        <f t="shared" si="160"/>
        <v>20.500000000000004</v>
      </c>
    </row>
    <row r="5080" spans="2:5">
      <c r="B5080" s="943">
        <v>45134</v>
      </c>
      <c r="C5080" s="195">
        <f t="shared" si="159"/>
        <v>7</v>
      </c>
      <c r="D5080" s="195">
        <v>69.3</v>
      </c>
      <c r="E5080" s="705">
        <f t="shared" si="160"/>
        <v>20.722222222222221</v>
      </c>
    </row>
    <row r="5081" spans="2:5">
      <c r="B5081" s="943">
        <v>45134</v>
      </c>
      <c r="C5081" s="195">
        <f t="shared" si="159"/>
        <v>7</v>
      </c>
      <c r="D5081" s="195">
        <v>68.2</v>
      </c>
      <c r="E5081" s="705">
        <f t="shared" si="160"/>
        <v>20.111111111111111</v>
      </c>
    </row>
    <row r="5082" spans="2:5">
      <c r="B5082" s="943">
        <v>45134</v>
      </c>
      <c r="C5082" s="195">
        <f t="shared" si="159"/>
        <v>7</v>
      </c>
      <c r="D5082" s="195">
        <v>63.5</v>
      </c>
      <c r="E5082" s="705">
        <f t="shared" si="160"/>
        <v>17.5</v>
      </c>
    </row>
    <row r="5083" spans="2:5">
      <c r="B5083" s="943">
        <v>45134</v>
      </c>
      <c r="C5083" s="195">
        <f t="shared" si="159"/>
        <v>7</v>
      </c>
      <c r="D5083" s="195">
        <v>60.4</v>
      </c>
      <c r="E5083" s="705">
        <f t="shared" si="160"/>
        <v>15.777777777777777</v>
      </c>
    </row>
    <row r="5084" spans="2:5">
      <c r="B5084" s="943">
        <v>45134</v>
      </c>
      <c r="C5084" s="195">
        <f t="shared" si="159"/>
        <v>7</v>
      </c>
      <c r="D5084" s="195">
        <v>59.4</v>
      </c>
      <c r="E5084" s="705">
        <f t="shared" si="160"/>
        <v>15.222222222222221</v>
      </c>
    </row>
    <row r="5085" spans="2:5">
      <c r="B5085" s="943">
        <v>45134</v>
      </c>
      <c r="C5085" s="195">
        <f t="shared" si="159"/>
        <v>7</v>
      </c>
      <c r="D5085" s="195">
        <v>58.1</v>
      </c>
      <c r="E5085" s="705">
        <f t="shared" si="160"/>
        <v>14.5</v>
      </c>
    </row>
    <row r="5086" spans="2:5">
      <c r="B5086" s="943">
        <v>45134</v>
      </c>
      <c r="C5086" s="195">
        <f t="shared" si="159"/>
        <v>7</v>
      </c>
      <c r="D5086" s="195" t="s">
        <v>1441</v>
      </c>
      <c r="E5086" s="705">
        <f t="shared" si="160"/>
        <v>15</v>
      </c>
    </row>
    <row r="5087" spans="2:5">
      <c r="B5087" s="943">
        <v>45134</v>
      </c>
      <c r="C5087" s="195">
        <f t="shared" si="159"/>
        <v>7</v>
      </c>
      <c r="D5087" s="195" t="s">
        <v>1441</v>
      </c>
      <c r="E5087" s="705">
        <f t="shared" si="160"/>
        <v>15</v>
      </c>
    </row>
    <row r="5088" spans="2:5">
      <c r="B5088" s="943">
        <v>45134</v>
      </c>
      <c r="C5088" s="195">
        <f t="shared" si="159"/>
        <v>7</v>
      </c>
      <c r="D5088" s="195">
        <v>60.6</v>
      </c>
      <c r="E5088" s="705">
        <f t="shared" si="160"/>
        <v>15.888888888888889</v>
      </c>
    </row>
    <row r="5089" spans="2:5">
      <c r="B5089" s="943">
        <v>45134</v>
      </c>
      <c r="C5089" s="195">
        <f t="shared" si="159"/>
        <v>7</v>
      </c>
      <c r="D5089" s="195">
        <v>63.5</v>
      </c>
      <c r="E5089" s="705">
        <f t="shared" si="160"/>
        <v>17.5</v>
      </c>
    </row>
    <row r="5090" spans="2:5">
      <c r="B5090" s="943">
        <v>45134</v>
      </c>
      <c r="C5090" s="195">
        <f t="shared" si="159"/>
        <v>7</v>
      </c>
      <c r="D5090" s="195">
        <v>66.599999999999994</v>
      </c>
      <c r="E5090" s="705">
        <f t="shared" si="160"/>
        <v>19.222222222222218</v>
      </c>
    </row>
    <row r="5091" spans="2:5">
      <c r="B5091" s="943">
        <v>45134</v>
      </c>
      <c r="C5091" s="195">
        <f t="shared" si="159"/>
        <v>7</v>
      </c>
      <c r="D5091" s="195">
        <v>68.2</v>
      </c>
      <c r="E5091" s="705">
        <f t="shared" si="160"/>
        <v>20.111111111111111</v>
      </c>
    </row>
    <row r="5092" spans="2:5">
      <c r="B5092" s="943">
        <v>45134</v>
      </c>
      <c r="C5092" s="195">
        <f t="shared" si="159"/>
        <v>7</v>
      </c>
      <c r="D5092" s="195">
        <v>68.900000000000006</v>
      </c>
      <c r="E5092" s="705">
        <f t="shared" si="160"/>
        <v>20.500000000000004</v>
      </c>
    </row>
    <row r="5093" spans="2:5">
      <c r="B5093" s="943">
        <v>45134</v>
      </c>
      <c r="C5093" s="195">
        <f t="shared" si="159"/>
        <v>7</v>
      </c>
      <c r="D5093" s="195">
        <v>66.400000000000006</v>
      </c>
      <c r="E5093" s="705">
        <f t="shared" si="160"/>
        <v>19.111111111111114</v>
      </c>
    </row>
    <row r="5094" spans="2:5">
      <c r="B5094" s="943">
        <v>45134</v>
      </c>
      <c r="C5094" s="195">
        <f t="shared" si="159"/>
        <v>7</v>
      </c>
      <c r="D5094" s="195">
        <v>61.9</v>
      </c>
      <c r="E5094" s="705">
        <f t="shared" si="160"/>
        <v>16.611111111111111</v>
      </c>
    </row>
    <row r="5095" spans="2:5">
      <c r="B5095" s="943">
        <v>45134</v>
      </c>
      <c r="C5095" s="195">
        <f t="shared" si="159"/>
        <v>7</v>
      </c>
      <c r="D5095" s="195">
        <v>60.3</v>
      </c>
      <c r="E5095" s="705">
        <f t="shared" si="160"/>
        <v>15.72222222222222</v>
      </c>
    </row>
    <row r="5096" spans="2:5">
      <c r="B5096" s="943">
        <v>45134</v>
      </c>
      <c r="C5096" s="195">
        <f t="shared" si="159"/>
        <v>7</v>
      </c>
      <c r="D5096" s="195">
        <v>58.5</v>
      </c>
      <c r="E5096" s="705">
        <f t="shared" si="160"/>
        <v>14.722222222222221</v>
      </c>
    </row>
    <row r="5097" spans="2:5">
      <c r="B5097" s="943">
        <v>45135</v>
      </c>
      <c r="C5097" s="195">
        <f t="shared" si="159"/>
        <v>7</v>
      </c>
      <c r="D5097" s="195">
        <v>57.2</v>
      </c>
      <c r="E5097" s="705">
        <f t="shared" si="160"/>
        <v>14.000000000000002</v>
      </c>
    </row>
    <row r="5098" spans="2:5">
      <c r="B5098" s="943">
        <v>45135</v>
      </c>
      <c r="C5098" s="195">
        <f t="shared" si="159"/>
        <v>7</v>
      </c>
      <c r="D5098" s="195">
        <v>57.2</v>
      </c>
      <c r="E5098" s="705">
        <f t="shared" si="160"/>
        <v>14.000000000000002</v>
      </c>
    </row>
    <row r="5099" spans="2:5">
      <c r="B5099" s="943">
        <v>45135</v>
      </c>
      <c r="C5099" s="195">
        <f t="shared" si="159"/>
        <v>7</v>
      </c>
      <c r="D5099" s="195">
        <v>57.4</v>
      </c>
      <c r="E5099" s="705">
        <f t="shared" si="160"/>
        <v>14.111111111111111</v>
      </c>
    </row>
    <row r="5100" spans="2:5">
      <c r="B5100" s="943">
        <v>45135</v>
      </c>
      <c r="C5100" s="195">
        <f t="shared" si="159"/>
        <v>7</v>
      </c>
      <c r="D5100" s="195">
        <v>58.5</v>
      </c>
      <c r="E5100" s="705">
        <f t="shared" si="160"/>
        <v>14.722222222222221</v>
      </c>
    </row>
    <row r="5101" spans="2:5">
      <c r="B5101" s="943">
        <v>45135</v>
      </c>
      <c r="C5101" s="195">
        <f t="shared" si="159"/>
        <v>7</v>
      </c>
      <c r="D5101" s="195">
        <v>60.6</v>
      </c>
      <c r="E5101" s="705">
        <f t="shared" si="160"/>
        <v>15.888888888888889</v>
      </c>
    </row>
    <row r="5102" spans="2:5">
      <c r="B5102" s="943">
        <v>45135</v>
      </c>
      <c r="C5102" s="195">
        <f t="shared" si="159"/>
        <v>7</v>
      </c>
      <c r="D5102" s="195">
        <v>64.400000000000006</v>
      </c>
      <c r="E5102" s="705">
        <f t="shared" si="160"/>
        <v>18.000000000000004</v>
      </c>
    </row>
    <row r="5103" spans="2:5">
      <c r="B5103" s="943">
        <v>45135</v>
      </c>
      <c r="C5103" s="195">
        <f t="shared" si="159"/>
        <v>7</v>
      </c>
      <c r="D5103" s="195">
        <v>66.7</v>
      </c>
      <c r="E5103" s="705">
        <f t="shared" si="160"/>
        <v>19.277777777777779</v>
      </c>
    </row>
    <row r="5104" spans="2:5">
      <c r="B5104" s="943">
        <v>45135</v>
      </c>
      <c r="C5104" s="195">
        <f t="shared" si="159"/>
        <v>7</v>
      </c>
      <c r="D5104" s="195">
        <v>68.2</v>
      </c>
      <c r="E5104" s="705">
        <f t="shared" si="160"/>
        <v>20.111111111111111</v>
      </c>
    </row>
    <row r="5105" spans="2:5">
      <c r="B5105" s="943">
        <v>45135</v>
      </c>
      <c r="C5105" s="195">
        <f t="shared" si="159"/>
        <v>7</v>
      </c>
      <c r="D5105" s="195">
        <v>68.5</v>
      </c>
      <c r="E5105" s="705">
        <f t="shared" si="160"/>
        <v>20.277777777777779</v>
      </c>
    </row>
    <row r="5106" spans="2:5">
      <c r="B5106" s="943">
        <v>45135</v>
      </c>
      <c r="C5106" s="195">
        <f t="shared" si="159"/>
        <v>7</v>
      </c>
      <c r="D5106" s="195">
        <v>67.5</v>
      </c>
      <c r="E5106" s="705">
        <f t="shared" si="160"/>
        <v>19.722222222222221</v>
      </c>
    </row>
    <row r="5107" spans="2:5">
      <c r="B5107" s="943">
        <v>45135</v>
      </c>
      <c r="C5107" s="195">
        <f t="shared" si="159"/>
        <v>7</v>
      </c>
      <c r="D5107" s="195">
        <v>61.2</v>
      </c>
      <c r="E5107" s="705">
        <f t="shared" si="160"/>
        <v>16.222222222222225</v>
      </c>
    </row>
    <row r="5108" spans="2:5">
      <c r="B5108" s="943">
        <v>45135</v>
      </c>
      <c r="C5108" s="195">
        <f t="shared" si="159"/>
        <v>7</v>
      </c>
      <c r="D5108" s="195">
        <v>58.6</v>
      </c>
      <c r="E5108" s="705">
        <f t="shared" si="160"/>
        <v>14.777777777777779</v>
      </c>
    </row>
    <row r="5109" spans="2:5">
      <c r="B5109" s="943">
        <v>45135</v>
      </c>
      <c r="C5109" s="195">
        <f t="shared" si="159"/>
        <v>7</v>
      </c>
      <c r="D5109" s="195">
        <v>57.2</v>
      </c>
      <c r="E5109" s="705">
        <f t="shared" si="160"/>
        <v>14.000000000000002</v>
      </c>
    </row>
    <row r="5110" spans="2:5">
      <c r="B5110" s="943">
        <v>45135</v>
      </c>
      <c r="C5110" s="195">
        <f t="shared" si="159"/>
        <v>7</v>
      </c>
      <c r="D5110" s="195">
        <v>56.1</v>
      </c>
      <c r="E5110" s="705">
        <f t="shared" si="160"/>
        <v>13.388888888888889</v>
      </c>
    </row>
    <row r="5111" spans="2:5">
      <c r="B5111" s="943">
        <v>45135</v>
      </c>
      <c r="C5111" s="195">
        <f t="shared" si="159"/>
        <v>7</v>
      </c>
      <c r="D5111" s="195" t="s">
        <v>1441</v>
      </c>
      <c r="E5111" s="705">
        <f t="shared" si="160"/>
        <v>15</v>
      </c>
    </row>
    <row r="5112" spans="2:5">
      <c r="B5112" s="943">
        <v>45135</v>
      </c>
      <c r="C5112" s="195">
        <f t="shared" si="159"/>
        <v>7</v>
      </c>
      <c r="D5112" s="195">
        <v>57.6</v>
      </c>
      <c r="E5112" s="705">
        <f t="shared" si="160"/>
        <v>14.222222222222223</v>
      </c>
    </row>
    <row r="5113" spans="2:5">
      <c r="B5113" s="943">
        <v>45135</v>
      </c>
      <c r="C5113" s="195">
        <f t="shared" si="159"/>
        <v>7</v>
      </c>
      <c r="D5113" s="195">
        <v>59.5</v>
      </c>
      <c r="E5113" s="705">
        <f t="shared" si="160"/>
        <v>15.277777777777777</v>
      </c>
    </row>
    <row r="5114" spans="2:5">
      <c r="B5114" s="943">
        <v>45135</v>
      </c>
      <c r="C5114" s="195">
        <f t="shared" si="159"/>
        <v>7</v>
      </c>
      <c r="D5114" s="195">
        <v>62.8</v>
      </c>
      <c r="E5114" s="705">
        <f t="shared" si="160"/>
        <v>17.111111111111111</v>
      </c>
    </row>
    <row r="5115" spans="2:5">
      <c r="B5115" s="943">
        <v>45135</v>
      </c>
      <c r="C5115" s="195">
        <f t="shared" si="159"/>
        <v>7</v>
      </c>
      <c r="D5115" s="195">
        <v>66.2</v>
      </c>
      <c r="E5115" s="705">
        <f t="shared" si="160"/>
        <v>19</v>
      </c>
    </row>
    <row r="5116" spans="2:5">
      <c r="B5116" s="943">
        <v>45135</v>
      </c>
      <c r="C5116" s="195">
        <f t="shared" si="159"/>
        <v>7</v>
      </c>
      <c r="D5116" s="195">
        <v>68.2</v>
      </c>
      <c r="E5116" s="705">
        <f t="shared" si="160"/>
        <v>20.111111111111111</v>
      </c>
    </row>
    <row r="5117" spans="2:5">
      <c r="B5117" s="943">
        <v>45135</v>
      </c>
      <c r="C5117" s="195">
        <f t="shared" si="159"/>
        <v>7</v>
      </c>
      <c r="D5117" s="195">
        <v>68.5</v>
      </c>
      <c r="E5117" s="705">
        <f t="shared" si="160"/>
        <v>20.277777777777779</v>
      </c>
    </row>
    <row r="5118" spans="2:5">
      <c r="B5118" s="943">
        <v>45135</v>
      </c>
      <c r="C5118" s="195">
        <f t="shared" si="159"/>
        <v>7</v>
      </c>
      <c r="D5118" s="195">
        <v>64.900000000000006</v>
      </c>
      <c r="E5118" s="705">
        <f t="shared" si="160"/>
        <v>18.277777777777782</v>
      </c>
    </row>
    <row r="5119" spans="2:5">
      <c r="B5119" s="943">
        <v>45135</v>
      </c>
      <c r="C5119" s="195">
        <f t="shared" si="159"/>
        <v>7</v>
      </c>
      <c r="D5119" s="195">
        <v>61.9</v>
      </c>
      <c r="E5119" s="705">
        <f t="shared" si="160"/>
        <v>16.611111111111111</v>
      </c>
    </row>
    <row r="5120" spans="2:5">
      <c r="B5120" s="943">
        <v>45135</v>
      </c>
      <c r="C5120" s="195">
        <f t="shared" si="159"/>
        <v>7</v>
      </c>
      <c r="D5120" s="195">
        <v>58.6</v>
      </c>
      <c r="E5120" s="705">
        <f t="shared" si="160"/>
        <v>14.777777777777779</v>
      </c>
    </row>
    <row r="5121" spans="2:5">
      <c r="B5121" s="943">
        <v>45136</v>
      </c>
      <c r="C5121" s="195">
        <f t="shared" si="159"/>
        <v>7</v>
      </c>
      <c r="D5121" s="195">
        <v>57.6</v>
      </c>
      <c r="E5121" s="705">
        <f t="shared" si="160"/>
        <v>14.222222222222223</v>
      </c>
    </row>
    <row r="5122" spans="2:5">
      <c r="B5122" s="943">
        <v>45136</v>
      </c>
      <c r="C5122" s="195">
        <f t="shared" si="159"/>
        <v>7</v>
      </c>
      <c r="D5122" s="195">
        <v>56.7</v>
      </c>
      <c r="E5122" s="705">
        <f t="shared" si="160"/>
        <v>13.722222222222223</v>
      </c>
    </row>
    <row r="5123" spans="2:5">
      <c r="B5123" s="943">
        <v>45136</v>
      </c>
      <c r="C5123" s="195">
        <f t="shared" si="159"/>
        <v>7</v>
      </c>
      <c r="D5123" s="195">
        <v>56.5</v>
      </c>
      <c r="E5123" s="705">
        <f t="shared" si="160"/>
        <v>13.611111111111111</v>
      </c>
    </row>
    <row r="5124" spans="2:5">
      <c r="B5124" s="943">
        <v>45136</v>
      </c>
      <c r="C5124" s="195">
        <f t="shared" si="159"/>
        <v>7</v>
      </c>
      <c r="D5124" s="195">
        <v>56.7</v>
      </c>
      <c r="E5124" s="705">
        <f t="shared" si="160"/>
        <v>13.722222222222223</v>
      </c>
    </row>
    <row r="5125" spans="2:5">
      <c r="B5125" s="943">
        <v>45136</v>
      </c>
      <c r="C5125" s="195">
        <f t="shared" si="159"/>
        <v>7</v>
      </c>
      <c r="D5125" s="195">
        <v>57.9</v>
      </c>
      <c r="E5125" s="705">
        <f t="shared" si="160"/>
        <v>14.388888888888888</v>
      </c>
    </row>
    <row r="5126" spans="2:5">
      <c r="B5126" s="943">
        <v>45136</v>
      </c>
      <c r="C5126" s="195">
        <f t="shared" si="159"/>
        <v>7</v>
      </c>
      <c r="D5126" s="195">
        <v>60.1</v>
      </c>
      <c r="E5126" s="705">
        <f t="shared" si="160"/>
        <v>15.611111111111111</v>
      </c>
    </row>
    <row r="5127" spans="2:5">
      <c r="B5127" s="943">
        <v>45136</v>
      </c>
      <c r="C5127" s="195">
        <f t="shared" si="159"/>
        <v>7</v>
      </c>
      <c r="D5127" s="195">
        <v>63.9</v>
      </c>
      <c r="E5127" s="705">
        <f t="shared" si="160"/>
        <v>17.722222222222221</v>
      </c>
    </row>
    <row r="5128" spans="2:5">
      <c r="B5128" s="943">
        <v>45136</v>
      </c>
      <c r="C5128" s="195">
        <f t="shared" si="159"/>
        <v>7</v>
      </c>
      <c r="D5128" s="195">
        <v>66.2</v>
      </c>
      <c r="E5128" s="705">
        <f t="shared" si="160"/>
        <v>19</v>
      </c>
    </row>
    <row r="5129" spans="2:5">
      <c r="B5129" s="943">
        <v>45136</v>
      </c>
      <c r="C5129" s="195">
        <f t="shared" si="159"/>
        <v>7</v>
      </c>
      <c r="D5129" s="195">
        <v>67.8</v>
      </c>
      <c r="E5129" s="705">
        <f t="shared" si="160"/>
        <v>19.888888888888886</v>
      </c>
    </row>
    <row r="5130" spans="2:5">
      <c r="B5130" s="943">
        <v>45136</v>
      </c>
      <c r="C5130" s="195">
        <f t="shared" ref="C5130:C5193" si="161">MONTH(B5130)</f>
        <v>7</v>
      </c>
      <c r="D5130" s="195">
        <v>68.400000000000006</v>
      </c>
      <c r="E5130" s="705">
        <f t="shared" ref="E5130:E5193" si="162">CONVERT(D5130,"F","C")</f>
        <v>20.222222222222225</v>
      </c>
    </row>
    <row r="5131" spans="2:5">
      <c r="B5131" s="943">
        <v>45136</v>
      </c>
      <c r="C5131" s="195">
        <f t="shared" si="161"/>
        <v>7</v>
      </c>
      <c r="D5131" s="195">
        <v>66.400000000000006</v>
      </c>
      <c r="E5131" s="705">
        <f t="shared" si="162"/>
        <v>19.111111111111114</v>
      </c>
    </row>
    <row r="5132" spans="2:5">
      <c r="B5132" s="943">
        <v>45136</v>
      </c>
      <c r="C5132" s="195">
        <f t="shared" si="161"/>
        <v>7</v>
      </c>
      <c r="D5132" s="195" t="s">
        <v>1443</v>
      </c>
      <c r="E5132" s="705">
        <f t="shared" si="162"/>
        <v>17.222222222222221</v>
      </c>
    </row>
    <row r="5133" spans="2:5">
      <c r="B5133" s="943">
        <v>45136</v>
      </c>
      <c r="C5133" s="195">
        <f t="shared" si="161"/>
        <v>7</v>
      </c>
      <c r="D5133" s="195">
        <v>60.1</v>
      </c>
      <c r="E5133" s="705">
        <f t="shared" si="162"/>
        <v>15.611111111111111</v>
      </c>
    </row>
    <row r="5134" spans="2:5">
      <c r="B5134" s="943">
        <v>45136</v>
      </c>
      <c r="C5134" s="195">
        <f t="shared" si="161"/>
        <v>7</v>
      </c>
      <c r="D5134" s="195">
        <v>58.1</v>
      </c>
      <c r="E5134" s="705">
        <f t="shared" si="162"/>
        <v>14.5</v>
      </c>
    </row>
    <row r="5135" spans="2:5">
      <c r="B5135" s="943">
        <v>45136</v>
      </c>
      <c r="C5135" s="195">
        <f t="shared" si="161"/>
        <v>7</v>
      </c>
      <c r="D5135" s="195">
        <v>56.3</v>
      </c>
      <c r="E5135" s="705">
        <f t="shared" si="162"/>
        <v>13.499999999999998</v>
      </c>
    </row>
    <row r="5136" spans="2:5">
      <c r="B5136" s="943">
        <v>45136</v>
      </c>
      <c r="C5136" s="195">
        <f t="shared" si="161"/>
        <v>7</v>
      </c>
      <c r="D5136" s="195">
        <v>55.6</v>
      </c>
      <c r="E5136" s="705">
        <f t="shared" si="162"/>
        <v>13.111111111111111</v>
      </c>
    </row>
    <row r="5137" spans="2:5">
      <c r="B5137" s="943">
        <v>45136</v>
      </c>
      <c r="C5137" s="195">
        <f t="shared" si="161"/>
        <v>7</v>
      </c>
      <c r="D5137" s="195">
        <v>56.8</v>
      </c>
      <c r="E5137" s="705">
        <f t="shared" si="162"/>
        <v>13.777777777777775</v>
      </c>
    </row>
    <row r="5138" spans="2:5">
      <c r="B5138" s="943">
        <v>45136</v>
      </c>
      <c r="C5138" s="195">
        <f t="shared" si="161"/>
        <v>7</v>
      </c>
      <c r="D5138" s="195" t="s">
        <v>1441</v>
      </c>
      <c r="E5138" s="705">
        <f t="shared" si="162"/>
        <v>15</v>
      </c>
    </row>
    <row r="5139" spans="2:5">
      <c r="B5139" s="943">
        <v>45136</v>
      </c>
      <c r="C5139" s="195">
        <f t="shared" si="161"/>
        <v>7</v>
      </c>
      <c r="D5139" s="195">
        <v>62.2</v>
      </c>
      <c r="E5139" s="705">
        <f t="shared" si="162"/>
        <v>16.777777777777779</v>
      </c>
    </row>
    <row r="5140" spans="2:5">
      <c r="B5140" s="943">
        <v>45136</v>
      </c>
      <c r="C5140" s="195">
        <f t="shared" si="161"/>
        <v>7</v>
      </c>
      <c r="D5140" s="195">
        <v>65.7</v>
      </c>
      <c r="E5140" s="705">
        <f t="shared" si="162"/>
        <v>18.722222222222225</v>
      </c>
    </row>
    <row r="5141" spans="2:5">
      <c r="B5141" s="943">
        <v>45136</v>
      </c>
      <c r="C5141" s="195">
        <f t="shared" si="161"/>
        <v>7</v>
      </c>
      <c r="D5141" s="195">
        <v>67.099999999999994</v>
      </c>
      <c r="E5141" s="705">
        <f t="shared" si="162"/>
        <v>19.499999999999996</v>
      </c>
    </row>
    <row r="5142" spans="2:5">
      <c r="B5142" s="943">
        <v>45136</v>
      </c>
      <c r="C5142" s="195">
        <f t="shared" si="161"/>
        <v>7</v>
      </c>
      <c r="D5142" s="195">
        <v>67.599999999999994</v>
      </c>
      <c r="E5142" s="705">
        <f t="shared" si="162"/>
        <v>19.777777777777775</v>
      </c>
    </row>
    <row r="5143" spans="2:5">
      <c r="B5143" s="943">
        <v>45136</v>
      </c>
      <c r="C5143" s="195">
        <f t="shared" si="161"/>
        <v>7</v>
      </c>
      <c r="D5143" s="195">
        <v>64.2</v>
      </c>
      <c r="E5143" s="705">
        <f t="shared" si="162"/>
        <v>17.888888888888889</v>
      </c>
    </row>
    <row r="5144" spans="2:5">
      <c r="B5144" s="943">
        <v>45136</v>
      </c>
      <c r="C5144" s="195">
        <f t="shared" si="161"/>
        <v>7</v>
      </c>
      <c r="D5144" s="195">
        <v>61.3</v>
      </c>
      <c r="E5144" s="705">
        <f t="shared" si="162"/>
        <v>16.277777777777775</v>
      </c>
    </row>
    <row r="5145" spans="2:5">
      <c r="B5145" s="943">
        <v>45137</v>
      </c>
      <c r="C5145" s="195">
        <f t="shared" si="161"/>
        <v>7</v>
      </c>
      <c r="D5145" s="195" t="s">
        <v>1441</v>
      </c>
      <c r="E5145" s="705">
        <f t="shared" si="162"/>
        <v>15</v>
      </c>
    </row>
    <row r="5146" spans="2:5">
      <c r="B5146" s="943">
        <v>45137</v>
      </c>
      <c r="C5146" s="195">
        <f t="shared" si="161"/>
        <v>7</v>
      </c>
      <c r="D5146" s="195">
        <v>57.7</v>
      </c>
      <c r="E5146" s="705">
        <f t="shared" si="162"/>
        <v>14.277777777777779</v>
      </c>
    </row>
    <row r="5147" spans="2:5">
      <c r="B5147" s="943">
        <v>45137</v>
      </c>
      <c r="C5147" s="195">
        <f t="shared" si="161"/>
        <v>7</v>
      </c>
      <c r="D5147" s="195">
        <v>57.2</v>
      </c>
      <c r="E5147" s="705">
        <f t="shared" si="162"/>
        <v>14.000000000000002</v>
      </c>
    </row>
    <row r="5148" spans="2:5">
      <c r="B5148" s="943">
        <v>45137</v>
      </c>
      <c r="C5148" s="195">
        <f t="shared" si="161"/>
        <v>7</v>
      </c>
      <c r="D5148" s="195">
        <v>57.2</v>
      </c>
      <c r="E5148" s="705">
        <f t="shared" si="162"/>
        <v>14.000000000000002</v>
      </c>
    </row>
    <row r="5149" spans="2:5">
      <c r="B5149" s="943">
        <v>45137</v>
      </c>
      <c r="C5149" s="195">
        <f t="shared" si="161"/>
        <v>7</v>
      </c>
      <c r="D5149" s="195">
        <v>57.4</v>
      </c>
      <c r="E5149" s="705">
        <f t="shared" si="162"/>
        <v>14.111111111111111</v>
      </c>
    </row>
    <row r="5150" spans="2:5">
      <c r="B5150" s="943">
        <v>45137</v>
      </c>
      <c r="C5150" s="195">
        <f t="shared" si="161"/>
        <v>7</v>
      </c>
      <c r="D5150" s="195">
        <v>58.5</v>
      </c>
      <c r="E5150" s="705">
        <f t="shared" si="162"/>
        <v>14.722222222222221</v>
      </c>
    </row>
    <row r="5151" spans="2:5">
      <c r="B5151" s="943">
        <v>45137</v>
      </c>
      <c r="C5151" s="195">
        <f t="shared" si="161"/>
        <v>7</v>
      </c>
      <c r="D5151" s="195">
        <v>60.6</v>
      </c>
      <c r="E5151" s="705">
        <f t="shared" si="162"/>
        <v>15.888888888888889</v>
      </c>
    </row>
    <row r="5152" spans="2:5">
      <c r="B5152" s="943">
        <v>45137</v>
      </c>
      <c r="C5152" s="195">
        <f t="shared" si="161"/>
        <v>7</v>
      </c>
      <c r="D5152" s="195">
        <v>63.5</v>
      </c>
      <c r="E5152" s="705">
        <f t="shared" si="162"/>
        <v>17.5</v>
      </c>
    </row>
    <row r="5153" spans="2:5">
      <c r="B5153" s="943">
        <v>45137</v>
      </c>
      <c r="C5153" s="195">
        <f t="shared" si="161"/>
        <v>7</v>
      </c>
      <c r="D5153" s="195">
        <v>65.3</v>
      </c>
      <c r="E5153" s="705">
        <f t="shared" si="162"/>
        <v>18.499999999999996</v>
      </c>
    </row>
    <row r="5154" spans="2:5">
      <c r="B5154" s="943">
        <v>45137</v>
      </c>
      <c r="C5154" s="195">
        <f t="shared" si="161"/>
        <v>7</v>
      </c>
      <c r="D5154" s="195">
        <v>66.7</v>
      </c>
      <c r="E5154" s="705">
        <f t="shared" si="162"/>
        <v>19.277777777777779</v>
      </c>
    </row>
    <row r="5155" spans="2:5">
      <c r="B5155" s="943">
        <v>45137</v>
      </c>
      <c r="C5155" s="195">
        <f t="shared" si="161"/>
        <v>7</v>
      </c>
      <c r="D5155" s="195">
        <v>67.5</v>
      </c>
      <c r="E5155" s="705">
        <f t="shared" si="162"/>
        <v>19.722222222222221</v>
      </c>
    </row>
    <row r="5156" spans="2:5">
      <c r="B5156" s="943">
        <v>45137</v>
      </c>
      <c r="C5156" s="195">
        <f t="shared" si="161"/>
        <v>7</v>
      </c>
      <c r="D5156" s="195">
        <v>66.2</v>
      </c>
      <c r="E5156" s="705">
        <f t="shared" si="162"/>
        <v>19</v>
      </c>
    </row>
    <row r="5157" spans="2:5">
      <c r="B5157" s="943">
        <v>45137</v>
      </c>
      <c r="C5157" s="195">
        <f t="shared" si="161"/>
        <v>7</v>
      </c>
      <c r="D5157" s="195">
        <v>62.8</v>
      </c>
      <c r="E5157" s="705">
        <f t="shared" si="162"/>
        <v>17.111111111111111</v>
      </c>
    </row>
    <row r="5158" spans="2:5">
      <c r="B5158" s="943">
        <v>45137</v>
      </c>
      <c r="C5158" s="195">
        <f t="shared" si="161"/>
        <v>7</v>
      </c>
      <c r="D5158" s="195">
        <v>62.1</v>
      </c>
      <c r="E5158" s="705">
        <f t="shared" si="162"/>
        <v>16.722222222222221</v>
      </c>
    </row>
    <row r="5159" spans="2:5">
      <c r="B5159" s="943">
        <v>45137</v>
      </c>
      <c r="C5159" s="195">
        <f t="shared" si="161"/>
        <v>7</v>
      </c>
      <c r="D5159" s="195">
        <v>61.5</v>
      </c>
      <c r="E5159" s="705">
        <f t="shared" si="162"/>
        <v>16.388888888888889</v>
      </c>
    </row>
    <row r="5160" spans="2:5">
      <c r="B5160" s="943">
        <v>45137</v>
      </c>
      <c r="C5160" s="195">
        <f t="shared" si="161"/>
        <v>7</v>
      </c>
      <c r="D5160" s="195">
        <v>61.5</v>
      </c>
      <c r="E5160" s="705">
        <f t="shared" si="162"/>
        <v>16.388888888888889</v>
      </c>
    </row>
    <row r="5161" spans="2:5">
      <c r="B5161" s="943">
        <v>45137</v>
      </c>
      <c r="C5161" s="195">
        <f t="shared" si="161"/>
        <v>7</v>
      </c>
      <c r="D5161" s="195">
        <v>61.7</v>
      </c>
      <c r="E5161" s="705">
        <f t="shared" si="162"/>
        <v>16.5</v>
      </c>
    </row>
    <row r="5162" spans="2:5">
      <c r="B5162" s="943">
        <v>45137</v>
      </c>
      <c r="C5162" s="195">
        <f t="shared" si="161"/>
        <v>7</v>
      </c>
      <c r="D5162" s="195">
        <v>61.9</v>
      </c>
      <c r="E5162" s="705">
        <f t="shared" si="162"/>
        <v>16.611111111111111</v>
      </c>
    </row>
    <row r="5163" spans="2:5">
      <c r="B5163" s="943">
        <v>45137</v>
      </c>
      <c r="C5163" s="195">
        <f t="shared" si="161"/>
        <v>7</v>
      </c>
      <c r="D5163" s="195">
        <v>62.4</v>
      </c>
      <c r="E5163" s="705">
        <f t="shared" si="162"/>
        <v>16.888888888888889</v>
      </c>
    </row>
    <row r="5164" spans="2:5">
      <c r="B5164" s="943">
        <v>45137</v>
      </c>
      <c r="C5164" s="195">
        <f t="shared" si="161"/>
        <v>7</v>
      </c>
      <c r="D5164" s="195" t="s">
        <v>1444</v>
      </c>
      <c r="E5164" s="705">
        <f t="shared" si="162"/>
        <v>17.777777777777779</v>
      </c>
    </row>
    <row r="5165" spans="2:5">
      <c r="B5165" s="943">
        <v>45137</v>
      </c>
      <c r="C5165" s="195">
        <f t="shared" si="161"/>
        <v>7</v>
      </c>
      <c r="D5165" s="195" t="s">
        <v>1445</v>
      </c>
      <c r="E5165" s="705">
        <f t="shared" si="162"/>
        <v>18.888888888888889</v>
      </c>
    </row>
    <row r="5166" spans="2:5">
      <c r="B5166" s="943">
        <v>45137</v>
      </c>
      <c r="C5166" s="195">
        <f t="shared" si="161"/>
        <v>7</v>
      </c>
      <c r="D5166" s="195">
        <v>67.099999999999994</v>
      </c>
      <c r="E5166" s="705">
        <f t="shared" si="162"/>
        <v>19.499999999999996</v>
      </c>
    </row>
    <row r="5167" spans="2:5">
      <c r="B5167" s="943">
        <v>45137</v>
      </c>
      <c r="C5167" s="195">
        <f t="shared" si="161"/>
        <v>7</v>
      </c>
      <c r="D5167" s="195">
        <v>67.5</v>
      </c>
      <c r="E5167" s="705">
        <f t="shared" si="162"/>
        <v>19.722222222222221</v>
      </c>
    </row>
    <row r="5168" spans="2:5">
      <c r="B5168" s="943">
        <v>45137</v>
      </c>
      <c r="C5168" s="195">
        <f t="shared" si="161"/>
        <v>7</v>
      </c>
      <c r="D5168" s="195">
        <v>65.3</v>
      </c>
      <c r="E5168" s="705">
        <f t="shared" si="162"/>
        <v>18.499999999999996</v>
      </c>
    </row>
    <row r="5169" spans="2:5">
      <c r="B5169" s="943">
        <v>45138</v>
      </c>
      <c r="C5169" s="195">
        <f t="shared" si="161"/>
        <v>7</v>
      </c>
      <c r="D5169" s="195">
        <v>63.7</v>
      </c>
      <c r="E5169" s="705">
        <f t="shared" si="162"/>
        <v>17.611111111111111</v>
      </c>
    </row>
    <row r="5170" spans="2:5">
      <c r="B5170" s="943">
        <v>45138</v>
      </c>
      <c r="C5170" s="195">
        <f t="shared" si="161"/>
        <v>7</v>
      </c>
      <c r="D5170" s="195">
        <v>61.2</v>
      </c>
      <c r="E5170" s="705">
        <f t="shared" si="162"/>
        <v>16.222222222222225</v>
      </c>
    </row>
    <row r="5171" spans="2:5">
      <c r="B5171" s="943">
        <v>45138</v>
      </c>
      <c r="C5171" s="195">
        <f t="shared" si="161"/>
        <v>7</v>
      </c>
      <c r="D5171" s="195" t="s">
        <v>1441</v>
      </c>
      <c r="E5171" s="705">
        <f t="shared" si="162"/>
        <v>15</v>
      </c>
    </row>
    <row r="5172" spans="2:5">
      <c r="B5172" s="943">
        <v>45138</v>
      </c>
      <c r="C5172" s="195">
        <f t="shared" si="161"/>
        <v>7</v>
      </c>
      <c r="D5172" s="195">
        <v>58.5</v>
      </c>
      <c r="E5172" s="705">
        <f t="shared" si="162"/>
        <v>14.722222222222221</v>
      </c>
    </row>
    <row r="5173" spans="2:5">
      <c r="B5173" s="943">
        <v>45138</v>
      </c>
      <c r="C5173" s="195">
        <f t="shared" si="161"/>
        <v>7</v>
      </c>
      <c r="D5173" s="195">
        <v>58.1</v>
      </c>
      <c r="E5173" s="705">
        <f t="shared" si="162"/>
        <v>14.5</v>
      </c>
    </row>
    <row r="5174" spans="2:5">
      <c r="B5174" s="943">
        <v>45138</v>
      </c>
      <c r="C5174" s="195">
        <f t="shared" si="161"/>
        <v>7</v>
      </c>
      <c r="D5174" s="195">
        <v>58.3</v>
      </c>
      <c r="E5174" s="705">
        <f t="shared" si="162"/>
        <v>14.611111111111109</v>
      </c>
    </row>
    <row r="5175" spans="2:5">
      <c r="B5175" s="943">
        <v>45138</v>
      </c>
      <c r="C5175" s="195">
        <f t="shared" si="161"/>
        <v>7</v>
      </c>
      <c r="D5175" s="195">
        <v>59.7</v>
      </c>
      <c r="E5175" s="705">
        <f t="shared" si="162"/>
        <v>15.388888888888889</v>
      </c>
    </row>
    <row r="5176" spans="2:5">
      <c r="B5176" s="943">
        <v>45138</v>
      </c>
      <c r="C5176" s="195">
        <f t="shared" si="161"/>
        <v>7</v>
      </c>
      <c r="D5176" s="195">
        <v>62.2</v>
      </c>
      <c r="E5176" s="705">
        <f t="shared" si="162"/>
        <v>16.777777777777779</v>
      </c>
    </row>
    <row r="5177" spans="2:5">
      <c r="B5177" s="943">
        <v>45138</v>
      </c>
      <c r="C5177" s="195">
        <f t="shared" si="161"/>
        <v>7</v>
      </c>
      <c r="D5177" s="195">
        <v>64.400000000000006</v>
      </c>
      <c r="E5177" s="705">
        <f t="shared" si="162"/>
        <v>18.000000000000004</v>
      </c>
    </row>
    <row r="5178" spans="2:5">
      <c r="B5178" s="943">
        <v>45138</v>
      </c>
      <c r="C5178" s="195">
        <f t="shared" si="161"/>
        <v>7</v>
      </c>
      <c r="D5178" s="195" t="s">
        <v>1445</v>
      </c>
      <c r="E5178" s="705">
        <f t="shared" si="162"/>
        <v>18.888888888888889</v>
      </c>
    </row>
    <row r="5179" spans="2:5">
      <c r="B5179" s="943">
        <v>45138</v>
      </c>
      <c r="C5179" s="195">
        <f t="shared" si="161"/>
        <v>7</v>
      </c>
      <c r="D5179" s="195">
        <v>67.5</v>
      </c>
      <c r="E5179" s="705">
        <f t="shared" si="162"/>
        <v>19.722222222222221</v>
      </c>
    </row>
    <row r="5180" spans="2:5">
      <c r="B5180" s="943">
        <v>45138</v>
      </c>
      <c r="C5180" s="195">
        <f t="shared" si="161"/>
        <v>7</v>
      </c>
      <c r="D5180" s="195">
        <v>67.8</v>
      </c>
      <c r="E5180" s="705">
        <f t="shared" si="162"/>
        <v>19.888888888888886</v>
      </c>
    </row>
    <row r="5181" spans="2:5">
      <c r="B5181" s="943">
        <v>45138</v>
      </c>
      <c r="C5181" s="195">
        <f t="shared" si="161"/>
        <v>7</v>
      </c>
      <c r="D5181" s="195">
        <v>66.599999999999994</v>
      </c>
      <c r="E5181" s="705">
        <f t="shared" si="162"/>
        <v>19.222222222222218</v>
      </c>
    </row>
    <row r="5182" spans="2:5">
      <c r="B5182" s="943">
        <v>45138</v>
      </c>
      <c r="C5182" s="195">
        <f t="shared" si="161"/>
        <v>7</v>
      </c>
      <c r="D5182" s="195" t="s">
        <v>1444</v>
      </c>
      <c r="E5182" s="705">
        <f t="shared" si="162"/>
        <v>17.777777777777779</v>
      </c>
    </row>
    <row r="5183" spans="2:5">
      <c r="B5183" s="943">
        <v>45138</v>
      </c>
      <c r="C5183" s="195">
        <f t="shared" si="161"/>
        <v>7</v>
      </c>
      <c r="D5183" s="195">
        <v>62.2</v>
      </c>
      <c r="E5183" s="705">
        <f t="shared" si="162"/>
        <v>16.777777777777779</v>
      </c>
    </row>
    <row r="5184" spans="2:5">
      <c r="B5184" s="943">
        <v>45138</v>
      </c>
      <c r="C5184" s="195">
        <f t="shared" si="161"/>
        <v>7</v>
      </c>
      <c r="D5184" s="195" t="s">
        <v>1442</v>
      </c>
      <c r="E5184" s="705">
        <f t="shared" si="162"/>
        <v>16.111111111111111</v>
      </c>
    </row>
    <row r="5185" spans="2:5">
      <c r="B5185" s="943">
        <v>45138</v>
      </c>
      <c r="C5185" s="195">
        <f t="shared" si="161"/>
        <v>7</v>
      </c>
      <c r="D5185" s="195">
        <v>60.8</v>
      </c>
      <c r="E5185" s="705">
        <f t="shared" si="162"/>
        <v>15.999999999999998</v>
      </c>
    </row>
    <row r="5186" spans="2:5">
      <c r="B5186" s="943">
        <v>45138</v>
      </c>
      <c r="C5186" s="195">
        <f t="shared" si="161"/>
        <v>7</v>
      </c>
      <c r="D5186" s="195" t="s">
        <v>1442</v>
      </c>
      <c r="E5186" s="705">
        <f t="shared" si="162"/>
        <v>16.111111111111111</v>
      </c>
    </row>
    <row r="5187" spans="2:5">
      <c r="B5187" s="943">
        <v>45138</v>
      </c>
      <c r="C5187" s="195">
        <f t="shared" si="161"/>
        <v>7</v>
      </c>
      <c r="D5187" s="195">
        <v>61.3</v>
      </c>
      <c r="E5187" s="705">
        <f t="shared" si="162"/>
        <v>16.277777777777775</v>
      </c>
    </row>
    <row r="5188" spans="2:5">
      <c r="B5188" s="943">
        <v>45138</v>
      </c>
      <c r="C5188" s="195">
        <f t="shared" si="161"/>
        <v>7</v>
      </c>
      <c r="D5188" s="195">
        <v>62.6</v>
      </c>
      <c r="E5188" s="705">
        <f t="shared" si="162"/>
        <v>17</v>
      </c>
    </row>
    <row r="5189" spans="2:5">
      <c r="B5189" s="943">
        <v>45138</v>
      </c>
      <c r="C5189" s="195">
        <f t="shared" si="161"/>
        <v>7</v>
      </c>
      <c r="D5189" s="195">
        <v>64.8</v>
      </c>
      <c r="E5189" s="705">
        <f t="shared" si="162"/>
        <v>18.222222222222221</v>
      </c>
    </row>
    <row r="5190" spans="2:5">
      <c r="B5190" s="943">
        <v>45138</v>
      </c>
      <c r="C5190" s="195">
        <f t="shared" si="161"/>
        <v>7</v>
      </c>
      <c r="D5190" s="195">
        <v>66.599999999999994</v>
      </c>
      <c r="E5190" s="705">
        <f t="shared" si="162"/>
        <v>19.222222222222218</v>
      </c>
    </row>
    <row r="5191" spans="2:5">
      <c r="B5191" s="943">
        <v>45138</v>
      </c>
      <c r="C5191" s="195">
        <f t="shared" si="161"/>
        <v>7</v>
      </c>
      <c r="D5191" s="195">
        <v>67.599999999999994</v>
      </c>
      <c r="E5191" s="705">
        <f t="shared" si="162"/>
        <v>19.777777777777775</v>
      </c>
    </row>
    <row r="5192" spans="2:5">
      <c r="B5192" s="943">
        <v>45138</v>
      </c>
      <c r="C5192" s="195">
        <f t="shared" si="161"/>
        <v>7</v>
      </c>
      <c r="D5192" s="195" t="s">
        <v>1446</v>
      </c>
      <c r="E5192" s="705">
        <f t="shared" si="162"/>
        <v>20</v>
      </c>
    </row>
    <row r="5193" spans="2:5">
      <c r="B5193" s="943">
        <v>45139</v>
      </c>
      <c r="C5193" s="195">
        <f t="shared" si="161"/>
        <v>8</v>
      </c>
      <c r="D5193" s="195">
        <v>65.3</v>
      </c>
      <c r="E5193" s="705">
        <f t="shared" si="162"/>
        <v>18.499999999999996</v>
      </c>
    </row>
    <row r="5194" spans="2:5">
      <c r="B5194" s="943">
        <v>45139</v>
      </c>
      <c r="C5194" s="195">
        <f t="shared" ref="C5194:C5257" si="163">MONTH(B5194)</f>
        <v>8</v>
      </c>
      <c r="D5194" s="195">
        <v>63.9</v>
      </c>
      <c r="E5194" s="705">
        <f t="shared" ref="E5194:E5257" si="164">CONVERT(D5194,"F","C")</f>
        <v>17.722222222222221</v>
      </c>
    </row>
    <row r="5195" spans="2:5">
      <c r="B5195" s="943">
        <v>45139</v>
      </c>
      <c r="C5195" s="195">
        <f t="shared" si="163"/>
        <v>8</v>
      </c>
      <c r="D5195" s="195">
        <v>62.1</v>
      </c>
      <c r="E5195" s="705">
        <f t="shared" si="164"/>
        <v>16.722222222222221</v>
      </c>
    </row>
    <row r="5196" spans="2:5">
      <c r="B5196" s="943">
        <v>45139</v>
      </c>
      <c r="C5196" s="195">
        <f t="shared" si="163"/>
        <v>8</v>
      </c>
      <c r="D5196" s="195">
        <v>61.3</v>
      </c>
      <c r="E5196" s="705">
        <f t="shared" si="164"/>
        <v>16.277777777777775</v>
      </c>
    </row>
    <row r="5197" spans="2:5">
      <c r="B5197" s="943">
        <v>45139</v>
      </c>
      <c r="C5197" s="195">
        <f t="shared" si="163"/>
        <v>8</v>
      </c>
      <c r="D5197" s="195">
        <v>60.6</v>
      </c>
      <c r="E5197" s="705">
        <f t="shared" si="164"/>
        <v>15.888888888888889</v>
      </c>
    </row>
    <row r="5198" spans="2:5">
      <c r="B5198" s="943">
        <v>45139</v>
      </c>
      <c r="C5198" s="195">
        <f t="shared" si="163"/>
        <v>8</v>
      </c>
      <c r="D5198" s="195">
        <v>60.6</v>
      </c>
      <c r="E5198" s="705">
        <f t="shared" si="164"/>
        <v>15.888888888888889</v>
      </c>
    </row>
    <row r="5199" spans="2:5">
      <c r="B5199" s="943">
        <v>45139</v>
      </c>
      <c r="C5199" s="195">
        <f t="shared" si="163"/>
        <v>8</v>
      </c>
      <c r="D5199" s="195" t="s">
        <v>1442</v>
      </c>
      <c r="E5199" s="705">
        <f t="shared" si="164"/>
        <v>16.111111111111111</v>
      </c>
    </row>
    <row r="5200" spans="2:5">
      <c r="B5200" s="943">
        <v>45139</v>
      </c>
      <c r="C5200" s="195">
        <f t="shared" si="163"/>
        <v>8</v>
      </c>
      <c r="D5200" s="195">
        <v>61.9</v>
      </c>
      <c r="E5200" s="705">
        <f t="shared" si="164"/>
        <v>16.611111111111111</v>
      </c>
    </row>
    <row r="5201" spans="2:5">
      <c r="B5201" s="943">
        <v>45139</v>
      </c>
      <c r="C5201" s="195">
        <f t="shared" si="163"/>
        <v>8</v>
      </c>
      <c r="D5201" s="195">
        <v>63.9</v>
      </c>
      <c r="E5201" s="705">
        <f t="shared" si="164"/>
        <v>17.722222222222221</v>
      </c>
    </row>
    <row r="5202" spans="2:5">
      <c r="B5202" s="943">
        <v>45139</v>
      </c>
      <c r="C5202" s="195">
        <f t="shared" si="163"/>
        <v>8</v>
      </c>
      <c r="D5202" s="195">
        <v>65.3</v>
      </c>
      <c r="E5202" s="705">
        <f t="shared" si="164"/>
        <v>18.499999999999996</v>
      </c>
    </row>
    <row r="5203" spans="2:5">
      <c r="B5203" s="943">
        <v>45139</v>
      </c>
      <c r="C5203" s="195">
        <f t="shared" si="163"/>
        <v>8</v>
      </c>
      <c r="D5203" s="195">
        <v>66.599999999999994</v>
      </c>
      <c r="E5203" s="705">
        <f t="shared" si="164"/>
        <v>19.222222222222218</v>
      </c>
    </row>
    <row r="5204" spans="2:5">
      <c r="B5204" s="943">
        <v>45139</v>
      </c>
      <c r="C5204" s="195">
        <f t="shared" si="163"/>
        <v>8</v>
      </c>
      <c r="D5204" s="195">
        <v>67.599999999999994</v>
      </c>
      <c r="E5204" s="705">
        <f t="shared" si="164"/>
        <v>19.777777777777775</v>
      </c>
    </row>
    <row r="5205" spans="2:5">
      <c r="B5205" s="943">
        <v>45139</v>
      </c>
      <c r="C5205" s="195">
        <f t="shared" si="163"/>
        <v>8</v>
      </c>
      <c r="D5205" s="195" t="s">
        <v>1446</v>
      </c>
      <c r="E5205" s="705">
        <f t="shared" si="164"/>
        <v>20</v>
      </c>
    </row>
    <row r="5206" spans="2:5">
      <c r="B5206" s="943">
        <v>45139</v>
      </c>
      <c r="C5206" s="195">
        <f t="shared" si="163"/>
        <v>8</v>
      </c>
      <c r="D5206" s="195">
        <v>66.400000000000006</v>
      </c>
      <c r="E5206" s="705">
        <f t="shared" si="164"/>
        <v>19.111111111111114</v>
      </c>
    </row>
    <row r="5207" spans="2:5">
      <c r="B5207" s="943">
        <v>45139</v>
      </c>
      <c r="C5207" s="195">
        <f t="shared" si="163"/>
        <v>8</v>
      </c>
      <c r="D5207" s="195">
        <v>64.900000000000006</v>
      </c>
      <c r="E5207" s="705">
        <f t="shared" si="164"/>
        <v>18.277777777777782</v>
      </c>
    </row>
    <row r="5208" spans="2:5">
      <c r="B5208" s="943">
        <v>45139</v>
      </c>
      <c r="C5208" s="195">
        <f t="shared" si="163"/>
        <v>8</v>
      </c>
      <c r="D5208" s="195" t="s">
        <v>1443</v>
      </c>
      <c r="E5208" s="705">
        <f t="shared" si="164"/>
        <v>17.222222222222221</v>
      </c>
    </row>
    <row r="5209" spans="2:5">
      <c r="B5209" s="943">
        <v>45139</v>
      </c>
      <c r="C5209" s="195">
        <f t="shared" si="163"/>
        <v>8</v>
      </c>
      <c r="D5209" s="195">
        <v>61.7</v>
      </c>
      <c r="E5209" s="705">
        <f t="shared" si="164"/>
        <v>16.5</v>
      </c>
    </row>
    <row r="5210" spans="2:5">
      <c r="B5210" s="943">
        <v>45139</v>
      </c>
      <c r="C5210" s="195">
        <f t="shared" si="163"/>
        <v>8</v>
      </c>
      <c r="D5210" s="195" t="s">
        <v>1442</v>
      </c>
      <c r="E5210" s="705">
        <f t="shared" si="164"/>
        <v>16.111111111111111</v>
      </c>
    </row>
    <row r="5211" spans="2:5">
      <c r="B5211" s="943">
        <v>45139</v>
      </c>
      <c r="C5211" s="195">
        <f t="shared" si="163"/>
        <v>8</v>
      </c>
      <c r="D5211" s="195">
        <v>60.6</v>
      </c>
      <c r="E5211" s="705">
        <f t="shared" si="164"/>
        <v>15.888888888888889</v>
      </c>
    </row>
    <row r="5212" spans="2:5">
      <c r="B5212" s="943">
        <v>45139</v>
      </c>
      <c r="C5212" s="195">
        <f t="shared" si="163"/>
        <v>8</v>
      </c>
      <c r="D5212" s="195">
        <v>61.5</v>
      </c>
      <c r="E5212" s="705">
        <f t="shared" si="164"/>
        <v>16.388888888888889</v>
      </c>
    </row>
    <row r="5213" spans="2:5">
      <c r="B5213" s="943">
        <v>45139</v>
      </c>
      <c r="C5213" s="195">
        <f t="shared" si="163"/>
        <v>8</v>
      </c>
      <c r="D5213" s="195">
        <v>63.3</v>
      </c>
      <c r="E5213" s="705">
        <f t="shared" si="164"/>
        <v>17.388888888888886</v>
      </c>
    </row>
    <row r="5214" spans="2:5">
      <c r="B5214" s="943">
        <v>45139</v>
      </c>
      <c r="C5214" s="195">
        <f t="shared" si="163"/>
        <v>8</v>
      </c>
      <c r="D5214" s="195">
        <v>65.7</v>
      </c>
      <c r="E5214" s="705">
        <f t="shared" si="164"/>
        <v>18.722222222222225</v>
      </c>
    </row>
    <row r="5215" spans="2:5">
      <c r="B5215" s="943">
        <v>45139</v>
      </c>
      <c r="C5215" s="195">
        <f t="shared" si="163"/>
        <v>8</v>
      </c>
      <c r="D5215" s="195">
        <v>66.900000000000006</v>
      </c>
      <c r="E5215" s="705">
        <f t="shared" si="164"/>
        <v>19.388888888888893</v>
      </c>
    </row>
    <row r="5216" spans="2:5">
      <c r="B5216" s="943">
        <v>45139</v>
      </c>
      <c r="C5216" s="195">
        <f t="shared" si="163"/>
        <v>8</v>
      </c>
      <c r="D5216" s="195">
        <v>67.8</v>
      </c>
      <c r="E5216" s="705">
        <f t="shared" si="164"/>
        <v>19.888888888888886</v>
      </c>
    </row>
    <row r="5217" spans="2:5">
      <c r="B5217" s="943">
        <v>45140</v>
      </c>
      <c r="C5217" s="195">
        <f t="shared" si="163"/>
        <v>8</v>
      </c>
      <c r="D5217" s="195" t="s">
        <v>1446</v>
      </c>
      <c r="E5217" s="705">
        <f t="shared" si="164"/>
        <v>20</v>
      </c>
    </row>
    <row r="5218" spans="2:5">
      <c r="B5218" s="943">
        <v>45140</v>
      </c>
      <c r="C5218" s="195">
        <f t="shared" si="163"/>
        <v>8</v>
      </c>
      <c r="D5218" s="195" t="s">
        <v>1445</v>
      </c>
      <c r="E5218" s="705">
        <f t="shared" si="164"/>
        <v>18.888888888888889</v>
      </c>
    </row>
    <row r="5219" spans="2:5">
      <c r="B5219" s="943">
        <v>45140</v>
      </c>
      <c r="C5219" s="195">
        <f t="shared" si="163"/>
        <v>8</v>
      </c>
      <c r="D5219" s="195" t="s">
        <v>1444</v>
      </c>
      <c r="E5219" s="705">
        <f t="shared" si="164"/>
        <v>17.777777777777779</v>
      </c>
    </row>
    <row r="5220" spans="2:5">
      <c r="B5220" s="943">
        <v>45140</v>
      </c>
      <c r="C5220" s="195">
        <f t="shared" si="163"/>
        <v>8</v>
      </c>
      <c r="D5220" s="195" t="s">
        <v>1443</v>
      </c>
      <c r="E5220" s="705">
        <f t="shared" si="164"/>
        <v>17.222222222222221</v>
      </c>
    </row>
    <row r="5221" spans="2:5">
      <c r="B5221" s="943">
        <v>45140</v>
      </c>
      <c r="C5221" s="195">
        <f t="shared" si="163"/>
        <v>8</v>
      </c>
      <c r="D5221" s="195">
        <v>61.9</v>
      </c>
      <c r="E5221" s="705">
        <f t="shared" si="164"/>
        <v>16.611111111111111</v>
      </c>
    </row>
    <row r="5222" spans="2:5">
      <c r="B5222" s="943">
        <v>45140</v>
      </c>
      <c r="C5222" s="195">
        <f t="shared" si="163"/>
        <v>8</v>
      </c>
      <c r="D5222" s="195">
        <v>60.6</v>
      </c>
      <c r="E5222" s="705">
        <f t="shared" si="164"/>
        <v>15.888888888888889</v>
      </c>
    </row>
    <row r="5223" spans="2:5">
      <c r="B5223" s="943">
        <v>45140</v>
      </c>
      <c r="C5223" s="195">
        <f t="shared" si="163"/>
        <v>8</v>
      </c>
      <c r="D5223" s="195">
        <v>60.6</v>
      </c>
      <c r="E5223" s="705">
        <f t="shared" si="164"/>
        <v>15.888888888888889</v>
      </c>
    </row>
    <row r="5224" spans="2:5">
      <c r="B5224" s="943">
        <v>45140</v>
      </c>
      <c r="C5224" s="195">
        <f t="shared" si="163"/>
        <v>8</v>
      </c>
      <c r="D5224" s="195">
        <v>60.8</v>
      </c>
      <c r="E5224" s="705">
        <f t="shared" si="164"/>
        <v>15.999999999999998</v>
      </c>
    </row>
    <row r="5225" spans="2:5">
      <c r="B5225" s="943">
        <v>45140</v>
      </c>
      <c r="C5225" s="195">
        <f t="shared" si="163"/>
        <v>8</v>
      </c>
      <c r="D5225" s="195">
        <v>62.2</v>
      </c>
      <c r="E5225" s="705">
        <f t="shared" si="164"/>
        <v>16.777777777777779</v>
      </c>
    </row>
    <row r="5226" spans="2:5">
      <c r="B5226" s="943">
        <v>45140</v>
      </c>
      <c r="C5226" s="195">
        <f t="shared" si="163"/>
        <v>8</v>
      </c>
      <c r="D5226" s="195" t="s">
        <v>1444</v>
      </c>
      <c r="E5226" s="705">
        <f t="shared" si="164"/>
        <v>17.777777777777779</v>
      </c>
    </row>
    <row r="5227" spans="2:5">
      <c r="B5227" s="943">
        <v>45140</v>
      </c>
      <c r="C5227" s="195">
        <f t="shared" si="163"/>
        <v>8</v>
      </c>
      <c r="D5227" s="195">
        <v>65.3</v>
      </c>
      <c r="E5227" s="705">
        <f t="shared" si="164"/>
        <v>18.499999999999996</v>
      </c>
    </row>
    <row r="5228" spans="2:5">
      <c r="B5228" s="943">
        <v>45140</v>
      </c>
      <c r="C5228" s="195">
        <f t="shared" si="163"/>
        <v>8</v>
      </c>
      <c r="D5228" s="195">
        <v>66.599999999999994</v>
      </c>
      <c r="E5228" s="705">
        <f t="shared" si="164"/>
        <v>19.222222222222218</v>
      </c>
    </row>
    <row r="5229" spans="2:5">
      <c r="B5229" s="943">
        <v>45140</v>
      </c>
      <c r="C5229" s="195">
        <f t="shared" si="163"/>
        <v>8</v>
      </c>
      <c r="D5229" s="195">
        <v>67.5</v>
      </c>
      <c r="E5229" s="705">
        <f t="shared" si="164"/>
        <v>19.722222222222221</v>
      </c>
    </row>
    <row r="5230" spans="2:5">
      <c r="B5230" s="943">
        <v>45140</v>
      </c>
      <c r="C5230" s="195">
        <f t="shared" si="163"/>
        <v>8</v>
      </c>
      <c r="D5230" s="195">
        <v>67.8</v>
      </c>
      <c r="E5230" s="705">
        <f t="shared" si="164"/>
        <v>19.888888888888886</v>
      </c>
    </row>
    <row r="5231" spans="2:5">
      <c r="B5231" s="943">
        <v>45140</v>
      </c>
      <c r="C5231" s="195">
        <f t="shared" si="163"/>
        <v>8</v>
      </c>
      <c r="D5231" s="195">
        <v>66.2</v>
      </c>
      <c r="E5231" s="705">
        <f t="shared" si="164"/>
        <v>19</v>
      </c>
    </row>
    <row r="5232" spans="2:5">
      <c r="B5232" s="943">
        <v>45140</v>
      </c>
      <c r="C5232" s="195">
        <f t="shared" si="163"/>
        <v>8</v>
      </c>
      <c r="D5232" s="195">
        <v>64.599999999999994</v>
      </c>
      <c r="E5232" s="705">
        <f t="shared" si="164"/>
        <v>18.111111111111107</v>
      </c>
    </row>
    <row r="5233" spans="2:5">
      <c r="B5233" s="943">
        <v>45140</v>
      </c>
      <c r="C5233" s="195">
        <f t="shared" si="163"/>
        <v>8</v>
      </c>
      <c r="D5233" s="195">
        <v>63.5</v>
      </c>
      <c r="E5233" s="705">
        <f t="shared" si="164"/>
        <v>17.5</v>
      </c>
    </row>
    <row r="5234" spans="2:5">
      <c r="B5234" s="943">
        <v>45140</v>
      </c>
      <c r="C5234" s="195">
        <f t="shared" si="163"/>
        <v>8</v>
      </c>
      <c r="D5234" s="195">
        <v>62.6</v>
      </c>
      <c r="E5234" s="705">
        <f t="shared" si="164"/>
        <v>17</v>
      </c>
    </row>
    <row r="5235" spans="2:5">
      <c r="B5235" s="943">
        <v>45140</v>
      </c>
      <c r="C5235" s="195">
        <f t="shared" si="163"/>
        <v>8</v>
      </c>
      <c r="D5235" s="195">
        <v>62.1</v>
      </c>
      <c r="E5235" s="705">
        <f t="shared" si="164"/>
        <v>16.722222222222221</v>
      </c>
    </row>
    <row r="5236" spans="2:5">
      <c r="B5236" s="943">
        <v>45140</v>
      </c>
      <c r="C5236" s="195">
        <f t="shared" si="163"/>
        <v>8</v>
      </c>
      <c r="D5236" s="195">
        <v>63.1</v>
      </c>
      <c r="E5236" s="705">
        <f t="shared" si="164"/>
        <v>17.277777777777779</v>
      </c>
    </row>
    <row r="5237" spans="2:5">
      <c r="B5237" s="943">
        <v>45140</v>
      </c>
      <c r="C5237" s="195">
        <f t="shared" si="163"/>
        <v>8</v>
      </c>
      <c r="D5237" s="195">
        <v>62.8</v>
      </c>
      <c r="E5237" s="705">
        <f t="shared" si="164"/>
        <v>17.111111111111111</v>
      </c>
    </row>
    <row r="5238" spans="2:5">
      <c r="B5238" s="943">
        <v>45140</v>
      </c>
      <c r="C5238" s="195">
        <f t="shared" si="163"/>
        <v>8</v>
      </c>
      <c r="D5238" s="195" t="s">
        <v>1444</v>
      </c>
      <c r="E5238" s="705">
        <f t="shared" si="164"/>
        <v>17.777777777777779</v>
      </c>
    </row>
    <row r="5239" spans="2:5">
      <c r="B5239" s="943">
        <v>45140</v>
      </c>
      <c r="C5239" s="195">
        <f t="shared" si="163"/>
        <v>8</v>
      </c>
      <c r="D5239" s="195">
        <v>65.8</v>
      </c>
      <c r="E5239" s="705">
        <f t="shared" si="164"/>
        <v>18.777777777777775</v>
      </c>
    </row>
    <row r="5240" spans="2:5">
      <c r="B5240" s="943">
        <v>45140</v>
      </c>
      <c r="C5240" s="195">
        <f t="shared" si="163"/>
        <v>8</v>
      </c>
      <c r="D5240" s="195">
        <v>67.099999999999994</v>
      </c>
      <c r="E5240" s="705">
        <f t="shared" si="164"/>
        <v>19.499999999999996</v>
      </c>
    </row>
    <row r="5241" spans="2:5">
      <c r="B5241" s="943">
        <v>45141</v>
      </c>
      <c r="C5241" s="195">
        <f t="shared" si="163"/>
        <v>8</v>
      </c>
      <c r="D5241" s="195">
        <v>67.8</v>
      </c>
      <c r="E5241" s="705">
        <f t="shared" si="164"/>
        <v>19.888888888888886</v>
      </c>
    </row>
    <row r="5242" spans="2:5">
      <c r="B5242" s="943">
        <v>45141</v>
      </c>
      <c r="C5242" s="195">
        <f t="shared" si="163"/>
        <v>8</v>
      </c>
      <c r="D5242" s="195" t="s">
        <v>1446</v>
      </c>
      <c r="E5242" s="705">
        <f t="shared" si="164"/>
        <v>20</v>
      </c>
    </row>
    <row r="5243" spans="2:5">
      <c r="B5243" s="943">
        <v>45141</v>
      </c>
      <c r="C5243" s="195">
        <f t="shared" si="163"/>
        <v>8</v>
      </c>
      <c r="D5243" s="195">
        <v>66.599999999999994</v>
      </c>
      <c r="E5243" s="705">
        <f t="shared" si="164"/>
        <v>19.222222222222218</v>
      </c>
    </row>
    <row r="5244" spans="2:5">
      <c r="B5244" s="943">
        <v>45141</v>
      </c>
      <c r="C5244" s="195">
        <f t="shared" si="163"/>
        <v>8</v>
      </c>
      <c r="D5244" s="195">
        <v>65.099999999999994</v>
      </c>
      <c r="E5244" s="705">
        <f t="shared" si="164"/>
        <v>18.388888888888886</v>
      </c>
    </row>
    <row r="5245" spans="2:5">
      <c r="B5245" s="943">
        <v>45141</v>
      </c>
      <c r="C5245" s="195">
        <f t="shared" si="163"/>
        <v>8</v>
      </c>
      <c r="D5245" s="195" t="s">
        <v>1444</v>
      </c>
      <c r="E5245" s="705">
        <f t="shared" si="164"/>
        <v>17.777777777777779</v>
      </c>
    </row>
    <row r="5246" spans="2:5">
      <c r="B5246" s="943">
        <v>45141</v>
      </c>
      <c r="C5246" s="195">
        <f t="shared" si="163"/>
        <v>8</v>
      </c>
      <c r="D5246" s="195">
        <v>62.4</v>
      </c>
      <c r="E5246" s="705">
        <f t="shared" si="164"/>
        <v>16.888888888888889</v>
      </c>
    </row>
    <row r="5247" spans="2:5">
      <c r="B5247" s="943">
        <v>45141</v>
      </c>
      <c r="C5247" s="195">
        <f t="shared" si="163"/>
        <v>8</v>
      </c>
      <c r="D5247" s="195">
        <v>61.3</v>
      </c>
      <c r="E5247" s="705">
        <f t="shared" si="164"/>
        <v>16.277777777777775</v>
      </c>
    </row>
    <row r="5248" spans="2:5">
      <c r="B5248" s="943">
        <v>45141</v>
      </c>
      <c r="C5248" s="195">
        <f t="shared" si="163"/>
        <v>8</v>
      </c>
      <c r="D5248" s="195">
        <v>61.7</v>
      </c>
      <c r="E5248" s="705">
        <f t="shared" si="164"/>
        <v>16.5</v>
      </c>
    </row>
    <row r="5249" spans="2:5">
      <c r="B5249" s="943">
        <v>45141</v>
      </c>
      <c r="C5249" s="195">
        <f t="shared" si="163"/>
        <v>8</v>
      </c>
      <c r="D5249" s="195">
        <v>61.9</v>
      </c>
      <c r="E5249" s="705">
        <f t="shared" si="164"/>
        <v>16.611111111111111</v>
      </c>
    </row>
    <row r="5250" spans="2:5">
      <c r="B5250" s="943">
        <v>45141</v>
      </c>
      <c r="C5250" s="195">
        <f t="shared" si="163"/>
        <v>8</v>
      </c>
      <c r="D5250" s="195">
        <v>63.1</v>
      </c>
      <c r="E5250" s="705">
        <f t="shared" si="164"/>
        <v>17.277777777777779</v>
      </c>
    </row>
    <row r="5251" spans="2:5">
      <c r="B5251" s="943">
        <v>45141</v>
      </c>
      <c r="C5251" s="195">
        <f t="shared" si="163"/>
        <v>8</v>
      </c>
      <c r="D5251" s="195">
        <v>64.8</v>
      </c>
      <c r="E5251" s="705">
        <f t="shared" si="164"/>
        <v>18.222222222222221</v>
      </c>
    </row>
    <row r="5252" spans="2:5">
      <c r="B5252" s="943">
        <v>45141</v>
      </c>
      <c r="C5252" s="195">
        <f t="shared" si="163"/>
        <v>8</v>
      </c>
      <c r="D5252" s="195">
        <v>65.8</v>
      </c>
      <c r="E5252" s="705">
        <f t="shared" si="164"/>
        <v>18.777777777777775</v>
      </c>
    </row>
    <row r="5253" spans="2:5">
      <c r="B5253" s="943">
        <v>45141</v>
      </c>
      <c r="C5253" s="195">
        <f t="shared" si="163"/>
        <v>8</v>
      </c>
      <c r="D5253" s="195">
        <v>66.900000000000006</v>
      </c>
      <c r="E5253" s="705">
        <f t="shared" si="164"/>
        <v>19.388888888888893</v>
      </c>
    </row>
    <row r="5254" spans="2:5">
      <c r="B5254" s="943">
        <v>45141</v>
      </c>
      <c r="C5254" s="195">
        <f t="shared" si="163"/>
        <v>8</v>
      </c>
      <c r="D5254" s="195">
        <v>67.599999999999994</v>
      </c>
      <c r="E5254" s="705">
        <f t="shared" si="164"/>
        <v>19.777777777777775</v>
      </c>
    </row>
    <row r="5255" spans="2:5">
      <c r="B5255" s="943">
        <v>45141</v>
      </c>
      <c r="C5255" s="195">
        <f t="shared" si="163"/>
        <v>8</v>
      </c>
      <c r="D5255" s="195">
        <v>67.8</v>
      </c>
      <c r="E5255" s="705">
        <f t="shared" si="164"/>
        <v>19.888888888888886</v>
      </c>
    </row>
    <row r="5256" spans="2:5">
      <c r="B5256" s="943">
        <v>45141</v>
      </c>
      <c r="C5256" s="195">
        <f t="shared" si="163"/>
        <v>8</v>
      </c>
      <c r="D5256" s="195" t="s">
        <v>1445</v>
      </c>
      <c r="E5256" s="705">
        <f t="shared" si="164"/>
        <v>18.888888888888889</v>
      </c>
    </row>
    <row r="5257" spans="2:5">
      <c r="B5257" s="943">
        <v>45141</v>
      </c>
      <c r="C5257" s="195">
        <f t="shared" si="163"/>
        <v>8</v>
      </c>
      <c r="D5257" s="195">
        <v>64.400000000000006</v>
      </c>
      <c r="E5257" s="705">
        <f t="shared" si="164"/>
        <v>18.000000000000004</v>
      </c>
    </row>
    <row r="5258" spans="2:5">
      <c r="B5258" s="943">
        <v>45141</v>
      </c>
      <c r="C5258" s="195">
        <f t="shared" ref="C5258:C5321" si="165">MONTH(B5258)</f>
        <v>8</v>
      </c>
      <c r="D5258" s="195" t="s">
        <v>1442</v>
      </c>
      <c r="E5258" s="705">
        <f t="shared" ref="E5258:E5321" si="166">CONVERT(D5258,"F","C")</f>
        <v>16.111111111111111</v>
      </c>
    </row>
    <row r="5259" spans="2:5">
      <c r="B5259" s="943">
        <v>45141</v>
      </c>
      <c r="C5259" s="195">
        <f t="shared" si="165"/>
        <v>8</v>
      </c>
      <c r="D5259" s="195">
        <v>59.7</v>
      </c>
      <c r="E5259" s="705">
        <f t="shared" si="166"/>
        <v>15.388888888888889</v>
      </c>
    </row>
    <row r="5260" spans="2:5">
      <c r="B5260" s="943">
        <v>45141</v>
      </c>
      <c r="C5260" s="195">
        <f t="shared" si="165"/>
        <v>8</v>
      </c>
      <c r="D5260" s="195">
        <v>59.9</v>
      </c>
      <c r="E5260" s="705">
        <f t="shared" si="166"/>
        <v>15.499999999999998</v>
      </c>
    </row>
    <row r="5261" spans="2:5">
      <c r="B5261" s="943">
        <v>45141</v>
      </c>
      <c r="C5261" s="195">
        <f t="shared" si="165"/>
        <v>8</v>
      </c>
      <c r="D5261" s="195">
        <v>61.2</v>
      </c>
      <c r="E5261" s="705">
        <f t="shared" si="166"/>
        <v>16.222222222222225</v>
      </c>
    </row>
    <row r="5262" spans="2:5">
      <c r="B5262" s="943">
        <v>45141</v>
      </c>
      <c r="C5262" s="195">
        <f t="shared" si="165"/>
        <v>8</v>
      </c>
      <c r="D5262" s="195">
        <v>60.8</v>
      </c>
      <c r="E5262" s="705">
        <f t="shared" si="166"/>
        <v>15.999999999999998</v>
      </c>
    </row>
    <row r="5263" spans="2:5">
      <c r="B5263" s="943">
        <v>45141</v>
      </c>
      <c r="C5263" s="195">
        <f t="shared" si="165"/>
        <v>8</v>
      </c>
      <c r="D5263" s="195">
        <v>62.6</v>
      </c>
      <c r="E5263" s="705">
        <f t="shared" si="166"/>
        <v>17</v>
      </c>
    </row>
    <row r="5264" spans="2:5">
      <c r="B5264" s="943">
        <v>45141</v>
      </c>
      <c r="C5264" s="195">
        <f t="shared" si="165"/>
        <v>8</v>
      </c>
      <c r="D5264" s="195">
        <v>65.099999999999994</v>
      </c>
      <c r="E5264" s="705">
        <f t="shared" si="166"/>
        <v>18.388888888888886</v>
      </c>
    </row>
    <row r="5265" spans="2:5">
      <c r="B5265" s="943">
        <v>45142</v>
      </c>
      <c r="C5265" s="195">
        <f t="shared" si="165"/>
        <v>8</v>
      </c>
      <c r="D5265" s="195">
        <v>66.599999999999994</v>
      </c>
      <c r="E5265" s="705">
        <f t="shared" si="166"/>
        <v>19.222222222222218</v>
      </c>
    </row>
    <row r="5266" spans="2:5">
      <c r="B5266" s="943">
        <v>45142</v>
      </c>
      <c r="C5266" s="195">
        <f t="shared" si="165"/>
        <v>8</v>
      </c>
      <c r="D5266" s="195">
        <v>67.5</v>
      </c>
      <c r="E5266" s="705">
        <f t="shared" si="166"/>
        <v>19.722222222222221</v>
      </c>
    </row>
    <row r="5267" spans="2:5">
      <c r="B5267" s="943">
        <v>45142</v>
      </c>
      <c r="C5267" s="195">
        <f t="shared" si="165"/>
        <v>8</v>
      </c>
      <c r="D5267" s="195">
        <v>67.599999999999994</v>
      </c>
      <c r="E5267" s="705">
        <f t="shared" si="166"/>
        <v>19.777777777777775</v>
      </c>
    </row>
    <row r="5268" spans="2:5">
      <c r="B5268" s="943">
        <v>45142</v>
      </c>
      <c r="C5268" s="195">
        <f t="shared" si="165"/>
        <v>8</v>
      </c>
      <c r="D5268" s="195">
        <v>65.8</v>
      </c>
      <c r="E5268" s="705">
        <f t="shared" si="166"/>
        <v>18.777777777777775</v>
      </c>
    </row>
    <row r="5269" spans="2:5">
      <c r="B5269" s="943">
        <v>45142</v>
      </c>
      <c r="C5269" s="195">
        <f t="shared" si="165"/>
        <v>8</v>
      </c>
      <c r="D5269" s="195">
        <v>63.1</v>
      </c>
      <c r="E5269" s="705">
        <f t="shared" si="166"/>
        <v>17.277777777777779</v>
      </c>
    </row>
    <row r="5270" spans="2:5">
      <c r="B5270" s="943">
        <v>45142</v>
      </c>
      <c r="C5270" s="195">
        <f t="shared" si="165"/>
        <v>8</v>
      </c>
      <c r="D5270" s="195">
        <v>60.1</v>
      </c>
      <c r="E5270" s="705">
        <f t="shared" si="166"/>
        <v>15.611111111111111</v>
      </c>
    </row>
    <row r="5271" spans="2:5">
      <c r="B5271" s="943">
        <v>45142</v>
      </c>
      <c r="C5271" s="195">
        <f t="shared" si="165"/>
        <v>8</v>
      </c>
      <c r="D5271" s="195" t="s">
        <v>1441</v>
      </c>
      <c r="E5271" s="705">
        <f t="shared" si="166"/>
        <v>15</v>
      </c>
    </row>
    <row r="5272" spans="2:5">
      <c r="B5272" s="943">
        <v>45142</v>
      </c>
      <c r="C5272" s="195">
        <f t="shared" si="165"/>
        <v>8</v>
      </c>
      <c r="D5272" s="195">
        <v>58.3</v>
      </c>
      <c r="E5272" s="705">
        <f t="shared" si="166"/>
        <v>14.611111111111109</v>
      </c>
    </row>
    <row r="5273" spans="2:5">
      <c r="B5273" s="943">
        <v>45142</v>
      </c>
      <c r="C5273" s="195">
        <f t="shared" si="165"/>
        <v>8</v>
      </c>
      <c r="D5273" s="195">
        <v>58.5</v>
      </c>
      <c r="E5273" s="705">
        <f t="shared" si="166"/>
        <v>14.722222222222221</v>
      </c>
    </row>
    <row r="5274" spans="2:5">
      <c r="B5274" s="943">
        <v>45142</v>
      </c>
      <c r="C5274" s="195">
        <f t="shared" si="165"/>
        <v>8</v>
      </c>
      <c r="D5274" s="195" t="s">
        <v>1441</v>
      </c>
      <c r="E5274" s="705">
        <f t="shared" si="166"/>
        <v>15</v>
      </c>
    </row>
    <row r="5275" spans="2:5">
      <c r="B5275" s="943">
        <v>45142</v>
      </c>
      <c r="C5275" s="195">
        <f t="shared" si="165"/>
        <v>8</v>
      </c>
      <c r="D5275" s="195">
        <v>60.6</v>
      </c>
      <c r="E5275" s="705">
        <f t="shared" si="166"/>
        <v>15.888888888888889</v>
      </c>
    </row>
    <row r="5276" spans="2:5">
      <c r="B5276" s="943">
        <v>45142</v>
      </c>
      <c r="C5276" s="195">
        <f t="shared" si="165"/>
        <v>8</v>
      </c>
      <c r="D5276" s="195" t="s">
        <v>1443</v>
      </c>
      <c r="E5276" s="705">
        <f t="shared" si="166"/>
        <v>17.222222222222221</v>
      </c>
    </row>
    <row r="5277" spans="2:5">
      <c r="B5277" s="943">
        <v>45142</v>
      </c>
      <c r="C5277" s="195">
        <f t="shared" si="165"/>
        <v>8</v>
      </c>
      <c r="D5277" s="195">
        <v>64.8</v>
      </c>
      <c r="E5277" s="705">
        <f t="shared" si="166"/>
        <v>18.222222222222221</v>
      </c>
    </row>
    <row r="5278" spans="2:5">
      <c r="B5278" s="943">
        <v>45142</v>
      </c>
      <c r="C5278" s="195">
        <f t="shared" si="165"/>
        <v>8</v>
      </c>
      <c r="D5278" s="195" t="s">
        <v>1445</v>
      </c>
      <c r="E5278" s="705">
        <f t="shared" si="166"/>
        <v>18.888888888888889</v>
      </c>
    </row>
    <row r="5279" spans="2:5">
      <c r="B5279" s="943">
        <v>45142</v>
      </c>
      <c r="C5279" s="195">
        <f t="shared" si="165"/>
        <v>8</v>
      </c>
      <c r="D5279" s="195">
        <v>66.900000000000006</v>
      </c>
      <c r="E5279" s="705">
        <f t="shared" si="166"/>
        <v>19.388888888888893</v>
      </c>
    </row>
    <row r="5280" spans="2:5">
      <c r="B5280" s="943">
        <v>45142</v>
      </c>
      <c r="C5280" s="195">
        <f t="shared" si="165"/>
        <v>8</v>
      </c>
      <c r="D5280" s="195">
        <v>66.7</v>
      </c>
      <c r="E5280" s="705">
        <f t="shared" si="166"/>
        <v>19.277777777777779</v>
      </c>
    </row>
    <row r="5281" spans="2:5">
      <c r="B5281" s="943">
        <v>45142</v>
      </c>
      <c r="C5281" s="195">
        <f t="shared" si="165"/>
        <v>8</v>
      </c>
      <c r="D5281" s="195">
        <v>64.400000000000006</v>
      </c>
      <c r="E5281" s="705">
        <f t="shared" si="166"/>
        <v>18.000000000000004</v>
      </c>
    </row>
    <row r="5282" spans="2:5">
      <c r="B5282" s="943">
        <v>45142</v>
      </c>
      <c r="C5282" s="195">
        <f t="shared" si="165"/>
        <v>8</v>
      </c>
      <c r="D5282" s="195" t="s">
        <v>1442</v>
      </c>
      <c r="E5282" s="705">
        <f t="shared" si="166"/>
        <v>16.111111111111111</v>
      </c>
    </row>
    <row r="5283" spans="2:5">
      <c r="B5283" s="943">
        <v>45142</v>
      </c>
      <c r="C5283" s="195">
        <f t="shared" si="165"/>
        <v>8</v>
      </c>
      <c r="D5283" s="195">
        <v>56.8</v>
      </c>
      <c r="E5283" s="705">
        <f t="shared" si="166"/>
        <v>13.777777777777775</v>
      </c>
    </row>
    <row r="5284" spans="2:5">
      <c r="B5284" s="943">
        <v>45142</v>
      </c>
      <c r="C5284" s="195">
        <f t="shared" si="165"/>
        <v>8</v>
      </c>
      <c r="D5284" s="195">
        <v>55.6</v>
      </c>
      <c r="E5284" s="705">
        <f t="shared" si="166"/>
        <v>13.111111111111111</v>
      </c>
    </row>
    <row r="5285" spans="2:5">
      <c r="B5285" s="943">
        <v>45142</v>
      </c>
      <c r="C5285" s="195">
        <f t="shared" si="165"/>
        <v>8</v>
      </c>
      <c r="D5285" s="195">
        <v>55.9</v>
      </c>
      <c r="E5285" s="705">
        <f t="shared" si="166"/>
        <v>13.277777777777777</v>
      </c>
    </row>
    <row r="5286" spans="2:5">
      <c r="B5286" s="943">
        <v>45142</v>
      </c>
      <c r="C5286" s="195">
        <f t="shared" si="165"/>
        <v>8</v>
      </c>
      <c r="D5286" s="195">
        <v>56.3</v>
      </c>
      <c r="E5286" s="705">
        <f t="shared" si="166"/>
        <v>13.499999999999998</v>
      </c>
    </row>
    <row r="5287" spans="2:5">
      <c r="B5287" s="943">
        <v>45142</v>
      </c>
      <c r="C5287" s="195">
        <f t="shared" si="165"/>
        <v>8</v>
      </c>
      <c r="D5287" s="195">
        <v>57.4</v>
      </c>
      <c r="E5287" s="705">
        <f t="shared" si="166"/>
        <v>14.111111111111111</v>
      </c>
    </row>
    <row r="5288" spans="2:5">
      <c r="B5288" s="943">
        <v>45142</v>
      </c>
      <c r="C5288" s="195">
        <f t="shared" si="165"/>
        <v>8</v>
      </c>
      <c r="D5288" s="195">
        <v>59.7</v>
      </c>
      <c r="E5288" s="705">
        <f t="shared" si="166"/>
        <v>15.388888888888889</v>
      </c>
    </row>
    <row r="5289" spans="2:5">
      <c r="B5289" s="943">
        <v>45143</v>
      </c>
      <c r="C5289" s="195">
        <f t="shared" si="165"/>
        <v>8</v>
      </c>
      <c r="D5289" s="195">
        <v>62.4</v>
      </c>
      <c r="E5289" s="705">
        <f t="shared" si="166"/>
        <v>16.888888888888889</v>
      </c>
    </row>
    <row r="5290" spans="2:5">
      <c r="B5290" s="943">
        <v>45143</v>
      </c>
      <c r="C5290" s="195">
        <f t="shared" si="165"/>
        <v>8</v>
      </c>
      <c r="D5290" s="195">
        <v>64.400000000000006</v>
      </c>
      <c r="E5290" s="705">
        <f t="shared" si="166"/>
        <v>18.000000000000004</v>
      </c>
    </row>
    <row r="5291" spans="2:5">
      <c r="B5291" s="943">
        <v>45143</v>
      </c>
      <c r="C5291" s="195">
        <f t="shared" si="165"/>
        <v>8</v>
      </c>
      <c r="D5291" s="195">
        <v>65.5</v>
      </c>
      <c r="E5291" s="705">
        <f t="shared" si="166"/>
        <v>18.611111111111111</v>
      </c>
    </row>
    <row r="5292" spans="2:5">
      <c r="B5292" s="943">
        <v>45143</v>
      </c>
      <c r="C5292" s="195">
        <f t="shared" si="165"/>
        <v>8</v>
      </c>
      <c r="D5292" s="195">
        <v>65.8</v>
      </c>
      <c r="E5292" s="705">
        <f t="shared" si="166"/>
        <v>18.777777777777775</v>
      </c>
    </row>
    <row r="5293" spans="2:5">
      <c r="B5293" s="943">
        <v>45143</v>
      </c>
      <c r="C5293" s="195">
        <f t="shared" si="165"/>
        <v>8</v>
      </c>
      <c r="D5293" s="195">
        <v>62.6</v>
      </c>
      <c r="E5293" s="705">
        <f t="shared" si="166"/>
        <v>17</v>
      </c>
    </row>
    <row r="5294" spans="2:5">
      <c r="B5294" s="943">
        <v>45143</v>
      </c>
      <c r="C5294" s="195">
        <f t="shared" si="165"/>
        <v>8</v>
      </c>
      <c r="D5294" s="195" t="s">
        <v>1441</v>
      </c>
      <c r="E5294" s="705">
        <f t="shared" si="166"/>
        <v>15</v>
      </c>
    </row>
    <row r="5295" spans="2:5">
      <c r="B5295" s="943">
        <v>45143</v>
      </c>
      <c r="C5295" s="195">
        <f t="shared" si="165"/>
        <v>8</v>
      </c>
      <c r="D5295" s="195">
        <v>55.6</v>
      </c>
      <c r="E5295" s="705">
        <f t="shared" si="166"/>
        <v>13.111111111111111</v>
      </c>
    </row>
    <row r="5296" spans="2:5">
      <c r="B5296" s="943">
        <v>45143</v>
      </c>
      <c r="C5296" s="195">
        <f t="shared" si="165"/>
        <v>8</v>
      </c>
      <c r="D5296" s="195">
        <v>54.5</v>
      </c>
      <c r="E5296" s="705">
        <f t="shared" si="166"/>
        <v>12.5</v>
      </c>
    </row>
    <row r="5297" spans="2:5">
      <c r="B5297" s="943">
        <v>45143</v>
      </c>
      <c r="C5297" s="195">
        <f t="shared" si="165"/>
        <v>8</v>
      </c>
      <c r="D5297" s="195">
        <v>54.1</v>
      </c>
      <c r="E5297" s="705">
        <f t="shared" si="166"/>
        <v>12.277777777777779</v>
      </c>
    </row>
    <row r="5298" spans="2:5">
      <c r="B5298" s="943">
        <v>45143</v>
      </c>
      <c r="C5298" s="195">
        <f t="shared" si="165"/>
        <v>8</v>
      </c>
      <c r="D5298" s="195">
        <v>55.6</v>
      </c>
      <c r="E5298" s="705">
        <f t="shared" si="166"/>
        <v>13.111111111111111</v>
      </c>
    </row>
    <row r="5299" spans="2:5">
      <c r="B5299" s="943">
        <v>45143</v>
      </c>
      <c r="C5299" s="195">
        <f t="shared" si="165"/>
        <v>8</v>
      </c>
      <c r="D5299" s="195">
        <v>55.4</v>
      </c>
      <c r="E5299" s="705">
        <f t="shared" si="166"/>
        <v>12.999999999999998</v>
      </c>
    </row>
    <row r="5300" spans="2:5">
      <c r="B5300" s="943">
        <v>45143</v>
      </c>
      <c r="C5300" s="195">
        <f t="shared" si="165"/>
        <v>8</v>
      </c>
      <c r="D5300" s="195">
        <v>57.2</v>
      </c>
      <c r="E5300" s="705">
        <f t="shared" si="166"/>
        <v>14.000000000000002</v>
      </c>
    </row>
    <row r="5301" spans="2:5">
      <c r="B5301" s="943">
        <v>45143</v>
      </c>
      <c r="C5301" s="195">
        <f t="shared" si="165"/>
        <v>8</v>
      </c>
      <c r="D5301" s="195">
        <v>60.4</v>
      </c>
      <c r="E5301" s="705">
        <f t="shared" si="166"/>
        <v>15.777777777777777</v>
      </c>
    </row>
    <row r="5302" spans="2:5">
      <c r="B5302" s="943">
        <v>45143</v>
      </c>
      <c r="C5302" s="195">
        <f t="shared" si="165"/>
        <v>8</v>
      </c>
      <c r="D5302" s="195">
        <v>62.2</v>
      </c>
      <c r="E5302" s="705">
        <f t="shared" si="166"/>
        <v>16.777777777777779</v>
      </c>
    </row>
    <row r="5303" spans="2:5">
      <c r="B5303" s="943">
        <v>45143</v>
      </c>
      <c r="C5303" s="195">
        <f t="shared" si="165"/>
        <v>8</v>
      </c>
      <c r="D5303" s="195" t="s">
        <v>1444</v>
      </c>
      <c r="E5303" s="705">
        <f t="shared" si="166"/>
        <v>17.777777777777779</v>
      </c>
    </row>
    <row r="5304" spans="2:5">
      <c r="B5304" s="943">
        <v>45143</v>
      </c>
      <c r="C5304" s="195">
        <f t="shared" si="165"/>
        <v>8</v>
      </c>
      <c r="D5304" s="195">
        <v>65.3</v>
      </c>
      <c r="E5304" s="705">
        <f t="shared" si="166"/>
        <v>18.499999999999996</v>
      </c>
    </row>
    <row r="5305" spans="2:5">
      <c r="B5305" s="943">
        <v>45143</v>
      </c>
      <c r="C5305" s="195">
        <f t="shared" si="165"/>
        <v>8</v>
      </c>
      <c r="D5305" s="195">
        <v>64.599999999999994</v>
      </c>
      <c r="E5305" s="705">
        <f t="shared" si="166"/>
        <v>18.111111111111107</v>
      </c>
    </row>
    <row r="5306" spans="2:5">
      <c r="B5306" s="943">
        <v>45143</v>
      </c>
      <c r="C5306" s="195">
        <f t="shared" si="165"/>
        <v>8</v>
      </c>
      <c r="D5306" s="195">
        <v>60.8</v>
      </c>
      <c r="E5306" s="705">
        <f t="shared" si="166"/>
        <v>15.999999999999998</v>
      </c>
    </row>
    <row r="5307" spans="2:5">
      <c r="B5307" s="943">
        <v>45143</v>
      </c>
      <c r="C5307" s="195">
        <f t="shared" si="165"/>
        <v>8</v>
      </c>
      <c r="D5307" s="195">
        <v>57.7</v>
      </c>
      <c r="E5307" s="705">
        <f t="shared" si="166"/>
        <v>14.277777777777779</v>
      </c>
    </row>
    <row r="5308" spans="2:5">
      <c r="B5308" s="943">
        <v>45143</v>
      </c>
      <c r="C5308" s="195">
        <f t="shared" si="165"/>
        <v>8</v>
      </c>
      <c r="D5308" s="195">
        <v>56.3</v>
      </c>
      <c r="E5308" s="705">
        <f t="shared" si="166"/>
        <v>13.499999999999998</v>
      </c>
    </row>
    <row r="5309" spans="2:5">
      <c r="B5309" s="943">
        <v>45143</v>
      </c>
      <c r="C5309" s="195">
        <f t="shared" si="165"/>
        <v>8</v>
      </c>
      <c r="D5309" s="195">
        <v>55.4</v>
      </c>
      <c r="E5309" s="705">
        <f t="shared" si="166"/>
        <v>12.999999999999998</v>
      </c>
    </row>
    <row r="5310" spans="2:5">
      <c r="B5310" s="943">
        <v>45143</v>
      </c>
      <c r="C5310" s="195">
        <f t="shared" si="165"/>
        <v>8</v>
      </c>
      <c r="D5310" s="195">
        <v>55.9</v>
      </c>
      <c r="E5310" s="705">
        <f t="shared" si="166"/>
        <v>13.277777777777777</v>
      </c>
    </row>
    <row r="5311" spans="2:5">
      <c r="B5311" s="943">
        <v>45143</v>
      </c>
      <c r="C5311" s="195">
        <f t="shared" si="165"/>
        <v>8</v>
      </c>
      <c r="D5311" s="195">
        <v>56.3</v>
      </c>
      <c r="E5311" s="705">
        <f t="shared" si="166"/>
        <v>13.499999999999998</v>
      </c>
    </row>
    <row r="5312" spans="2:5">
      <c r="B5312" s="943">
        <v>45143</v>
      </c>
      <c r="C5312" s="195">
        <f t="shared" si="165"/>
        <v>8</v>
      </c>
      <c r="D5312" s="195">
        <v>57.2</v>
      </c>
      <c r="E5312" s="705">
        <f t="shared" si="166"/>
        <v>14.000000000000002</v>
      </c>
    </row>
    <row r="5313" spans="2:5">
      <c r="B5313" s="943">
        <v>45144</v>
      </c>
      <c r="C5313" s="195">
        <f t="shared" si="165"/>
        <v>8</v>
      </c>
      <c r="D5313" s="195">
        <v>59.7</v>
      </c>
      <c r="E5313" s="705">
        <f t="shared" si="166"/>
        <v>15.388888888888889</v>
      </c>
    </row>
    <row r="5314" spans="2:5">
      <c r="B5314" s="943">
        <v>45144</v>
      </c>
      <c r="C5314" s="195">
        <f t="shared" si="165"/>
        <v>8</v>
      </c>
      <c r="D5314" s="195">
        <v>62.1</v>
      </c>
      <c r="E5314" s="705">
        <f t="shared" si="166"/>
        <v>16.722222222222221</v>
      </c>
    </row>
    <row r="5315" spans="2:5">
      <c r="B5315" s="943">
        <v>45144</v>
      </c>
      <c r="C5315" s="195">
        <f t="shared" si="165"/>
        <v>8</v>
      </c>
      <c r="D5315" s="195">
        <v>63.7</v>
      </c>
      <c r="E5315" s="705">
        <f t="shared" si="166"/>
        <v>17.611111111111111</v>
      </c>
    </row>
    <row r="5316" spans="2:5">
      <c r="B5316" s="943">
        <v>45144</v>
      </c>
      <c r="C5316" s="195">
        <f t="shared" si="165"/>
        <v>8</v>
      </c>
      <c r="D5316" s="195">
        <v>64.8</v>
      </c>
      <c r="E5316" s="705">
        <f t="shared" si="166"/>
        <v>18.222222222222221</v>
      </c>
    </row>
    <row r="5317" spans="2:5">
      <c r="B5317" s="943">
        <v>45144</v>
      </c>
      <c r="C5317" s="195">
        <f t="shared" si="165"/>
        <v>8</v>
      </c>
      <c r="D5317" s="195">
        <v>64.900000000000006</v>
      </c>
      <c r="E5317" s="705">
        <f t="shared" si="166"/>
        <v>18.277777777777782</v>
      </c>
    </row>
    <row r="5318" spans="2:5">
      <c r="B5318" s="943">
        <v>45144</v>
      </c>
      <c r="C5318" s="195">
        <f t="shared" si="165"/>
        <v>8</v>
      </c>
      <c r="D5318" s="195">
        <v>62.1</v>
      </c>
      <c r="E5318" s="705">
        <f t="shared" si="166"/>
        <v>16.722222222222221</v>
      </c>
    </row>
    <row r="5319" spans="2:5">
      <c r="B5319" s="943">
        <v>45144</v>
      </c>
      <c r="C5319" s="195">
        <f t="shared" si="165"/>
        <v>8</v>
      </c>
      <c r="D5319" s="195">
        <v>58.8</v>
      </c>
      <c r="E5319" s="705">
        <f t="shared" si="166"/>
        <v>14.888888888888888</v>
      </c>
    </row>
    <row r="5320" spans="2:5">
      <c r="B5320" s="943">
        <v>45144</v>
      </c>
      <c r="C5320" s="195">
        <f t="shared" si="165"/>
        <v>8</v>
      </c>
      <c r="D5320" s="195">
        <v>56.3</v>
      </c>
      <c r="E5320" s="705">
        <f t="shared" si="166"/>
        <v>13.499999999999998</v>
      </c>
    </row>
    <row r="5321" spans="2:5">
      <c r="B5321" s="943">
        <v>45144</v>
      </c>
      <c r="C5321" s="195">
        <f t="shared" si="165"/>
        <v>8</v>
      </c>
      <c r="D5321" s="195" t="s">
        <v>1439</v>
      </c>
      <c r="E5321" s="705">
        <f t="shared" si="166"/>
        <v>12.777777777777777</v>
      </c>
    </row>
    <row r="5322" spans="2:5">
      <c r="B5322" s="943">
        <v>45144</v>
      </c>
      <c r="C5322" s="195">
        <f t="shared" ref="C5322:C5385" si="167">MONTH(B5322)</f>
        <v>8</v>
      </c>
      <c r="D5322" s="195">
        <v>54.5</v>
      </c>
      <c r="E5322" s="705">
        <f t="shared" ref="E5322:E5385" si="168">CONVERT(D5322,"F","C")</f>
        <v>12.5</v>
      </c>
    </row>
    <row r="5323" spans="2:5">
      <c r="B5323" s="943">
        <v>45144</v>
      </c>
      <c r="C5323" s="195">
        <f t="shared" si="167"/>
        <v>8</v>
      </c>
      <c r="D5323" s="195" t="s">
        <v>1439</v>
      </c>
      <c r="E5323" s="705">
        <f t="shared" si="168"/>
        <v>12.777777777777777</v>
      </c>
    </row>
    <row r="5324" spans="2:5">
      <c r="B5324" s="943">
        <v>45144</v>
      </c>
      <c r="C5324" s="195">
        <f t="shared" si="167"/>
        <v>8</v>
      </c>
      <c r="D5324" s="195">
        <v>55.8</v>
      </c>
      <c r="E5324" s="705">
        <f t="shared" si="168"/>
        <v>13.22222222222222</v>
      </c>
    </row>
    <row r="5325" spans="2:5">
      <c r="B5325" s="943">
        <v>45144</v>
      </c>
      <c r="C5325" s="195">
        <f t="shared" si="167"/>
        <v>8</v>
      </c>
      <c r="D5325" s="195">
        <v>57.6</v>
      </c>
      <c r="E5325" s="705">
        <f t="shared" si="168"/>
        <v>14.222222222222223</v>
      </c>
    </row>
    <row r="5326" spans="2:5">
      <c r="B5326" s="943">
        <v>45144</v>
      </c>
      <c r="C5326" s="195">
        <f t="shared" si="167"/>
        <v>8</v>
      </c>
      <c r="D5326" s="195">
        <v>60.6</v>
      </c>
      <c r="E5326" s="705">
        <f t="shared" si="168"/>
        <v>15.888888888888889</v>
      </c>
    </row>
    <row r="5327" spans="2:5">
      <c r="B5327" s="943">
        <v>45144</v>
      </c>
      <c r="C5327" s="195">
        <f t="shared" si="167"/>
        <v>8</v>
      </c>
      <c r="D5327" s="195">
        <v>62.4</v>
      </c>
      <c r="E5327" s="705">
        <f t="shared" si="168"/>
        <v>16.888888888888889</v>
      </c>
    </row>
    <row r="5328" spans="2:5">
      <c r="B5328" s="943">
        <v>45144</v>
      </c>
      <c r="C5328" s="195">
        <f t="shared" si="167"/>
        <v>8</v>
      </c>
      <c r="D5328" s="195" t="s">
        <v>1444</v>
      </c>
      <c r="E5328" s="705">
        <f t="shared" si="168"/>
        <v>17.777777777777779</v>
      </c>
    </row>
    <row r="5329" spans="2:5">
      <c r="B5329" s="943">
        <v>45144</v>
      </c>
      <c r="C5329" s="195">
        <f t="shared" si="167"/>
        <v>8</v>
      </c>
      <c r="D5329" s="195">
        <v>65.099999999999994</v>
      </c>
      <c r="E5329" s="705">
        <f t="shared" si="168"/>
        <v>18.388888888888886</v>
      </c>
    </row>
    <row r="5330" spans="2:5">
      <c r="B5330" s="943">
        <v>45144</v>
      </c>
      <c r="C5330" s="195">
        <f t="shared" si="167"/>
        <v>8</v>
      </c>
      <c r="D5330" s="195">
        <v>63.7</v>
      </c>
      <c r="E5330" s="705">
        <f t="shared" si="168"/>
        <v>17.611111111111111</v>
      </c>
    </row>
    <row r="5331" spans="2:5">
      <c r="B5331" s="943">
        <v>45144</v>
      </c>
      <c r="C5331" s="195">
        <f t="shared" si="167"/>
        <v>8</v>
      </c>
      <c r="D5331" s="195">
        <v>60.6</v>
      </c>
      <c r="E5331" s="705">
        <f t="shared" si="168"/>
        <v>15.888888888888889</v>
      </c>
    </row>
    <row r="5332" spans="2:5">
      <c r="B5332" s="943">
        <v>45144</v>
      </c>
      <c r="C5332" s="195">
        <f t="shared" si="167"/>
        <v>8</v>
      </c>
      <c r="D5332" s="195">
        <v>57.4</v>
      </c>
      <c r="E5332" s="705">
        <f t="shared" si="168"/>
        <v>14.111111111111111</v>
      </c>
    </row>
    <row r="5333" spans="2:5">
      <c r="B5333" s="943">
        <v>45144</v>
      </c>
      <c r="C5333" s="195">
        <f t="shared" si="167"/>
        <v>8</v>
      </c>
      <c r="D5333" s="195">
        <v>55.8</v>
      </c>
      <c r="E5333" s="705">
        <f t="shared" si="168"/>
        <v>13.22222222222222</v>
      </c>
    </row>
    <row r="5334" spans="2:5">
      <c r="B5334" s="943">
        <v>45144</v>
      </c>
      <c r="C5334" s="195">
        <f t="shared" si="167"/>
        <v>8</v>
      </c>
      <c r="D5334" s="195">
        <v>55.2</v>
      </c>
      <c r="E5334" s="705">
        <f t="shared" si="168"/>
        <v>12.888888888888889</v>
      </c>
    </row>
    <row r="5335" spans="2:5">
      <c r="B5335" s="943">
        <v>45144</v>
      </c>
      <c r="C5335" s="195">
        <f t="shared" si="167"/>
        <v>8</v>
      </c>
      <c r="D5335" s="195">
        <v>55.4</v>
      </c>
      <c r="E5335" s="705">
        <f t="shared" si="168"/>
        <v>12.999999999999998</v>
      </c>
    </row>
    <row r="5336" spans="2:5">
      <c r="B5336" s="943">
        <v>45144</v>
      </c>
      <c r="C5336" s="195">
        <f t="shared" si="167"/>
        <v>8</v>
      </c>
      <c r="D5336" s="195">
        <v>56.1</v>
      </c>
      <c r="E5336" s="705">
        <f t="shared" si="168"/>
        <v>13.388888888888889</v>
      </c>
    </row>
    <row r="5337" spans="2:5">
      <c r="B5337" s="943">
        <v>45145</v>
      </c>
      <c r="C5337" s="195">
        <f t="shared" si="167"/>
        <v>8</v>
      </c>
      <c r="D5337" s="195">
        <v>56.8</v>
      </c>
      <c r="E5337" s="705">
        <f t="shared" si="168"/>
        <v>13.777777777777775</v>
      </c>
    </row>
    <row r="5338" spans="2:5">
      <c r="B5338" s="943">
        <v>45145</v>
      </c>
      <c r="C5338" s="195">
        <f t="shared" si="167"/>
        <v>8</v>
      </c>
      <c r="D5338" s="195" t="s">
        <v>1441</v>
      </c>
      <c r="E5338" s="705">
        <f t="shared" si="168"/>
        <v>15</v>
      </c>
    </row>
    <row r="5339" spans="2:5">
      <c r="B5339" s="943">
        <v>45145</v>
      </c>
      <c r="C5339" s="195">
        <f t="shared" si="167"/>
        <v>8</v>
      </c>
      <c r="D5339" s="195">
        <v>61.5</v>
      </c>
      <c r="E5339" s="705">
        <f t="shared" si="168"/>
        <v>16.388888888888889</v>
      </c>
    </row>
    <row r="5340" spans="2:5">
      <c r="B5340" s="943">
        <v>45145</v>
      </c>
      <c r="C5340" s="195">
        <f t="shared" si="167"/>
        <v>8</v>
      </c>
      <c r="D5340" s="195">
        <v>63.1</v>
      </c>
      <c r="E5340" s="705">
        <f t="shared" si="168"/>
        <v>17.277777777777779</v>
      </c>
    </row>
    <row r="5341" spans="2:5">
      <c r="B5341" s="943">
        <v>45145</v>
      </c>
      <c r="C5341" s="195">
        <f t="shared" si="167"/>
        <v>8</v>
      </c>
      <c r="D5341" s="195">
        <v>64.400000000000006</v>
      </c>
      <c r="E5341" s="705">
        <f t="shared" si="168"/>
        <v>18.000000000000004</v>
      </c>
    </row>
    <row r="5342" spans="2:5">
      <c r="B5342" s="943">
        <v>45145</v>
      </c>
      <c r="C5342" s="195">
        <f t="shared" si="167"/>
        <v>8</v>
      </c>
      <c r="D5342" s="195">
        <v>64.400000000000006</v>
      </c>
      <c r="E5342" s="705">
        <f t="shared" si="168"/>
        <v>18.000000000000004</v>
      </c>
    </row>
    <row r="5343" spans="2:5">
      <c r="B5343" s="943">
        <v>45145</v>
      </c>
      <c r="C5343" s="195">
        <f t="shared" si="167"/>
        <v>8</v>
      </c>
      <c r="D5343" s="195">
        <v>61.5</v>
      </c>
      <c r="E5343" s="705">
        <f t="shared" si="168"/>
        <v>16.388888888888889</v>
      </c>
    </row>
    <row r="5344" spans="2:5">
      <c r="B5344" s="943">
        <v>45145</v>
      </c>
      <c r="C5344" s="195">
        <f t="shared" si="167"/>
        <v>8</v>
      </c>
      <c r="D5344" s="195">
        <v>59.2</v>
      </c>
      <c r="E5344" s="705">
        <f t="shared" si="168"/>
        <v>15.111111111111112</v>
      </c>
    </row>
    <row r="5345" spans="2:5">
      <c r="B5345" s="943">
        <v>45145</v>
      </c>
      <c r="C5345" s="195">
        <f t="shared" si="167"/>
        <v>8</v>
      </c>
      <c r="D5345" s="195">
        <v>56.1</v>
      </c>
      <c r="E5345" s="705">
        <f t="shared" si="168"/>
        <v>13.388888888888889</v>
      </c>
    </row>
    <row r="5346" spans="2:5">
      <c r="B5346" s="943">
        <v>45145</v>
      </c>
      <c r="C5346" s="195">
        <f t="shared" si="167"/>
        <v>8</v>
      </c>
      <c r="D5346" s="195">
        <v>55.2</v>
      </c>
      <c r="E5346" s="705">
        <f t="shared" si="168"/>
        <v>12.888888888888889</v>
      </c>
    </row>
    <row r="5347" spans="2:5">
      <c r="B5347" s="943">
        <v>45145</v>
      </c>
      <c r="C5347" s="195">
        <f t="shared" si="167"/>
        <v>8</v>
      </c>
      <c r="D5347" s="195">
        <v>54.7</v>
      </c>
      <c r="E5347" s="705">
        <f t="shared" si="168"/>
        <v>12.611111111111112</v>
      </c>
    </row>
    <row r="5348" spans="2:5">
      <c r="B5348" s="943">
        <v>45145</v>
      </c>
      <c r="C5348" s="195">
        <f t="shared" si="167"/>
        <v>8</v>
      </c>
      <c r="D5348" s="195">
        <v>55.2</v>
      </c>
      <c r="E5348" s="705">
        <f t="shared" si="168"/>
        <v>12.888888888888889</v>
      </c>
    </row>
    <row r="5349" spans="2:5">
      <c r="B5349" s="943">
        <v>45145</v>
      </c>
      <c r="C5349" s="195">
        <f t="shared" si="167"/>
        <v>8</v>
      </c>
      <c r="D5349" s="195">
        <v>55.9</v>
      </c>
      <c r="E5349" s="705">
        <f t="shared" si="168"/>
        <v>13.277777777777777</v>
      </c>
    </row>
    <row r="5350" spans="2:5">
      <c r="B5350" s="943">
        <v>45145</v>
      </c>
      <c r="C5350" s="195">
        <f t="shared" si="167"/>
        <v>8</v>
      </c>
      <c r="D5350" s="195">
        <v>57.7</v>
      </c>
      <c r="E5350" s="705">
        <f t="shared" si="168"/>
        <v>14.277777777777779</v>
      </c>
    </row>
    <row r="5351" spans="2:5">
      <c r="B5351" s="943">
        <v>45145</v>
      </c>
      <c r="C5351" s="195">
        <f t="shared" si="167"/>
        <v>8</v>
      </c>
      <c r="D5351" s="195">
        <v>60.6</v>
      </c>
      <c r="E5351" s="705">
        <f t="shared" si="168"/>
        <v>15.888888888888889</v>
      </c>
    </row>
    <row r="5352" spans="2:5">
      <c r="B5352" s="943">
        <v>45145</v>
      </c>
      <c r="C5352" s="195">
        <f t="shared" si="167"/>
        <v>8</v>
      </c>
      <c r="D5352" s="195">
        <v>62.4</v>
      </c>
      <c r="E5352" s="705">
        <f t="shared" si="168"/>
        <v>16.888888888888889</v>
      </c>
    </row>
    <row r="5353" spans="2:5">
      <c r="B5353" s="943">
        <v>45145</v>
      </c>
      <c r="C5353" s="195">
        <f t="shared" si="167"/>
        <v>8</v>
      </c>
      <c r="D5353" s="195">
        <v>63.7</v>
      </c>
      <c r="E5353" s="705">
        <f t="shared" si="168"/>
        <v>17.611111111111111</v>
      </c>
    </row>
    <row r="5354" spans="2:5">
      <c r="B5354" s="943">
        <v>45145</v>
      </c>
      <c r="C5354" s="195">
        <f t="shared" si="167"/>
        <v>8</v>
      </c>
      <c r="D5354" s="195" t="s">
        <v>1444</v>
      </c>
      <c r="E5354" s="705">
        <f t="shared" si="168"/>
        <v>17.777777777777779</v>
      </c>
    </row>
    <row r="5355" spans="2:5">
      <c r="B5355" s="943">
        <v>45145</v>
      </c>
      <c r="C5355" s="195">
        <f t="shared" si="167"/>
        <v>8</v>
      </c>
      <c r="D5355" s="195">
        <v>62.1</v>
      </c>
      <c r="E5355" s="705">
        <f t="shared" si="168"/>
        <v>16.722222222222221</v>
      </c>
    </row>
    <row r="5356" spans="2:5">
      <c r="B5356" s="943">
        <v>45145</v>
      </c>
      <c r="C5356" s="195">
        <f t="shared" si="167"/>
        <v>8</v>
      </c>
      <c r="D5356" s="195">
        <v>59.2</v>
      </c>
      <c r="E5356" s="705">
        <f t="shared" si="168"/>
        <v>15.111111111111112</v>
      </c>
    </row>
    <row r="5357" spans="2:5">
      <c r="B5357" s="943">
        <v>45145</v>
      </c>
      <c r="C5357" s="195">
        <f t="shared" si="167"/>
        <v>8</v>
      </c>
      <c r="D5357" s="195">
        <v>57.9</v>
      </c>
      <c r="E5357" s="705">
        <f t="shared" si="168"/>
        <v>14.388888888888888</v>
      </c>
    </row>
    <row r="5358" spans="2:5">
      <c r="B5358" s="943">
        <v>45145</v>
      </c>
      <c r="C5358" s="195">
        <f t="shared" si="167"/>
        <v>8</v>
      </c>
      <c r="D5358" s="195">
        <v>57.2</v>
      </c>
      <c r="E5358" s="705">
        <f t="shared" si="168"/>
        <v>14.000000000000002</v>
      </c>
    </row>
    <row r="5359" spans="2:5">
      <c r="B5359" s="943">
        <v>45145</v>
      </c>
      <c r="C5359" s="195">
        <f t="shared" si="167"/>
        <v>8</v>
      </c>
      <c r="D5359" s="195">
        <v>56.7</v>
      </c>
      <c r="E5359" s="705">
        <f t="shared" si="168"/>
        <v>13.722222222222223</v>
      </c>
    </row>
    <row r="5360" spans="2:5">
      <c r="B5360" s="943">
        <v>45145</v>
      </c>
      <c r="C5360" s="195">
        <f t="shared" si="167"/>
        <v>8</v>
      </c>
      <c r="D5360" s="195">
        <v>56.5</v>
      </c>
      <c r="E5360" s="705">
        <f t="shared" si="168"/>
        <v>13.611111111111111</v>
      </c>
    </row>
    <row r="5361" spans="2:5">
      <c r="B5361" s="943">
        <v>45146</v>
      </c>
      <c r="C5361" s="195">
        <f t="shared" si="167"/>
        <v>8</v>
      </c>
      <c r="D5361" s="195">
        <v>56.8</v>
      </c>
      <c r="E5361" s="705">
        <f t="shared" si="168"/>
        <v>13.777777777777775</v>
      </c>
    </row>
    <row r="5362" spans="2:5">
      <c r="B5362" s="943">
        <v>45146</v>
      </c>
      <c r="C5362" s="195">
        <f t="shared" si="167"/>
        <v>8</v>
      </c>
      <c r="D5362" s="195">
        <v>57.7</v>
      </c>
      <c r="E5362" s="705">
        <f t="shared" si="168"/>
        <v>14.277777777777779</v>
      </c>
    </row>
    <row r="5363" spans="2:5">
      <c r="B5363" s="943">
        <v>45146</v>
      </c>
      <c r="C5363" s="195">
        <f t="shared" si="167"/>
        <v>8</v>
      </c>
      <c r="D5363" s="195">
        <v>59.4</v>
      </c>
      <c r="E5363" s="705">
        <f t="shared" si="168"/>
        <v>15.222222222222221</v>
      </c>
    </row>
    <row r="5364" spans="2:5">
      <c r="B5364" s="943">
        <v>45146</v>
      </c>
      <c r="C5364" s="195">
        <f t="shared" si="167"/>
        <v>8</v>
      </c>
      <c r="D5364" s="195" t="s">
        <v>1442</v>
      </c>
      <c r="E5364" s="705">
        <f t="shared" si="168"/>
        <v>16.111111111111111</v>
      </c>
    </row>
    <row r="5365" spans="2:5">
      <c r="B5365" s="943">
        <v>45146</v>
      </c>
      <c r="C5365" s="195">
        <f t="shared" si="167"/>
        <v>8</v>
      </c>
      <c r="D5365" s="195">
        <v>62.4</v>
      </c>
      <c r="E5365" s="705">
        <f t="shared" si="168"/>
        <v>16.888888888888889</v>
      </c>
    </row>
    <row r="5366" spans="2:5">
      <c r="B5366" s="943">
        <v>45146</v>
      </c>
      <c r="C5366" s="195">
        <f t="shared" si="167"/>
        <v>8</v>
      </c>
      <c r="D5366" s="195">
        <v>63.3</v>
      </c>
      <c r="E5366" s="705">
        <f t="shared" si="168"/>
        <v>17.388888888888886</v>
      </c>
    </row>
    <row r="5367" spans="2:5">
      <c r="B5367" s="943">
        <v>45146</v>
      </c>
      <c r="C5367" s="195">
        <f t="shared" si="167"/>
        <v>8</v>
      </c>
      <c r="D5367" s="195">
        <v>63.3</v>
      </c>
      <c r="E5367" s="705">
        <f t="shared" si="168"/>
        <v>17.388888888888886</v>
      </c>
    </row>
    <row r="5368" spans="2:5">
      <c r="B5368" s="943">
        <v>45146</v>
      </c>
      <c r="C5368" s="195">
        <f t="shared" si="167"/>
        <v>8</v>
      </c>
      <c r="D5368" s="195">
        <v>61.2</v>
      </c>
      <c r="E5368" s="705">
        <f t="shared" si="168"/>
        <v>16.222222222222225</v>
      </c>
    </row>
    <row r="5369" spans="2:5">
      <c r="B5369" s="943">
        <v>45146</v>
      </c>
      <c r="C5369" s="195">
        <f t="shared" si="167"/>
        <v>8</v>
      </c>
      <c r="D5369" s="195">
        <v>59.5</v>
      </c>
      <c r="E5369" s="705">
        <f t="shared" si="168"/>
        <v>15.277777777777777</v>
      </c>
    </row>
    <row r="5370" spans="2:5">
      <c r="B5370" s="943">
        <v>45146</v>
      </c>
      <c r="C5370" s="195">
        <f t="shared" si="167"/>
        <v>8</v>
      </c>
      <c r="D5370" s="195">
        <v>59.7</v>
      </c>
      <c r="E5370" s="705">
        <f t="shared" si="168"/>
        <v>15.388888888888889</v>
      </c>
    </row>
    <row r="5371" spans="2:5">
      <c r="B5371" s="943">
        <v>45146</v>
      </c>
      <c r="C5371" s="195">
        <f t="shared" si="167"/>
        <v>8</v>
      </c>
      <c r="D5371" s="195">
        <v>59.7</v>
      </c>
      <c r="E5371" s="705">
        <f t="shared" si="168"/>
        <v>15.388888888888889</v>
      </c>
    </row>
    <row r="5372" spans="2:5">
      <c r="B5372" s="943">
        <v>45146</v>
      </c>
      <c r="C5372" s="195">
        <f t="shared" si="167"/>
        <v>8</v>
      </c>
      <c r="D5372" s="195">
        <v>59.7</v>
      </c>
      <c r="E5372" s="705">
        <f t="shared" si="168"/>
        <v>15.388888888888889</v>
      </c>
    </row>
    <row r="5373" spans="2:5">
      <c r="B5373" s="943">
        <v>45146</v>
      </c>
      <c r="C5373" s="195">
        <f t="shared" si="167"/>
        <v>8</v>
      </c>
      <c r="D5373" s="195">
        <v>59.5</v>
      </c>
      <c r="E5373" s="705">
        <f t="shared" si="168"/>
        <v>15.277777777777777</v>
      </c>
    </row>
    <row r="5374" spans="2:5">
      <c r="B5374" s="943">
        <v>45146</v>
      </c>
      <c r="C5374" s="195">
        <f t="shared" si="167"/>
        <v>8</v>
      </c>
      <c r="D5374" s="195">
        <v>59.7</v>
      </c>
      <c r="E5374" s="705">
        <f t="shared" si="168"/>
        <v>15.388888888888889</v>
      </c>
    </row>
    <row r="5375" spans="2:5">
      <c r="B5375" s="943">
        <v>45146</v>
      </c>
      <c r="C5375" s="195">
        <f t="shared" si="167"/>
        <v>8</v>
      </c>
      <c r="D5375" s="195">
        <v>60.3</v>
      </c>
      <c r="E5375" s="705">
        <f t="shared" si="168"/>
        <v>15.72222222222222</v>
      </c>
    </row>
    <row r="5376" spans="2:5">
      <c r="B5376" s="943">
        <v>45146</v>
      </c>
      <c r="C5376" s="195">
        <f t="shared" si="167"/>
        <v>8</v>
      </c>
      <c r="D5376" s="195">
        <v>61.3</v>
      </c>
      <c r="E5376" s="705">
        <f t="shared" si="168"/>
        <v>16.277777777777775</v>
      </c>
    </row>
    <row r="5377" spans="2:5">
      <c r="B5377" s="943">
        <v>45146</v>
      </c>
      <c r="C5377" s="195">
        <f t="shared" si="167"/>
        <v>8</v>
      </c>
      <c r="D5377" s="195">
        <v>62.2</v>
      </c>
      <c r="E5377" s="705">
        <f t="shared" si="168"/>
        <v>16.777777777777779</v>
      </c>
    </row>
    <row r="5378" spans="2:5">
      <c r="B5378" s="943">
        <v>45146</v>
      </c>
      <c r="C5378" s="195">
        <f t="shared" si="167"/>
        <v>8</v>
      </c>
      <c r="D5378" s="195">
        <v>63.1</v>
      </c>
      <c r="E5378" s="705">
        <f t="shared" si="168"/>
        <v>17.277777777777779</v>
      </c>
    </row>
    <row r="5379" spans="2:5">
      <c r="B5379" s="943">
        <v>45146</v>
      </c>
      <c r="C5379" s="195">
        <f t="shared" si="167"/>
        <v>8</v>
      </c>
      <c r="D5379" s="195">
        <v>63.3</v>
      </c>
      <c r="E5379" s="705">
        <f t="shared" si="168"/>
        <v>17.388888888888886</v>
      </c>
    </row>
    <row r="5380" spans="2:5">
      <c r="B5380" s="943">
        <v>45146</v>
      </c>
      <c r="C5380" s="195">
        <f t="shared" si="167"/>
        <v>8</v>
      </c>
      <c r="D5380" s="195">
        <v>62.1</v>
      </c>
      <c r="E5380" s="705">
        <f t="shared" si="168"/>
        <v>16.722222222222221</v>
      </c>
    </row>
    <row r="5381" spans="2:5">
      <c r="B5381" s="943">
        <v>45146</v>
      </c>
      <c r="C5381" s="195">
        <f t="shared" si="167"/>
        <v>8</v>
      </c>
      <c r="D5381" s="195">
        <v>61.2</v>
      </c>
      <c r="E5381" s="705">
        <f t="shared" si="168"/>
        <v>16.222222222222225</v>
      </c>
    </row>
    <row r="5382" spans="2:5">
      <c r="B5382" s="943">
        <v>45146</v>
      </c>
      <c r="C5382" s="195">
        <f t="shared" si="167"/>
        <v>8</v>
      </c>
      <c r="D5382" s="195">
        <v>59.9</v>
      </c>
      <c r="E5382" s="705">
        <f t="shared" si="168"/>
        <v>15.499999999999998</v>
      </c>
    </row>
    <row r="5383" spans="2:5">
      <c r="B5383" s="943">
        <v>45146</v>
      </c>
      <c r="C5383" s="195">
        <f t="shared" si="167"/>
        <v>8</v>
      </c>
      <c r="D5383" s="195">
        <v>59.4</v>
      </c>
      <c r="E5383" s="705">
        <f t="shared" si="168"/>
        <v>15.222222222222221</v>
      </c>
    </row>
    <row r="5384" spans="2:5">
      <c r="B5384" s="943">
        <v>45146</v>
      </c>
      <c r="C5384" s="195">
        <f t="shared" si="167"/>
        <v>8</v>
      </c>
      <c r="D5384" s="195">
        <v>58.8</v>
      </c>
      <c r="E5384" s="705">
        <f t="shared" si="168"/>
        <v>14.888888888888888</v>
      </c>
    </row>
    <row r="5385" spans="2:5">
      <c r="B5385" s="943">
        <v>45147</v>
      </c>
      <c r="C5385" s="195">
        <f t="shared" si="167"/>
        <v>8</v>
      </c>
      <c r="D5385" s="195">
        <v>58.6</v>
      </c>
      <c r="E5385" s="705">
        <f t="shared" si="168"/>
        <v>14.777777777777779</v>
      </c>
    </row>
    <row r="5386" spans="2:5">
      <c r="B5386" s="943">
        <v>45147</v>
      </c>
      <c r="C5386" s="195">
        <f t="shared" ref="C5386:C5449" si="169">MONTH(B5386)</f>
        <v>8</v>
      </c>
      <c r="D5386" s="195" t="s">
        <v>1441</v>
      </c>
      <c r="E5386" s="705">
        <f t="shared" ref="E5386:E5449" si="170">CONVERT(D5386,"F","C")</f>
        <v>15</v>
      </c>
    </row>
    <row r="5387" spans="2:5">
      <c r="B5387" s="943">
        <v>45147</v>
      </c>
      <c r="C5387" s="195">
        <f t="shared" si="169"/>
        <v>8</v>
      </c>
      <c r="D5387" s="195">
        <v>60.1</v>
      </c>
      <c r="E5387" s="705">
        <f t="shared" si="170"/>
        <v>15.611111111111111</v>
      </c>
    </row>
    <row r="5388" spans="2:5">
      <c r="B5388" s="943">
        <v>45147</v>
      </c>
      <c r="C5388" s="195">
        <f t="shared" si="169"/>
        <v>8</v>
      </c>
      <c r="D5388" s="195">
        <v>61.7</v>
      </c>
      <c r="E5388" s="705">
        <f t="shared" si="170"/>
        <v>16.5</v>
      </c>
    </row>
    <row r="5389" spans="2:5">
      <c r="B5389" s="943">
        <v>45147</v>
      </c>
      <c r="C5389" s="195">
        <f t="shared" si="169"/>
        <v>8</v>
      </c>
      <c r="D5389" s="195">
        <v>62.8</v>
      </c>
      <c r="E5389" s="705">
        <f t="shared" si="170"/>
        <v>17.111111111111111</v>
      </c>
    </row>
    <row r="5390" spans="2:5">
      <c r="B5390" s="943">
        <v>45147</v>
      </c>
      <c r="C5390" s="195">
        <f t="shared" si="169"/>
        <v>8</v>
      </c>
      <c r="D5390" s="195">
        <v>63.9</v>
      </c>
      <c r="E5390" s="705">
        <f t="shared" si="170"/>
        <v>17.722222222222221</v>
      </c>
    </row>
    <row r="5391" spans="2:5">
      <c r="B5391" s="943">
        <v>45147</v>
      </c>
      <c r="C5391" s="195">
        <f t="shared" si="169"/>
        <v>8</v>
      </c>
      <c r="D5391" s="195">
        <v>64.400000000000006</v>
      </c>
      <c r="E5391" s="705">
        <f t="shared" si="170"/>
        <v>18.000000000000004</v>
      </c>
    </row>
    <row r="5392" spans="2:5">
      <c r="B5392" s="943">
        <v>45147</v>
      </c>
      <c r="C5392" s="195">
        <f t="shared" si="169"/>
        <v>8</v>
      </c>
      <c r="D5392" s="195">
        <v>64.599999999999994</v>
      </c>
      <c r="E5392" s="705">
        <f t="shared" si="170"/>
        <v>18.111111111111107</v>
      </c>
    </row>
    <row r="5393" spans="2:5">
      <c r="B5393" s="943">
        <v>45147</v>
      </c>
      <c r="C5393" s="195">
        <f t="shared" si="169"/>
        <v>8</v>
      </c>
      <c r="D5393" s="195">
        <v>62.4</v>
      </c>
      <c r="E5393" s="705">
        <f t="shared" si="170"/>
        <v>16.888888888888889</v>
      </c>
    </row>
    <row r="5394" spans="2:5">
      <c r="B5394" s="943">
        <v>45147</v>
      </c>
      <c r="C5394" s="195">
        <f t="shared" si="169"/>
        <v>8</v>
      </c>
      <c r="D5394" s="195">
        <v>61.3</v>
      </c>
      <c r="E5394" s="705">
        <f t="shared" si="170"/>
        <v>16.277777777777775</v>
      </c>
    </row>
    <row r="5395" spans="2:5">
      <c r="B5395" s="943">
        <v>45147</v>
      </c>
      <c r="C5395" s="195">
        <f t="shared" si="169"/>
        <v>8</v>
      </c>
      <c r="D5395" s="195">
        <v>58.6</v>
      </c>
      <c r="E5395" s="705">
        <f t="shared" si="170"/>
        <v>14.777777777777779</v>
      </c>
    </row>
    <row r="5396" spans="2:5">
      <c r="B5396" s="943">
        <v>45147</v>
      </c>
      <c r="C5396" s="195">
        <f t="shared" si="169"/>
        <v>8</v>
      </c>
      <c r="D5396" s="195">
        <v>57.4</v>
      </c>
      <c r="E5396" s="705">
        <f t="shared" si="170"/>
        <v>14.111111111111111</v>
      </c>
    </row>
    <row r="5397" spans="2:5">
      <c r="B5397" s="943">
        <v>45147</v>
      </c>
      <c r="C5397" s="195">
        <f t="shared" si="169"/>
        <v>8</v>
      </c>
      <c r="D5397" s="195">
        <v>56.5</v>
      </c>
      <c r="E5397" s="705">
        <f t="shared" si="170"/>
        <v>13.611111111111111</v>
      </c>
    </row>
    <row r="5398" spans="2:5">
      <c r="B5398" s="943">
        <v>45147</v>
      </c>
      <c r="C5398" s="195">
        <f t="shared" si="169"/>
        <v>8</v>
      </c>
      <c r="D5398" s="195" t="s">
        <v>1440</v>
      </c>
      <c r="E5398" s="705">
        <f t="shared" si="170"/>
        <v>13.888888888888889</v>
      </c>
    </row>
    <row r="5399" spans="2:5">
      <c r="B5399" s="943">
        <v>45147</v>
      </c>
      <c r="C5399" s="195">
        <f t="shared" si="169"/>
        <v>8</v>
      </c>
      <c r="D5399" s="195">
        <v>58.5</v>
      </c>
      <c r="E5399" s="705">
        <f t="shared" si="170"/>
        <v>14.722222222222221</v>
      </c>
    </row>
    <row r="5400" spans="2:5">
      <c r="B5400" s="943">
        <v>45147</v>
      </c>
      <c r="C5400" s="195">
        <f t="shared" si="169"/>
        <v>8</v>
      </c>
      <c r="D5400" s="195">
        <v>60.8</v>
      </c>
      <c r="E5400" s="705">
        <f t="shared" si="170"/>
        <v>15.999999999999998</v>
      </c>
    </row>
    <row r="5401" spans="2:5">
      <c r="B5401" s="943">
        <v>45147</v>
      </c>
      <c r="C5401" s="195">
        <f t="shared" si="169"/>
        <v>8</v>
      </c>
      <c r="D5401" s="195">
        <v>63.1</v>
      </c>
      <c r="E5401" s="705">
        <f t="shared" si="170"/>
        <v>17.277777777777779</v>
      </c>
    </row>
    <row r="5402" spans="2:5">
      <c r="B5402" s="943">
        <v>45147</v>
      </c>
      <c r="C5402" s="195">
        <f t="shared" si="169"/>
        <v>8</v>
      </c>
      <c r="D5402" s="195">
        <v>64.599999999999994</v>
      </c>
      <c r="E5402" s="705">
        <f t="shared" si="170"/>
        <v>18.111111111111107</v>
      </c>
    </row>
    <row r="5403" spans="2:5">
      <c r="B5403" s="943">
        <v>45147</v>
      </c>
      <c r="C5403" s="195">
        <f t="shared" si="169"/>
        <v>8</v>
      </c>
      <c r="D5403" s="195">
        <v>65.3</v>
      </c>
      <c r="E5403" s="705">
        <f t="shared" si="170"/>
        <v>18.499999999999996</v>
      </c>
    </row>
    <row r="5404" spans="2:5">
      <c r="B5404" s="943">
        <v>45147</v>
      </c>
      <c r="C5404" s="195">
        <f t="shared" si="169"/>
        <v>8</v>
      </c>
      <c r="D5404" s="195">
        <v>65.3</v>
      </c>
      <c r="E5404" s="705">
        <f t="shared" si="170"/>
        <v>18.499999999999996</v>
      </c>
    </row>
    <row r="5405" spans="2:5">
      <c r="B5405" s="943">
        <v>45147</v>
      </c>
      <c r="C5405" s="195">
        <f t="shared" si="169"/>
        <v>8</v>
      </c>
      <c r="D5405" s="195">
        <v>63.5</v>
      </c>
      <c r="E5405" s="705">
        <f t="shared" si="170"/>
        <v>17.5</v>
      </c>
    </row>
    <row r="5406" spans="2:5">
      <c r="B5406" s="943">
        <v>45147</v>
      </c>
      <c r="C5406" s="195">
        <f t="shared" si="169"/>
        <v>8</v>
      </c>
      <c r="D5406" s="195">
        <v>60.8</v>
      </c>
      <c r="E5406" s="705">
        <f t="shared" si="170"/>
        <v>15.999999999999998</v>
      </c>
    </row>
    <row r="5407" spans="2:5">
      <c r="B5407" s="943">
        <v>45147</v>
      </c>
      <c r="C5407" s="195">
        <f t="shared" si="169"/>
        <v>8</v>
      </c>
      <c r="D5407" s="195" t="s">
        <v>1441</v>
      </c>
      <c r="E5407" s="705">
        <f t="shared" si="170"/>
        <v>15</v>
      </c>
    </row>
    <row r="5408" spans="2:5">
      <c r="B5408" s="943">
        <v>45147</v>
      </c>
      <c r="C5408" s="195">
        <f t="shared" si="169"/>
        <v>8</v>
      </c>
      <c r="D5408" s="195">
        <v>58.1</v>
      </c>
      <c r="E5408" s="705">
        <f t="shared" si="170"/>
        <v>14.5</v>
      </c>
    </row>
    <row r="5409" spans="2:5">
      <c r="B5409" s="943">
        <v>45148</v>
      </c>
      <c r="C5409" s="195">
        <f t="shared" si="169"/>
        <v>8</v>
      </c>
      <c r="D5409" s="195">
        <v>57.6</v>
      </c>
      <c r="E5409" s="705">
        <f t="shared" si="170"/>
        <v>14.222222222222223</v>
      </c>
    </row>
    <row r="5410" spans="2:5">
      <c r="B5410" s="943">
        <v>45148</v>
      </c>
      <c r="C5410" s="195">
        <f t="shared" si="169"/>
        <v>8</v>
      </c>
      <c r="D5410" s="195">
        <v>57.4</v>
      </c>
      <c r="E5410" s="705">
        <f t="shared" si="170"/>
        <v>14.111111111111111</v>
      </c>
    </row>
    <row r="5411" spans="2:5">
      <c r="B5411" s="943">
        <v>45148</v>
      </c>
      <c r="C5411" s="195">
        <f t="shared" si="169"/>
        <v>8</v>
      </c>
      <c r="D5411" s="195">
        <v>57.9</v>
      </c>
      <c r="E5411" s="705">
        <f t="shared" si="170"/>
        <v>14.388888888888888</v>
      </c>
    </row>
    <row r="5412" spans="2:5">
      <c r="B5412" s="943">
        <v>45148</v>
      </c>
      <c r="C5412" s="195">
        <f t="shared" si="169"/>
        <v>8</v>
      </c>
      <c r="D5412" s="195">
        <v>59.4</v>
      </c>
      <c r="E5412" s="705">
        <f t="shared" si="170"/>
        <v>15.222222222222221</v>
      </c>
    </row>
    <row r="5413" spans="2:5">
      <c r="B5413" s="943">
        <v>45148</v>
      </c>
      <c r="C5413" s="195">
        <f t="shared" si="169"/>
        <v>8</v>
      </c>
      <c r="D5413" s="195">
        <v>61.5</v>
      </c>
      <c r="E5413" s="705">
        <f t="shared" si="170"/>
        <v>16.388888888888889</v>
      </c>
    </row>
    <row r="5414" spans="2:5">
      <c r="B5414" s="943">
        <v>45148</v>
      </c>
      <c r="C5414" s="195">
        <f t="shared" si="169"/>
        <v>8</v>
      </c>
      <c r="D5414" s="195">
        <v>63.7</v>
      </c>
      <c r="E5414" s="705">
        <f t="shared" si="170"/>
        <v>17.611111111111111</v>
      </c>
    </row>
    <row r="5415" spans="2:5">
      <c r="B5415" s="943">
        <v>45148</v>
      </c>
      <c r="C5415" s="195">
        <f t="shared" si="169"/>
        <v>8</v>
      </c>
      <c r="D5415" s="195">
        <v>64.900000000000006</v>
      </c>
      <c r="E5415" s="705">
        <f t="shared" si="170"/>
        <v>18.277777777777782</v>
      </c>
    </row>
    <row r="5416" spans="2:5">
      <c r="B5416" s="943">
        <v>45148</v>
      </c>
      <c r="C5416" s="195">
        <f t="shared" si="169"/>
        <v>8</v>
      </c>
      <c r="D5416" s="195">
        <v>65.5</v>
      </c>
      <c r="E5416" s="705">
        <f t="shared" si="170"/>
        <v>18.611111111111111</v>
      </c>
    </row>
    <row r="5417" spans="2:5">
      <c r="B5417" s="943">
        <v>45148</v>
      </c>
      <c r="C5417" s="195">
        <f t="shared" si="169"/>
        <v>8</v>
      </c>
      <c r="D5417" s="195">
        <v>65.5</v>
      </c>
      <c r="E5417" s="705">
        <f t="shared" si="170"/>
        <v>18.611111111111111</v>
      </c>
    </row>
    <row r="5418" spans="2:5">
      <c r="B5418" s="943">
        <v>45148</v>
      </c>
      <c r="C5418" s="195">
        <f t="shared" si="169"/>
        <v>8</v>
      </c>
      <c r="D5418" s="195">
        <v>63.7</v>
      </c>
      <c r="E5418" s="705">
        <f t="shared" si="170"/>
        <v>17.611111111111111</v>
      </c>
    </row>
    <row r="5419" spans="2:5">
      <c r="B5419" s="943">
        <v>45148</v>
      </c>
      <c r="C5419" s="195">
        <f t="shared" si="169"/>
        <v>8</v>
      </c>
      <c r="D5419" s="195">
        <v>61.9</v>
      </c>
      <c r="E5419" s="705">
        <f t="shared" si="170"/>
        <v>16.611111111111111</v>
      </c>
    </row>
    <row r="5420" spans="2:5">
      <c r="B5420" s="943">
        <v>45148</v>
      </c>
      <c r="C5420" s="195">
        <f t="shared" si="169"/>
        <v>8</v>
      </c>
      <c r="D5420" s="195">
        <v>61.3</v>
      </c>
      <c r="E5420" s="705">
        <f t="shared" si="170"/>
        <v>16.277777777777775</v>
      </c>
    </row>
    <row r="5421" spans="2:5">
      <c r="B5421" s="943">
        <v>45148</v>
      </c>
      <c r="C5421" s="195">
        <f t="shared" si="169"/>
        <v>8</v>
      </c>
      <c r="D5421" s="195">
        <v>61.2</v>
      </c>
      <c r="E5421" s="705">
        <f t="shared" si="170"/>
        <v>16.222222222222225</v>
      </c>
    </row>
    <row r="5422" spans="2:5">
      <c r="B5422" s="943">
        <v>45148</v>
      </c>
      <c r="C5422" s="195">
        <f t="shared" si="169"/>
        <v>8</v>
      </c>
      <c r="D5422" s="195" t="s">
        <v>1442</v>
      </c>
      <c r="E5422" s="705">
        <f t="shared" si="170"/>
        <v>16.111111111111111</v>
      </c>
    </row>
    <row r="5423" spans="2:5">
      <c r="B5423" s="943">
        <v>45148</v>
      </c>
      <c r="C5423" s="195">
        <f t="shared" si="169"/>
        <v>8</v>
      </c>
      <c r="D5423" s="195">
        <v>61.5</v>
      </c>
      <c r="E5423" s="705">
        <f t="shared" si="170"/>
        <v>16.388888888888889</v>
      </c>
    </row>
    <row r="5424" spans="2:5">
      <c r="B5424" s="943">
        <v>45148</v>
      </c>
      <c r="C5424" s="195">
        <f t="shared" si="169"/>
        <v>8</v>
      </c>
      <c r="D5424" s="195">
        <v>61.5</v>
      </c>
      <c r="E5424" s="705">
        <f t="shared" si="170"/>
        <v>16.388888888888889</v>
      </c>
    </row>
    <row r="5425" spans="2:5">
      <c r="B5425" s="943">
        <v>45148</v>
      </c>
      <c r="C5425" s="195">
        <f t="shared" si="169"/>
        <v>8</v>
      </c>
      <c r="D5425" s="195">
        <v>62.2</v>
      </c>
      <c r="E5425" s="705">
        <f t="shared" si="170"/>
        <v>16.777777777777779</v>
      </c>
    </row>
    <row r="5426" spans="2:5">
      <c r="B5426" s="943">
        <v>45148</v>
      </c>
      <c r="C5426" s="195">
        <f t="shared" si="169"/>
        <v>8</v>
      </c>
      <c r="D5426" s="195">
        <v>63.7</v>
      </c>
      <c r="E5426" s="705">
        <f t="shared" si="170"/>
        <v>17.611111111111111</v>
      </c>
    </row>
    <row r="5427" spans="2:5">
      <c r="B5427" s="943">
        <v>45148</v>
      </c>
      <c r="C5427" s="195">
        <f t="shared" si="169"/>
        <v>8</v>
      </c>
      <c r="D5427" s="195">
        <v>65.099999999999994</v>
      </c>
      <c r="E5427" s="705">
        <f t="shared" si="170"/>
        <v>18.388888888888886</v>
      </c>
    </row>
    <row r="5428" spans="2:5">
      <c r="B5428" s="943">
        <v>45148</v>
      </c>
      <c r="C5428" s="195">
        <f t="shared" si="169"/>
        <v>8</v>
      </c>
      <c r="D5428" s="195">
        <v>65.8</v>
      </c>
      <c r="E5428" s="705">
        <f t="shared" si="170"/>
        <v>18.777777777777775</v>
      </c>
    </row>
    <row r="5429" spans="2:5">
      <c r="B5429" s="943">
        <v>45148</v>
      </c>
      <c r="C5429" s="195">
        <f t="shared" si="169"/>
        <v>8</v>
      </c>
      <c r="D5429" s="195">
        <v>65.3</v>
      </c>
      <c r="E5429" s="705">
        <f t="shared" si="170"/>
        <v>18.499999999999996</v>
      </c>
    </row>
    <row r="5430" spans="2:5">
      <c r="B5430" s="943">
        <v>45148</v>
      </c>
      <c r="C5430" s="195">
        <f t="shared" si="169"/>
        <v>8</v>
      </c>
      <c r="D5430" s="195">
        <v>63.5</v>
      </c>
      <c r="E5430" s="705">
        <f t="shared" si="170"/>
        <v>17.5</v>
      </c>
    </row>
    <row r="5431" spans="2:5">
      <c r="B5431" s="943">
        <v>45148</v>
      </c>
      <c r="C5431" s="195">
        <f t="shared" si="169"/>
        <v>8</v>
      </c>
      <c r="D5431" s="195">
        <v>62.4</v>
      </c>
      <c r="E5431" s="705">
        <f t="shared" si="170"/>
        <v>16.888888888888889</v>
      </c>
    </row>
    <row r="5432" spans="2:5">
      <c r="B5432" s="943">
        <v>45148</v>
      </c>
      <c r="C5432" s="195">
        <f t="shared" si="169"/>
        <v>8</v>
      </c>
      <c r="D5432" s="195">
        <v>61.5</v>
      </c>
      <c r="E5432" s="705">
        <f t="shared" si="170"/>
        <v>16.388888888888889</v>
      </c>
    </row>
    <row r="5433" spans="2:5">
      <c r="B5433" s="943">
        <v>45149</v>
      </c>
      <c r="C5433" s="195">
        <f t="shared" si="169"/>
        <v>8</v>
      </c>
      <c r="D5433" s="195">
        <v>60.8</v>
      </c>
      <c r="E5433" s="705">
        <f t="shared" si="170"/>
        <v>15.999999999999998</v>
      </c>
    </row>
    <row r="5434" spans="2:5">
      <c r="B5434" s="943">
        <v>45149</v>
      </c>
      <c r="C5434" s="195">
        <f t="shared" si="169"/>
        <v>8</v>
      </c>
      <c r="D5434" s="195">
        <v>60.1</v>
      </c>
      <c r="E5434" s="705">
        <f t="shared" si="170"/>
        <v>15.611111111111111</v>
      </c>
    </row>
    <row r="5435" spans="2:5">
      <c r="B5435" s="943">
        <v>45149</v>
      </c>
      <c r="C5435" s="195">
        <f t="shared" si="169"/>
        <v>8</v>
      </c>
      <c r="D5435" s="195">
        <v>60.8</v>
      </c>
      <c r="E5435" s="705">
        <f t="shared" si="170"/>
        <v>15.999999999999998</v>
      </c>
    </row>
    <row r="5436" spans="2:5">
      <c r="B5436" s="943">
        <v>45149</v>
      </c>
      <c r="C5436" s="195">
        <f t="shared" si="169"/>
        <v>8</v>
      </c>
      <c r="D5436" s="195">
        <v>60.3</v>
      </c>
      <c r="E5436" s="705">
        <f t="shared" si="170"/>
        <v>15.72222222222222</v>
      </c>
    </row>
    <row r="5437" spans="2:5">
      <c r="B5437" s="943">
        <v>45149</v>
      </c>
      <c r="C5437" s="195">
        <f t="shared" si="169"/>
        <v>8</v>
      </c>
      <c r="D5437" s="195">
        <v>61.5</v>
      </c>
      <c r="E5437" s="705">
        <f t="shared" si="170"/>
        <v>16.388888888888889</v>
      </c>
    </row>
    <row r="5438" spans="2:5">
      <c r="B5438" s="943">
        <v>45149</v>
      </c>
      <c r="C5438" s="195">
        <f t="shared" si="169"/>
        <v>8</v>
      </c>
      <c r="D5438" s="195">
        <v>63.1</v>
      </c>
      <c r="E5438" s="705">
        <f t="shared" si="170"/>
        <v>17.277777777777779</v>
      </c>
    </row>
    <row r="5439" spans="2:5">
      <c r="B5439" s="943">
        <v>45149</v>
      </c>
      <c r="C5439" s="195">
        <f t="shared" si="169"/>
        <v>8</v>
      </c>
      <c r="D5439" s="195">
        <v>64.599999999999994</v>
      </c>
      <c r="E5439" s="705">
        <f t="shared" si="170"/>
        <v>18.111111111111107</v>
      </c>
    </row>
    <row r="5440" spans="2:5">
      <c r="B5440" s="943">
        <v>45149</v>
      </c>
      <c r="C5440" s="195">
        <f t="shared" si="169"/>
        <v>8</v>
      </c>
      <c r="D5440" s="195">
        <v>65.7</v>
      </c>
      <c r="E5440" s="705">
        <f t="shared" si="170"/>
        <v>18.722222222222225</v>
      </c>
    </row>
    <row r="5441" spans="2:5">
      <c r="B5441" s="943">
        <v>45149</v>
      </c>
      <c r="C5441" s="195">
        <f t="shared" si="169"/>
        <v>8</v>
      </c>
      <c r="D5441" s="195">
        <v>66.2</v>
      </c>
      <c r="E5441" s="705">
        <f t="shared" si="170"/>
        <v>19</v>
      </c>
    </row>
    <row r="5442" spans="2:5">
      <c r="B5442" s="943">
        <v>45149</v>
      </c>
      <c r="C5442" s="195">
        <f t="shared" si="169"/>
        <v>8</v>
      </c>
      <c r="D5442" s="195">
        <v>66.2</v>
      </c>
      <c r="E5442" s="705">
        <f t="shared" si="170"/>
        <v>19</v>
      </c>
    </row>
    <row r="5443" spans="2:5">
      <c r="B5443" s="943">
        <v>45149</v>
      </c>
      <c r="C5443" s="195">
        <f t="shared" si="169"/>
        <v>8</v>
      </c>
      <c r="D5443" s="195">
        <v>64.400000000000006</v>
      </c>
      <c r="E5443" s="705">
        <f t="shared" si="170"/>
        <v>18.000000000000004</v>
      </c>
    </row>
    <row r="5444" spans="2:5">
      <c r="B5444" s="943">
        <v>45149</v>
      </c>
      <c r="C5444" s="195">
        <f t="shared" si="169"/>
        <v>8</v>
      </c>
      <c r="D5444" s="195">
        <v>63.3</v>
      </c>
      <c r="E5444" s="705">
        <f t="shared" si="170"/>
        <v>17.388888888888886</v>
      </c>
    </row>
    <row r="5445" spans="2:5">
      <c r="B5445" s="943">
        <v>45149</v>
      </c>
      <c r="C5445" s="195">
        <f t="shared" si="169"/>
        <v>8</v>
      </c>
      <c r="D5445" s="195">
        <v>62.6</v>
      </c>
      <c r="E5445" s="705">
        <f t="shared" si="170"/>
        <v>17</v>
      </c>
    </row>
    <row r="5446" spans="2:5">
      <c r="B5446" s="943">
        <v>45149</v>
      </c>
      <c r="C5446" s="195">
        <f t="shared" si="169"/>
        <v>8</v>
      </c>
      <c r="D5446" s="195">
        <v>60.3</v>
      </c>
      <c r="E5446" s="705">
        <f t="shared" si="170"/>
        <v>15.72222222222222</v>
      </c>
    </row>
    <row r="5447" spans="2:5">
      <c r="B5447" s="943">
        <v>45149</v>
      </c>
      <c r="C5447" s="195">
        <f t="shared" si="169"/>
        <v>8</v>
      </c>
      <c r="D5447" s="195">
        <v>58.6</v>
      </c>
      <c r="E5447" s="705">
        <f t="shared" si="170"/>
        <v>14.777777777777779</v>
      </c>
    </row>
    <row r="5448" spans="2:5">
      <c r="B5448" s="943">
        <v>45149</v>
      </c>
      <c r="C5448" s="195">
        <f t="shared" si="169"/>
        <v>8</v>
      </c>
      <c r="D5448" s="195">
        <v>60.6</v>
      </c>
      <c r="E5448" s="705">
        <f t="shared" si="170"/>
        <v>15.888888888888889</v>
      </c>
    </row>
    <row r="5449" spans="2:5">
      <c r="B5449" s="943">
        <v>45149</v>
      </c>
      <c r="C5449" s="195">
        <f t="shared" si="169"/>
        <v>8</v>
      </c>
      <c r="D5449" s="195">
        <v>61.2</v>
      </c>
      <c r="E5449" s="705">
        <f t="shared" si="170"/>
        <v>16.222222222222225</v>
      </c>
    </row>
    <row r="5450" spans="2:5">
      <c r="B5450" s="943">
        <v>45149</v>
      </c>
      <c r="C5450" s="195">
        <f t="shared" ref="C5450:C5513" si="171">MONTH(B5450)</f>
        <v>8</v>
      </c>
      <c r="D5450" s="195">
        <v>63.1</v>
      </c>
      <c r="E5450" s="705">
        <f t="shared" ref="E5450:E5513" si="172">CONVERT(D5450,"F","C")</f>
        <v>17.277777777777779</v>
      </c>
    </row>
    <row r="5451" spans="2:5">
      <c r="B5451" s="943">
        <v>45149</v>
      </c>
      <c r="C5451" s="195">
        <f t="shared" si="171"/>
        <v>8</v>
      </c>
      <c r="D5451" s="195">
        <v>64.900000000000006</v>
      </c>
      <c r="E5451" s="705">
        <f t="shared" si="172"/>
        <v>18.277777777777782</v>
      </c>
    </row>
    <row r="5452" spans="2:5">
      <c r="B5452" s="943">
        <v>45149</v>
      </c>
      <c r="C5452" s="195">
        <f t="shared" si="171"/>
        <v>8</v>
      </c>
      <c r="D5452" s="195">
        <v>66.2</v>
      </c>
      <c r="E5452" s="705">
        <f t="shared" si="172"/>
        <v>19</v>
      </c>
    </row>
    <row r="5453" spans="2:5">
      <c r="B5453" s="943">
        <v>45149</v>
      </c>
      <c r="C5453" s="195">
        <f t="shared" si="171"/>
        <v>8</v>
      </c>
      <c r="D5453" s="195">
        <v>66.900000000000006</v>
      </c>
      <c r="E5453" s="705">
        <f t="shared" si="172"/>
        <v>19.388888888888893</v>
      </c>
    </row>
    <row r="5454" spans="2:5">
      <c r="B5454" s="943">
        <v>45149</v>
      </c>
      <c r="C5454" s="195">
        <f t="shared" si="171"/>
        <v>8</v>
      </c>
      <c r="D5454" s="195">
        <v>66.400000000000006</v>
      </c>
      <c r="E5454" s="705">
        <f t="shared" si="172"/>
        <v>19.111111111111114</v>
      </c>
    </row>
    <row r="5455" spans="2:5">
      <c r="B5455" s="943">
        <v>45149</v>
      </c>
      <c r="C5455" s="195">
        <f t="shared" si="171"/>
        <v>8</v>
      </c>
      <c r="D5455" s="195">
        <v>64.599999999999994</v>
      </c>
      <c r="E5455" s="705">
        <f t="shared" si="172"/>
        <v>18.111111111111107</v>
      </c>
    </row>
    <row r="5456" spans="2:5">
      <c r="B5456" s="943">
        <v>45149</v>
      </c>
      <c r="C5456" s="195">
        <f t="shared" si="171"/>
        <v>8</v>
      </c>
      <c r="D5456" s="195">
        <v>62.1</v>
      </c>
      <c r="E5456" s="705">
        <f t="shared" si="172"/>
        <v>16.722222222222221</v>
      </c>
    </row>
    <row r="5457" spans="2:5">
      <c r="B5457" s="943">
        <v>45150</v>
      </c>
      <c r="C5457" s="195">
        <f t="shared" si="171"/>
        <v>8</v>
      </c>
      <c r="D5457" s="195">
        <v>59.7</v>
      </c>
      <c r="E5457" s="705">
        <f t="shared" si="172"/>
        <v>15.388888888888889</v>
      </c>
    </row>
    <row r="5458" spans="2:5">
      <c r="B5458" s="943">
        <v>45150</v>
      </c>
      <c r="C5458" s="195">
        <f t="shared" si="171"/>
        <v>8</v>
      </c>
      <c r="D5458" s="195">
        <v>58.1</v>
      </c>
      <c r="E5458" s="705">
        <f t="shared" si="172"/>
        <v>14.5</v>
      </c>
    </row>
    <row r="5459" spans="2:5">
      <c r="B5459" s="943">
        <v>45150</v>
      </c>
      <c r="C5459" s="195">
        <f t="shared" si="171"/>
        <v>8</v>
      </c>
      <c r="D5459" s="195">
        <v>57.9</v>
      </c>
      <c r="E5459" s="705">
        <f t="shared" si="172"/>
        <v>14.388888888888888</v>
      </c>
    </row>
    <row r="5460" spans="2:5">
      <c r="B5460" s="943">
        <v>45150</v>
      </c>
      <c r="C5460" s="195">
        <f t="shared" si="171"/>
        <v>8</v>
      </c>
      <c r="D5460" s="195">
        <v>58.8</v>
      </c>
      <c r="E5460" s="705">
        <f t="shared" si="172"/>
        <v>14.888888888888888</v>
      </c>
    </row>
    <row r="5461" spans="2:5">
      <c r="B5461" s="943">
        <v>45150</v>
      </c>
      <c r="C5461" s="195">
        <f t="shared" si="171"/>
        <v>8</v>
      </c>
      <c r="D5461" s="195">
        <v>58.1</v>
      </c>
      <c r="E5461" s="705">
        <f t="shared" si="172"/>
        <v>14.5</v>
      </c>
    </row>
    <row r="5462" spans="2:5">
      <c r="B5462" s="943">
        <v>45150</v>
      </c>
      <c r="C5462" s="195">
        <f t="shared" si="171"/>
        <v>8</v>
      </c>
      <c r="D5462" s="195">
        <v>59.9</v>
      </c>
      <c r="E5462" s="705">
        <f t="shared" si="172"/>
        <v>15.499999999999998</v>
      </c>
    </row>
    <row r="5463" spans="2:5">
      <c r="B5463" s="943">
        <v>45150</v>
      </c>
      <c r="C5463" s="195">
        <f t="shared" si="171"/>
        <v>8</v>
      </c>
      <c r="D5463" s="195">
        <v>62.6</v>
      </c>
      <c r="E5463" s="705">
        <f t="shared" si="172"/>
        <v>17</v>
      </c>
    </row>
    <row r="5464" spans="2:5">
      <c r="B5464" s="943">
        <v>45150</v>
      </c>
      <c r="C5464" s="195">
        <f t="shared" si="171"/>
        <v>8</v>
      </c>
      <c r="D5464" s="195">
        <v>64.8</v>
      </c>
      <c r="E5464" s="705">
        <f t="shared" si="172"/>
        <v>18.222222222222221</v>
      </c>
    </row>
    <row r="5465" spans="2:5">
      <c r="B5465" s="943">
        <v>45150</v>
      </c>
      <c r="C5465" s="195">
        <f t="shared" si="171"/>
        <v>8</v>
      </c>
      <c r="D5465" s="195" t="s">
        <v>1445</v>
      </c>
      <c r="E5465" s="705">
        <f t="shared" si="172"/>
        <v>18.888888888888889</v>
      </c>
    </row>
    <row r="5466" spans="2:5">
      <c r="B5466" s="943">
        <v>45150</v>
      </c>
      <c r="C5466" s="195">
        <f t="shared" si="171"/>
        <v>8</v>
      </c>
      <c r="D5466" s="195">
        <v>66.7</v>
      </c>
      <c r="E5466" s="705">
        <f t="shared" si="172"/>
        <v>19.277777777777779</v>
      </c>
    </row>
    <row r="5467" spans="2:5">
      <c r="B5467" s="943">
        <v>45150</v>
      </c>
      <c r="C5467" s="195">
        <f t="shared" si="171"/>
        <v>8</v>
      </c>
      <c r="D5467" s="195">
        <v>66.599999999999994</v>
      </c>
      <c r="E5467" s="705">
        <f t="shared" si="172"/>
        <v>19.222222222222218</v>
      </c>
    </row>
    <row r="5468" spans="2:5">
      <c r="B5468" s="943">
        <v>45150</v>
      </c>
      <c r="C5468" s="195">
        <f t="shared" si="171"/>
        <v>8</v>
      </c>
      <c r="D5468" s="195">
        <v>64.599999999999994</v>
      </c>
      <c r="E5468" s="705">
        <f t="shared" si="172"/>
        <v>18.111111111111107</v>
      </c>
    </row>
    <row r="5469" spans="2:5">
      <c r="B5469" s="943">
        <v>45150</v>
      </c>
      <c r="C5469" s="195">
        <f t="shared" si="171"/>
        <v>8</v>
      </c>
      <c r="D5469" s="195">
        <v>62.6</v>
      </c>
      <c r="E5469" s="705">
        <f t="shared" si="172"/>
        <v>17</v>
      </c>
    </row>
    <row r="5470" spans="2:5">
      <c r="B5470" s="943">
        <v>45150</v>
      </c>
      <c r="C5470" s="195">
        <f t="shared" si="171"/>
        <v>8</v>
      </c>
      <c r="D5470" s="195">
        <v>61.3</v>
      </c>
      <c r="E5470" s="705">
        <f t="shared" si="172"/>
        <v>16.277777777777775</v>
      </c>
    </row>
    <row r="5471" spans="2:5">
      <c r="B5471" s="943">
        <v>45150</v>
      </c>
      <c r="C5471" s="195">
        <f t="shared" si="171"/>
        <v>8</v>
      </c>
      <c r="D5471" s="195">
        <v>60.4</v>
      </c>
      <c r="E5471" s="705">
        <f t="shared" si="172"/>
        <v>15.777777777777777</v>
      </c>
    </row>
    <row r="5472" spans="2:5">
      <c r="B5472" s="943">
        <v>45150</v>
      </c>
      <c r="C5472" s="195">
        <f t="shared" si="171"/>
        <v>8</v>
      </c>
      <c r="D5472" s="195">
        <v>59.2</v>
      </c>
      <c r="E5472" s="705">
        <f t="shared" si="172"/>
        <v>15.111111111111112</v>
      </c>
    </row>
    <row r="5473" spans="2:5">
      <c r="B5473" s="943">
        <v>45150</v>
      </c>
      <c r="C5473" s="195">
        <f t="shared" si="171"/>
        <v>8</v>
      </c>
      <c r="D5473" s="195">
        <v>60.4</v>
      </c>
      <c r="E5473" s="705">
        <f t="shared" si="172"/>
        <v>15.777777777777777</v>
      </c>
    </row>
    <row r="5474" spans="2:5">
      <c r="B5474" s="943">
        <v>45150</v>
      </c>
      <c r="C5474" s="195">
        <f t="shared" si="171"/>
        <v>8</v>
      </c>
      <c r="D5474" s="195">
        <v>60.8</v>
      </c>
      <c r="E5474" s="705">
        <f t="shared" si="172"/>
        <v>15.999999999999998</v>
      </c>
    </row>
    <row r="5475" spans="2:5">
      <c r="B5475" s="943">
        <v>45150</v>
      </c>
      <c r="C5475" s="195">
        <f t="shared" si="171"/>
        <v>8</v>
      </c>
      <c r="D5475" s="195">
        <v>62.4</v>
      </c>
      <c r="E5475" s="705">
        <f t="shared" si="172"/>
        <v>16.888888888888889</v>
      </c>
    </row>
    <row r="5476" spans="2:5">
      <c r="B5476" s="943">
        <v>45150</v>
      </c>
      <c r="C5476" s="195">
        <f t="shared" si="171"/>
        <v>8</v>
      </c>
      <c r="D5476" s="195">
        <v>64.400000000000006</v>
      </c>
      <c r="E5476" s="705">
        <f t="shared" si="172"/>
        <v>18.000000000000004</v>
      </c>
    </row>
    <row r="5477" spans="2:5">
      <c r="B5477" s="943">
        <v>45150</v>
      </c>
      <c r="C5477" s="195">
        <f t="shared" si="171"/>
        <v>8</v>
      </c>
      <c r="D5477" s="195" t="s">
        <v>1445</v>
      </c>
      <c r="E5477" s="705">
        <f t="shared" si="172"/>
        <v>18.888888888888889</v>
      </c>
    </row>
    <row r="5478" spans="2:5">
      <c r="B5478" s="943">
        <v>45150</v>
      </c>
      <c r="C5478" s="195">
        <f t="shared" si="171"/>
        <v>8</v>
      </c>
      <c r="D5478" s="195">
        <v>66.7</v>
      </c>
      <c r="E5478" s="705">
        <f t="shared" si="172"/>
        <v>19.277777777777779</v>
      </c>
    </row>
    <row r="5479" spans="2:5">
      <c r="B5479" s="943">
        <v>45150</v>
      </c>
      <c r="C5479" s="195">
        <f t="shared" si="171"/>
        <v>8</v>
      </c>
      <c r="D5479" s="195">
        <v>65.8</v>
      </c>
      <c r="E5479" s="705">
        <f t="shared" si="172"/>
        <v>18.777777777777775</v>
      </c>
    </row>
    <row r="5480" spans="2:5">
      <c r="B5480" s="943">
        <v>45150</v>
      </c>
      <c r="C5480" s="195">
        <f t="shared" si="171"/>
        <v>8</v>
      </c>
      <c r="D5480" s="195" t="s">
        <v>1444</v>
      </c>
      <c r="E5480" s="705">
        <f t="shared" si="172"/>
        <v>17.777777777777779</v>
      </c>
    </row>
    <row r="5481" spans="2:5">
      <c r="B5481" s="943">
        <v>45151</v>
      </c>
      <c r="C5481" s="195">
        <f t="shared" si="171"/>
        <v>8</v>
      </c>
      <c r="D5481" s="195">
        <v>62.1</v>
      </c>
      <c r="E5481" s="705">
        <f t="shared" si="172"/>
        <v>16.722222222222221</v>
      </c>
    </row>
    <row r="5482" spans="2:5">
      <c r="B5482" s="943">
        <v>45151</v>
      </c>
      <c r="C5482" s="195">
        <f t="shared" si="171"/>
        <v>8</v>
      </c>
      <c r="D5482" s="195">
        <v>61.5</v>
      </c>
      <c r="E5482" s="705">
        <f t="shared" si="172"/>
        <v>16.388888888888889</v>
      </c>
    </row>
    <row r="5483" spans="2:5">
      <c r="B5483" s="943">
        <v>45151</v>
      </c>
      <c r="C5483" s="195">
        <f t="shared" si="171"/>
        <v>8</v>
      </c>
      <c r="D5483" s="195">
        <v>60.8</v>
      </c>
      <c r="E5483" s="705">
        <f t="shared" si="172"/>
        <v>15.999999999999998</v>
      </c>
    </row>
    <row r="5484" spans="2:5">
      <c r="B5484" s="943">
        <v>45151</v>
      </c>
      <c r="C5484" s="195">
        <f t="shared" si="171"/>
        <v>8</v>
      </c>
      <c r="D5484" s="195">
        <v>60.1</v>
      </c>
      <c r="E5484" s="705">
        <f t="shared" si="172"/>
        <v>15.611111111111111</v>
      </c>
    </row>
    <row r="5485" spans="2:5">
      <c r="B5485" s="943">
        <v>45151</v>
      </c>
      <c r="C5485" s="195">
        <f t="shared" si="171"/>
        <v>8</v>
      </c>
      <c r="D5485" s="195">
        <v>61.3</v>
      </c>
      <c r="E5485" s="705">
        <f t="shared" si="172"/>
        <v>16.277777777777775</v>
      </c>
    </row>
    <row r="5486" spans="2:5">
      <c r="B5486" s="943">
        <v>45151</v>
      </c>
      <c r="C5486" s="195">
        <f t="shared" si="171"/>
        <v>8</v>
      </c>
      <c r="D5486" s="195">
        <v>60.3</v>
      </c>
      <c r="E5486" s="705">
        <f t="shared" si="172"/>
        <v>15.72222222222222</v>
      </c>
    </row>
    <row r="5487" spans="2:5">
      <c r="B5487" s="943">
        <v>45151</v>
      </c>
      <c r="C5487" s="195">
        <f t="shared" si="171"/>
        <v>8</v>
      </c>
      <c r="D5487" s="195">
        <v>61.7</v>
      </c>
      <c r="E5487" s="705">
        <f t="shared" si="172"/>
        <v>16.5</v>
      </c>
    </row>
    <row r="5488" spans="2:5">
      <c r="B5488" s="943">
        <v>45151</v>
      </c>
      <c r="C5488" s="195">
        <f t="shared" si="171"/>
        <v>8</v>
      </c>
      <c r="D5488" s="195">
        <v>63.5</v>
      </c>
      <c r="E5488" s="705">
        <f t="shared" si="172"/>
        <v>17.5</v>
      </c>
    </row>
    <row r="5489" spans="2:5">
      <c r="B5489" s="943">
        <v>45151</v>
      </c>
      <c r="C5489" s="195">
        <f t="shared" si="171"/>
        <v>8</v>
      </c>
      <c r="D5489" s="195">
        <v>64.900000000000006</v>
      </c>
      <c r="E5489" s="705">
        <f t="shared" si="172"/>
        <v>18.277777777777782</v>
      </c>
    </row>
    <row r="5490" spans="2:5">
      <c r="B5490" s="943">
        <v>45151</v>
      </c>
      <c r="C5490" s="195">
        <f t="shared" si="171"/>
        <v>8</v>
      </c>
      <c r="D5490" s="195">
        <v>66.2</v>
      </c>
      <c r="E5490" s="705">
        <f t="shared" si="172"/>
        <v>19</v>
      </c>
    </row>
    <row r="5491" spans="2:5">
      <c r="B5491" s="943">
        <v>45151</v>
      </c>
      <c r="C5491" s="195">
        <f t="shared" si="171"/>
        <v>8</v>
      </c>
      <c r="D5491" s="195">
        <v>66.900000000000006</v>
      </c>
      <c r="E5491" s="705">
        <f t="shared" si="172"/>
        <v>19.388888888888893</v>
      </c>
    </row>
    <row r="5492" spans="2:5">
      <c r="B5492" s="943">
        <v>45151</v>
      </c>
      <c r="C5492" s="195">
        <f t="shared" si="171"/>
        <v>8</v>
      </c>
      <c r="D5492" s="195">
        <v>66.599999999999994</v>
      </c>
      <c r="E5492" s="705">
        <f t="shared" si="172"/>
        <v>19.222222222222218</v>
      </c>
    </row>
    <row r="5493" spans="2:5">
      <c r="B5493" s="943">
        <v>45151</v>
      </c>
      <c r="C5493" s="195">
        <f t="shared" si="171"/>
        <v>8</v>
      </c>
      <c r="D5493" s="195">
        <v>64.900000000000006</v>
      </c>
      <c r="E5493" s="705">
        <f t="shared" si="172"/>
        <v>18.277777777777782</v>
      </c>
    </row>
    <row r="5494" spans="2:5">
      <c r="B5494" s="943">
        <v>45151</v>
      </c>
      <c r="C5494" s="195">
        <f t="shared" si="171"/>
        <v>8</v>
      </c>
      <c r="D5494" s="195">
        <v>63.5</v>
      </c>
      <c r="E5494" s="705">
        <f t="shared" si="172"/>
        <v>17.5</v>
      </c>
    </row>
    <row r="5495" spans="2:5">
      <c r="B5495" s="943">
        <v>45151</v>
      </c>
      <c r="C5495" s="195">
        <f t="shared" si="171"/>
        <v>8</v>
      </c>
      <c r="D5495" s="195">
        <v>62.1</v>
      </c>
      <c r="E5495" s="705">
        <f t="shared" si="172"/>
        <v>16.722222222222221</v>
      </c>
    </row>
    <row r="5496" spans="2:5">
      <c r="B5496" s="943">
        <v>45151</v>
      </c>
      <c r="C5496" s="195">
        <f t="shared" si="171"/>
        <v>8</v>
      </c>
      <c r="D5496" s="195">
        <v>60.8</v>
      </c>
      <c r="E5496" s="705">
        <f t="shared" si="172"/>
        <v>15.999999999999998</v>
      </c>
    </row>
    <row r="5497" spans="2:5">
      <c r="B5497" s="943">
        <v>45151</v>
      </c>
      <c r="C5497" s="195">
        <f t="shared" si="171"/>
        <v>8</v>
      </c>
      <c r="D5497" s="195">
        <v>59.2</v>
      </c>
      <c r="E5497" s="705">
        <f t="shared" si="172"/>
        <v>15.111111111111112</v>
      </c>
    </row>
    <row r="5498" spans="2:5">
      <c r="B5498" s="943">
        <v>45151</v>
      </c>
      <c r="C5498" s="195">
        <f t="shared" si="171"/>
        <v>8</v>
      </c>
      <c r="D5498" s="195">
        <v>60.6</v>
      </c>
      <c r="E5498" s="705">
        <f t="shared" si="172"/>
        <v>15.888888888888889</v>
      </c>
    </row>
    <row r="5499" spans="2:5">
      <c r="B5499" s="943">
        <v>45151</v>
      </c>
      <c r="C5499" s="195">
        <f t="shared" si="171"/>
        <v>8</v>
      </c>
      <c r="D5499" s="195">
        <v>61.5</v>
      </c>
      <c r="E5499" s="705">
        <f t="shared" si="172"/>
        <v>16.388888888888889</v>
      </c>
    </row>
    <row r="5500" spans="2:5">
      <c r="B5500" s="943">
        <v>45151</v>
      </c>
      <c r="C5500" s="195">
        <f t="shared" si="171"/>
        <v>8</v>
      </c>
      <c r="D5500" s="195" t="s">
        <v>1443</v>
      </c>
      <c r="E5500" s="705">
        <f t="shared" si="172"/>
        <v>17.222222222222221</v>
      </c>
    </row>
    <row r="5501" spans="2:5">
      <c r="B5501" s="943">
        <v>45151</v>
      </c>
      <c r="C5501" s="195">
        <f t="shared" si="171"/>
        <v>8</v>
      </c>
      <c r="D5501" s="195">
        <v>65.099999999999994</v>
      </c>
      <c r="E5501" s="705">
        <f t="shared" si="172"/>
        <v>18.388888888888886</v>
      </c>
    </row>
    <row r="5502" spans="2:5">
      <c r="B5502" s="943">
        <v>45151</v>
      </c>
      <c r="C5502" s="195">
        <f t="shared" si="171"/>
        <v>8</v>
      </c>
      <c r="D5502" s="195">
        <v>66.7</v>
      </c>
      <c r="E5502" s="705">
        <f t="shared" si="172"/>
        <v>19.277777777777779</v>
      </c>
    </row>
    <row r="5503" spans="2:5">
      <c r="B5503" s="943">
        <v>45151</v>
      </c>
      <c r="C5503" s="195">
        <f t="shared" si="171"/>
        <v>8</v>
      </c>
      <c r="D5503" s="195">
        <v>67.5</v>
      </c>
      <c r="E5503" s="705">
        <f t="shared" si="172"/>
        <v>19.722222222222221</v>
      </c>
    </row>
    <row r="5504" spans="2:5">
      <c r="B5504" s="943">
        <v>45151</v>
      </c>
      <c r="C5504" s="195">
        <f t="shared" si="171"/>
        <v>8</v>
      </c>
      <c r="D5504" s="195">
        <v>66.400000000000006</v>
      </c>
      <c r="E5504" s="705">
        <f t="shared" si="172"/>
        <v>19.111111111111114</v>
      </c>
    </row>
    <row r="5505" spans="2:5">
      <c r="B5505" s="943">
        <v>45152</v>
      </c>
      <c r="C5505" s="195">
        <f t="shared" si="171"/>
        <v>8</v>
      </c>
      <c r="D5505" s="195">
        <v>64.2</v>
      </c>
      <c r="E5505" s="705">
        <f t="shared" si="172"/>
        <v>17.888888888888889</v>
      </c>
    </row>
    <row r="5506" spans="2:5">
      <c r="B5506" s="943">
        <v>45152</v>
      </c>
      <c r="C5506" s="195">
        <f t="shared" si="171"/>
        <v>8</v>
      </c>
      <c r="D5506" s="195">
        <v>62.8</v>
      </c>
      <c r="E5506" s="705">
        <f t="shared" si="172"/>
        <v>17.111111111111111</v>
      </c>
    </row>
    <row r="5507" spans="2:5">
      <c r="B5507" s="943">
        <v>45152</v>
      </c>
      <c r="C5507" s="195">
        <f t="shared" si="171"/>
        <v>8</v>
      </c>
      <c r="D5507" s="195">
        <v>61.3</v>
      </c>
      <c r="E5507" s="705">
        <f t="shared" si="172"/>
        <v>16.277777777777775</v>
      </c>
    </row>
    <row r="5508" spans="2:5">
      <c r="B5508" s="943">
        <v>45152</v>
      </c>
      <c r="C5508" s="195">
        <f t="shared" si="171"/>
        <v>8</v>
      </c>
      <c r="D5508" s="195">
        <v>60.3</v>
      </c>
      <c r="E5508" s="705">
        <f t="shared" si="172"/>
        <v>15.72222222222222</v>
      </c>
    </row>
    <row r="5509" spans="2:5">
      <c r="B5509" s="943">
        <v>45152</v>
      </c>
      <c r="C5509" s="195">
        <f t="shared" si="171"/>
        <v>8</v>
      </c>
      <c r="D5509" s="195" t="s">
        <v>1441</v>
      </c>
      <c r="E5509" s="705">
        <f t="shared" si="172"/>
        <v>15</v>
      </c>
    </row>
    <row r="5510" spans="2:5">
      <c r="B5510" s="943">
        <v>45152</v>
      </c>
      <c r="C5510" s="195">
        <f t="shared" si="171"/>
        <v>8</v>
      </c>
      <c r="D5510" s="195">
        <v>59.9</v>
      </c>
      <c r="E5510" s="705">
        <f t="shared" si="172"/>
        <v>15.499999999999998</v>
      </c>
    </row>
    <row r="5511" spans="2:5">
      <c r="B5511" s="943">
        <v>45152</v>
      </c>
      <c r="C5511" s="195">
        <f t="shared" si="171"/>
        <v>8</v>
      </c>
      <c r="D5511" s="195">
        <v>60.4</v>
      </c>
      <c r="E5511" s="705">
        <f t="shared" si="172"/>
        <v>15.777777777777777</v>
      </c>
    </row>
    <row r="5512" spans="2:5">
      <c r="B5512" s="943">
        <v>45152</v>
      </c>
      <c r="C5512" s="195">
        <f t="shared" si="171"/>
        <v>8</v>
      </c>
      <c r="D5512" s="195">
        <v>61.7</v>
      </c>
      <c r="E5512" s="705">
        <f t="shared" si="172"/>
        <v>16.5</v>
      </c>
    </row>
    <row r="5513" spans="2:5">
      <c r="B5513" s="943">
        <v>45152</v>
      </c>
      <c r="C5513" s="195">
        <f t="shared" si="171"/>
        <v>8</v>
      </c>
      <c r="D5513" s="195">
        <v>64.2</v>
      </c>
      <c r="E5513" s="705">
        <f t="shared" si="172"/>
        <v>17.888888888888889</v>
      </c>
    </row>
    <row r="5514" spans="2:5">
      <c r="B5514" s="943">
        <v>45152</v>
      </c>
      <c r="C5514" s="195">
        <f t="shared" ref="C5514:C5577" si="173">MONTH(B5514)</f>
        <v>8</v>
      </c>
      <c r="D5514" s="195">
        <v>65.8</v>
      </c>
      <c r="E5514" s="705">
        <f t="shared" ref="E5514:E5577" si="174">CONVERT(D5514,"F","C")</f>
        <v>18.777777777777775</v>
      </c>
    </row>
    <row r="5515" spans="2:5">
      <c r="B5515" s="943">
        <v>45152</v>
      </c>
      <c r="C5515" s="195">
        <f t="shared" si="173"/>
        <v>8</v>
      </c>
      <c r="D5515" s="195">
        <v>66.900000000000006</v>
      </c>
      <c r="E5515" s="705">
        <f t="shared" si="174"/>
        <v>19.388888888888893</v>
      </c>
    </row>
    <row r="5516" spans="2:5">
      <c r="B5516" s="943">
        <v>45152</v>
      </c>
      <c r="C5516" s="195">
        <f t="shared" si="173"/>
        <v>8</v>
      </c>
      <c r="D5516" s="195">
        <v>67.5</v>
      </c>
      <c r="E5516" s="705">
        <f t="shared" si="174"/>
        <v>19.722222222222221</v>
      </c>
    </row>
    <row r="5517" spans="2:5">
      <c r="B5517" s="943">
        <v>45152</v>
      </c>
      <c r="C5517" s="195">
        <f t="shared" si="173"/>
        <v>8</v>
      </c>
      <c r="D5517" s="195">
        <v>66.900000000000006</v>
      </c>
      <c r="E5517" s="705">
        <f t="shared" si="174"/>
        <v>19.388888888888893</v>
      </c>
    </row>
    <row r="5518" spans="2:5">
      <c r="B5518" s="943">
        <v>45152</v>
      </c>
      <c r="C5518" s="195">
        <f t="shared" si="173"/>
        <v>8</v>
      </c>
      <c r="D5518" s="195">
        <v>64.900000000000006</v>
      </c>
      <c r="E5518" s="705">
        <f t="shared" si="174"/>
        <v>18.277777777777782</v>
      </c>
    </row>
    <row r="5519" spans="2:5">
      <c r="B5519" s="943">
        <v>45152</v>
      </c>
      <c r="C5519" s="195">
        <f t="shared" si="173"/>
        <v>8</v>
      </c>
      <c r="D5519" s="195" t="s">
        <v>1443</v>
      </c>
      <c r="E5519" s="705">
        <f t="shared" si="174"/>
        <v>17.222222222222221</v>
      </c>
    </row>
    <row r="5520" spans="2:5">
      <c r="B5520" s="943">
        <v>45152</v>
      </c>
      <c r="C5520" s="195">
        <f t="shared" si="173"/>
        <v>8</v>
      </c>
      <c r="D5520" s="195">
        <v>61.2</v>
      </c>
      <c r="E5520" s="705">
        <f t="shared" si="174"/>
        <v>16.222222222222225</v>
      </c>
    </row>
    <row r="5521" spans="2:5">
      <c r="B5521" s="943">
        <v>45152</v>
      </c>
      <c r="C5521" s="195">
        <f t="shared" si="173"/>
        <v>8</v>
      </c>
      <c r="D5521" s="195">
        <v>60.4</v>
      </c>
      <c r="E5521" s="705">
        <f t="shared" si="174"/>
        <v>15.777777777777777</v>
      </c>
    </row>
    <row r="5522" spans="2:5">
      <c r="B5522" s="943">
        <v>45152</v>
      </c>
      <c r="C5522" s="195">
        <f t="shared" si="173"/>
        <v>8</v>
      </c>
      <c r="D5522" s="195" t="s">
        <v>1441</v>
      </c>
      <c r="E5522" s="705">
        <f t="shared" si="174"/>
        <v>15</v>
      </c>
    </row>
    <row r="5523" spans="2:5">
      <c r="B5523" s="943">
        <v>45152</v>
      </c>
      <c r="C5523" s="195">
        <f t="shared" si="173"/>
        <v>8</v>
      </c>
      <c r="D5523" s="195">
        <v>60.3</v>
      </c>
      <c r="E5523" s="705">
        <f t="shared" si="174"/>
        <v>15.72222222222222</v>
      </c>
    </row>
    <row r="5524" spans="2:5">
      <c r="B5524" s="943">
        <v>45152</v>
      </c>
      <c r="C5524" s="195">
        <f t="shared" si="173"/>
        <v>8</v>
      </c>
      <c r="D5524" s="195">
        <v>61.3</v>
      </c>
      <c r="E5524" s="705">
        <f t="shared" si="174"/>
        <v>16.277777777777775</v>
      </c>
    </row>
    <row r="5525" spans="2:5">
      <c r="B5525" s="943">
        <v>45152</v>
      </c>
      <c r="C5525" s="195">
        <f t="shared" si="173"/>
        <v>8</v>
      </c>
      <c r="D5525" s="195">
        <v>63.5</v>
      </c>
      <c r="E5525" s="705">
        <f t="shared" si="174"/>
        <v>17.5</v>
      </c>
    </row>
    <row r="5526" spans="2:5">
      <c r="B5526" s="943">
        <v>45152</v>
      </c>
      <c r="C5526" s="195">
        <f t="shared" si="173"/>
        <v>8</v>
      </c>
      <c r="D5526" s="195" t="s">
        <v>1445</v>
      </c>
      <c r="E5526" s="705">
        <f t="shared" si="174"/>
        <v>18.888888888888889</v>
      </c>
    </row>
    <row r="5527" spans="2:5">
      <c r="B5527" s="943">
        <v>45152</v>
      </c>
      <c r="C5527" s="195">
        <f t="shared" si="173"/>
        <v>8</v>
      </c>
      <c r="D5527" s="195">
        <v>67.5</v>
      </c>
      <c r="E5527" s="705">
        <f t="shared" si="174"/>
        <v>19.722222222222221</v>
      </c>
    </row>
    <row r="5528" spans="2:5">
      <c r="B5528" s="943">
        <v>45152</v>
      </c>
      <c r="C5528" s="195">
        <f t="shared" si="173"/>
        <v>8</v>
      </c>
      <c r="D5528" s="195" t="s">
        <v>1446</v>
      </c>
      <c r="E5528" s="705">
        <f t="shared" si="174"/>
        <v>20</v>
      </c>
    </row>
    <row r="5529" spans="2:5">
      <c r="B5529" s="943">
        <v>45153</v>
      </c>
      <c r="C5529" s="195">
        <f t="shared" si="173"/>
        <v>8</v>
      </c>
      <c r="D5529" s="195">
        <v>66.7</v>
      </c>
      <c r="E5529" s="705">
        <f t="shared" si="174"/>
        <v>19.277777777777779</v>
      </c>
    </row>
    <row r="5530" spans="2:5">
      <c r="B5530" s="943">
        <v>45153</v>
      </c>
      <c r="C5530" s="195">
        <f t="shared" si="173"/>
        <v>8</v>
      </c>
      <c r="D5530" s="195" t="s">
        <v>1443</v>
      </c>
      <c r="E5530" s="705">
        <f t="shared" si="174"/>
        <v>17.222222222222221</v>
      </c>
    </row>
    <row r="5531" spans="2:5">
      <c r="B5531" s="943">
        <v>45153</v>
      </c>
      <c r="C5531" s="195">
        <f t="shared" si="173"/>
        <v>8</v>
      </c>
      <c r="D5531" s="195">
        <v>62.4</v>
      </c>
      <c r="E5531" s="705">
        <f t="shared" si="174"/>
        <v>16.888888888888889</v>
      </c>
    </row>
    <row r="5532" spans="2:5">
      <c r="B5532" s="943">
        <v>45153</v>
      </c>
      <c r="C5532" s="195">
        <f t="shared" si="173"/>
        <v>8</v>
      </c>
      <c r="D5532" s="195">
        <v>61.3</v>
      </c>
      <c r="E5532" s="705">
        <f t="shared" si="174"/>
        <v>16.277777777777775</v>
      </c>
    </row>
    <row r="5533" spans="2:5">
      <c r="B5533" s="943">
        <v>45153</v>
      </c>
      <c r="C5533" s="195">
        <f t="shared" si="173"/>
        <v>8</v>
      </c>
      <c r="D5533" s="195">
        <v>60.6</v>
      </c>
      <c r="E5533" s="705">
        <f t="shared" si="174"/>
        <v>15.888888888888889</v>
      </c>
    </row>
    <row r="5534" spans="2:5">
      <c r="B5534" s="943">
        <v>45153</v>
      </c>
      <c r="C5534" s="195">
        <f t="shared" si="173"/>
        <v>8</v>
      </c>
      <c r="D5534" s="195">
        <v>59.7</v>
      </c>
      <c r="E5534" s="705">
        <f t="shared" si="174"/>
        <v>15.388888888888889</v>
      </c>
    </row>
    <row r="5535" spans="2:5">
      <c r="B5535" s="943">
        <v>45153</v>
      </c>
      <c r="C5535" s="195">
        <f t="shared" si="173"/>
        <v>8</v>
      </c>
      <c r="D5535" s="195">
        <v>60.1</v>
      </c>
      <c r="E5535" s="705">
        <f t="shared" si="174"/>
        <v>15.611111111111111</v>
      </c>
    </row>
    <row r="5536" spans="2:5">
      <c r="B5536" s="943">
        <v>45153</v>
      </c>
      <c r="C5536" s="195">
        <f t="shared" si="173"/>
        <v>8</v>
      </c>
      <c r="D5536" s="195">
        <v>60.8</v>
      </c>
      <c r="E5536" s="705">
        <f t="shared" si="174"/>
        <v>15.999999999999998</v>
      </c>
    </row>
    <row r="5537" spans="2:5">
      <c r="B5537" s="943">
        <v>45153</v>
      </c>
      <c r="C5537" s="195">
        <f t="shared" si="173"/>
        <v>8</v>
      </c>
      <c r="D5537" s="195">
        <v>62.4</v>
      </c>
      <c r="E5537" s="705">
        <f t="shared" si="174"/>
        <v>16.888888888888889</v>
      </c>
    </row>
    <row r="5538" spans="2:5">
      <c r="B5538" s="943">
        <v>45153</v>
      </c>
      <c r="C5538" s="195">
        <f t="shared" si="173"/>
        <v>8</v>
      </c>
      <c r="D5538" s="195">
        <v>64.8</v>
      </c>
      <c r="E5538" s="705">
        <f t="shared" si="174"/>
        <v>18.222222222222221</v>
      </c>
    </row>
    <row r="5539" spans="2:5">
      <c r="B5539" s="943">
        <v>45153</v>
      </c>
      <c r="C5539" s="195">
        <f t="shared" si="173"/>
        <v>8</v>
      </c>
      <c r="D5539" s="195">
        <v>66.400000000000006</v>
      </c>
      <c r="E5539" s="705">
        <f t="shared" si="174"/>
        <v>19.111111111111114</v>
      </c>
    </row>
    <row r="5540" spans="2:5">
      <c r="B5540" s="943">
        <v>45153</v>
      </c>
      <c r="C5540" s="195">
        <f t="shared" si="173"/>
        <v>8</v>
      </c>
      <c r="D5540" s="195">
        <v>67.3</v>
      </c>
      <c r="E5540" s="705">
        <f t="shared" si="174"/>
        <v>19.611111111111111</v>
      </c>
    </row>
    <row r="5541" spans="2:5">
      <c r="B5541" s="943">
        <v>45153</v>
      </c>
      <c r="C5541" s="195">
        <f t="shared" si="173"/>
        <v>8</v>
      </c>
      <c r="D5541" s="195">
        <v>67.8</v>
      </c>
      <c r="E5541" s="705">
        <f t="shared" si="174"/>
        <v>19.888888888888886</v>
      </c>
    </row>
    <row r="5542" spans="2:5">
      <c r="B5542" s="943">
        <v>45153</v>
      </c>
      <c r="C5542" s="195">
        <f t="shared" si="173"/>
        <v>8</v>
      </c>
      <c r="D5542" s="195">
        <v>67.099999999999994</v>
      </c>
      <c r="E5542" s="705">
        <f t="shared" si="174"/>
        <v>19.499999999999996</v>
      </c>
    </row>
    <row r="5543" spans="2:5">
      <c r="B5543" s="943">
        <v>45153</v>
      </c>
      <c r="C5543" s="195">
        <f t="shared" si="173"/>
        <v>8</v>
      </c>
      <c r="D5543" s="195">
        <v>63.9</v>
      </c>
      <c r="E5543" s="705">
        <f t="shared" si="174"/>
        <v>17.722222222222221</v>
      </c>
    </row>
    <row r="5544" spans="2:5">
      <c r="B5544" s="943">
        <v>45153</v>
      </c>
      <c r="C5544" s="195">
        <f t="shared" si="173"/>
        <v>8</v>
      </c>
      <c r="D5544" s="195">
        <v>62.6</v>
      </c>
      <c r="E5544" s="705">
        <f t="shared" si="174"/>
        <v>17</v>
      </c>
    </row>
    <row r="5545" spans="2:5">
      <c r="B5545" s="943">
        <v>45153</v>
      </c>
      <c r="C5545" s="195">
        <f t="shared" si="173"/>
        <v>8</v>
      </c>
      <c r="D5545" s="195">
        <v>61.3</v>
      </c>
      <c r="E5545" s="705">
        <f t="shared" si="174"/>
        <v>16.277777777777775</v>
      </c>
    </row>
    <row r="5546" spans="2:5">
      <c r="B5546" s="943">
        <v>45153</v>
      </c>
      <c r="C5546" s="195">
        <f t="shared" si="173"/>
        <v>8</v>
      </c>
      <c r="D5546" s="195">
        <v>60.3</v>
      </c>
      <c r="E5546" s="705">
        <f t="shared" si="174"/>
        <v>15.72222222222222</v>
      </c>
    </row>
    <row r="5547" spans="2:5">
      <c r="B5547" s="943">
        <v>45153</v>
      </c>
      <c r="C5547" s="195">
        <f t="shared" si="173"/>
        <v>8</v>
      </c>
      <c r="D5547" s="195" t="s">
        <v>1442</v>
      </c>
      <c r="E5547" s="705">
        <f t="shared" si="174"/>
        <v>16.111111111111111</v>
      </c>
    </row>
    <row r="5548" spans="2:5">
      <c r="B5548" s="943">
        <v>45153</v>
      </c>
      <c r="C5548" s="195">
        <f t="shared" si="173"/>
        <v>8</v>
      </c>
      <c r="D5548" s="195">
        <v>61.2</v>
      </c>
      <c r="E5548" s="705">
        <f t="shared" si="174"/>
        <v>16.222222222222225</v>
      </c>
    </row>
    <row r="5549" spans="2:5">
      <c r="B5549" s="943">
        <v>45153</v>
      </c>
      <c r="C5549" s="195">
        <f t="shared" si="173"/>
        <v>8</v>
      </c>
      <c r="D5549" s="195">
        <v>62.1</v>
      </c>
      <c r="E5549" s="705">
        <f t="shared" si="174"/>
        <v>16.722222222222221</v>
      </c>
    </row>
    <row r="5550" spans="2:5">
      <c r="B5550" s="943">
        <v>45153</v>
      </c>
      <c r="C5550" s="195">
        <f t="shared" si="173"/>
        <v>8</v>
      </c>
      <c r="D5550" s="195">
        <v>63.7</v>
      </c>
      <c r="E5550" s="705">
        <f t="shared" si="174"/>
        <v>17.611111111111111</v>
      </c>
    </row>
    <row r="5551" spans="2:5">
      <c r="B5551" s="943">
        <v>45153</v>
      </c>
      <c r="C5551" s="195">
        <f t="shared" si="173"/>
        <v>8</v>
      </c>
      <c r="D5551" s="195">
        <v>65.7</v>
      </c>
      <c r="E5551" s="705">
        <f t="shared" si="174"/>
        <v>18.722222222222225</v>
      </c>
    </row>
    <row r="5552" spans="2:5">
      <c r="B5552" s="943">
        <v>45153</v>
      </c>
      <c r="C5552" s="195">
        <f t="shared" si="173"/>
        <v>8</v>
      </c>
      <c r="D5552" s="195">
        <v>66.900000000000006</v>
      </c>
      <c r="E5552" s="705">
        <f t="shared" si="174"/>
        <v>19.388888888888893</v>
      </c>
    </row>
    <row r="5553" spans="2:5">
      <c r="B5553" s="943">
        <v>45154</v>
      </c>
      <c r="C5553" s="195">
        <f t="shared" si="173"/>
        <v>8</v>
      </c>
      <c r="D5553" s="195">
        <v>67.099999999999994</v>
      </c>
      <c r="E5553" s="705">
        <f t="shared" si="174"/>
        <v>19.499999999999996</v>
      </c>
    </row>
    <row r="5554" spans="2:5">
      <c r="B5554" s="943">
        <v>45154</v>
      </c>
      <c r="C5554" s="195">
        <f t="shared" si="173"/>
        <v>8</v>
      </c>
      <c r="D5554" s="195">
        <v>65.7</v>
      </c>
      <c r="E5554" s="705">
        <f t="shared" si="174"/>
        <v>18.722222222222225</v>
      </c>
    </row>
    <row r="5555" spans="2:5">
      <c r="B5555" s="943">
        <v>45154</v>
      </c>
      <c r="C5555" s="195">
        <f t="shared" si="173"/>
        <v>8</v>
      </c>
      <c r="D5555" s="195">
        <v>63.7</v>
      </c>
      <c r="E5555" s="705">
        <f t="shared" si="174"/>
        <v>17.611111111111111</v>
      </c>
    </row>
    <row r="5556" spans="2:5">
      <c r="B5556" s="943">
        <v>45154</v>
      </c>
      <c r="C5556" s="195">
        <f t="shared" si="173"/>
        <v>8</v>
      </c>
      <c r="D5556" s="195">
        <v>62.8</v>
      </c>
      <c r="E5556" s="705">
        <f t="shared" si="174"/>
        <v>17.111111111111111</v>
      </c>
    </row>
    <row r="5557" spans="2:5">
      <c r="B5557" s="943">
        <v>45154</v>
      </c>
      <c r="C5557" s="195">
        <f t="shared" si="173"/>
        <v>8</v>
      </c>
      <c r="D5557" s="195">
        <v>61.9</v>
      </c>
      <c r="E5557" s="705">
        <f t="shared" si="174"/>
        <v>16.611111111111111</v>
      </c>
    </row>
    <row r="5558" spans="2:5">
      <c r="B5558" s="943">
        <v>45154</v>
      </c>
      <c r="C5558" s="195">
        <f t="shared" si="173"/>
        <v>8</v>
      </c>
      <c r="D5558" s="195">
        <v>61.5</v>
      </c>
      <c r="E5558" s="705">
        <f t="shared" si="174"/>
        <v>16.388888888888889</v>
      </c>
    </row>
    <row r="5559" spans="2:5">
      <c r="B5559" s="943">
        <v>45154</v>
      </c>
      <c r="C5559" s="195">
        <f t="shared" si="173"/>
        <v>8</v>
      </c>
      <c r="D5559" s="195">
        <v>61.3</v>
      </c>
      <c r="E5559" s="705">
        <f t="shared" si="174"/>
        <v>16.277777777777775</v>
      </c>
    </row>
    <row r="5560" spans="2:5">
      <c r="B5560" s="943">
        <v>45154</v>
      </c>
      <c r="C5560" s="195">
        <f t="shared" si="173"/>
        <v>8</v>
      </c>
      <c r="D5560" s="195">
        <v>61.5</v>
      </c>
      <c r="E5560" s="705">
        <f t="shared" si="174"/>
        <v>16.388888888888889</v>
      </c>
    </row>
    <row r="5561" spans="2:5">
      <c r="B5561" s="943">
        <v>45154</v>
      </c>
      <c r="C5561" s="195">
        <f t="shared" si="173"/>
        <v>8</v>
      </c>
      <c r="D5561" s="195">
        <v>62.1</v>
      </c>
      <c r="E5561" s="705">
        <f t="shared" si="174"/>
        <v>16.722222222222221</v>
      </c>
    </row>
    <row r="5562" spans="2:5">
      <c r="B5562" s="943">
        <v>45154</v>
      </c>
      <c r="C5562" s="195">
        <f t="shared" si="173"/>
        <v>8</v>
      </c>
      <c r="D5562" s="195">
        <v>63.5</v>
      </c>
      <c r="E5562" s="705">
        <f t="shared" si="174"/>
        <v>17.5</v>
      </c>
    </row>
    <row r="5563" spans="2:5">
      <c r="B5563" s="943">
        <v>45154</v>
      </c>
      <c r="C5563" s="195">
        <f t="shared" si="173"/>
        <v>8</v>
      </c>
      <c r="D5563" s="195">
        <v>65.3</v>
      </c>
      <c r="E5563" s="705">
        <f t="shared" si="174"/>
        <v>18.499999999999996</v>
      </c>
    </row>
    <row r="5564" spans="2:5">
      <c r="B5564" s="943">
        <v>45154</v>
      </c>
      <c r="C5564" s="195">
        <f t="shared" si="173"/>
        <v>8</v>
      </c>
      <c r="D5564" s="195">
        <v>66.2</v>
      </c>
      <c r="E5564" s="705">
        <f t="shared" si="174"/>
        <v>19</v>
      </c>
    </row>
    <row r="5565" spans="2:5">
      <c r="B5565" s="943">
        <v>45154</v>
      </c>
      <c r="C5565" s="195">
        <f t="shared" si="173"/>
        <v>8</v>
      </c>
      <c r="D5565" s="195">
        <v>67.099999999999994</v>
      </c>
      <c r="E5565" s="705">
        <f t="shared" si="174"/>
        <v>19.499999999999996</v>
      </c>
    </row>
    <row r="5566" spans="2:5">
      <c r="B5566" s="943">
        <v>45154</v>
      </c>
      <c r="C5566" s="195">
        <f t="shared" si="173"/>
        <v>8</v>
      </c>
      <c r="D5566" s="195">
        <v>67.3</v>
      </c>
      <c r="E5566" s="705">
        <f t="shared" si="174"/>
        <v>19.611111111111111</v>
      </c>
    </row>
    <row r="5567" spans="2:5">
      <c r="B5567" s="943">
        <v>45154</v>
      </c>
      <c r="C5567" s="195">
        <f t="shared" si="173"/>
        <v>8</v>
      </c>
      <c r="D5567" s="195">
        <v>65.7</v>
      </c>
      <c r="E5567" s="705">
        <f t="shared" si="174"/>
        <v>18.722222222222225</v>
      </c>
    </row>
    <row r="5568" spans="2:5">
      <c r="B5568" s="943">
        <v>45154</v>
      </c>
      <c r="C5568" s="195">
        <f t="shared" si="173"/>
        <v>8</v>
      </c>
      <c r="D5568" s="195">
        <v>64.400000000000006</v>
      </c>
      <c r="E5568" s="705">
        <f t="shared" si="174"/>
        <v>18.000000000000004</v>
      </c>
    </row>
    <row r="5569" spans="2:5">
      <c r="B5569" s="943">
        <v>45154</v>
      </c>
      <c r="C5569" s="195">
        <f t="shared" si="173"/>
        <v>8</v>
      </c>
      <c r="D5569" s="195">
        <v>63.3</v>
      </c>
      <c r="E5569" s="705">
        <f t="shared" si="174"/>
        <v>17.388888888888886</v>
      </c>
    </row>
    <row r="5570" spans="2:5">
      <c r="B5570" s="943">
        <v>45154</v>
      </c>
      <c r="C5570" s="195">
        <f t="shared" si="173"/>
        <v>8</v>
      </c>
      <c r="D5570" s="195">
        <v>62.2</v>
      </c>
      <c r="E5570" s="705">
        <f t="shared" si="174"/>
        <v>16.777777777777779</v>
      </c>
    </row>
    <row r="5571" spans="2:5">
      <c r="B5571" s="943">
        <v>45154</v>
      </c>
      <c r="C5571" s="195">
        <f t="shared" si="173"/>
        <v>8</v>
      </c>
      <c r="D5571" s="195">
        <v>61.3</v>
      </c>
      <c r="E5571" s="705">
        <f t="shared" si="174"/>
        <v>16.277777777777775</v>
      </c>
    </row>
    <row r="5572" spans="2:5">
      <c r="B5572" s="943">
        <v>45154</v>
      </c>
      <c r="C5572" s="195">
        <f t="shared" si="173"/>
        <v>8</v>
      </c>
      <c r="D5572" s="195">
        <v>62.1</v>
      </c>
      <c r="E5572" s="705">
        <f t="shared" si="174"/>
        <v>16.722222222222221</v>
      </c>
    </row>
    <row r="5573" spans="2:5">
      <c r="B5573" s="943">
        <v>45154</v>
      </c>
      <c r="C5573" s="195">
        <f t="shared" si="173"/>
        <v>8</v>
      </c>
      <c r="D5573" s="195">
        <v>62.2</v>
      </c>
      <c r="E5573" s="705">
        <f t="shared" si="174"/>
        <v>16.777777777777779</v>
      </c>
    </row>
    <row r="5574" spans="2:5">
      <c r="B5574" s="943">
        <v>45154</v>
      </c>
      <c r="C5574" s="195">
        <f t="shared" si="173"/>
        <v>8</v>
      </c>
      <c r="D5574" s="195">
        <v>63.5</v>
      </c>
      <c r="E5574" s="705">
        <f t="shared" si="174"/>
        <v>17.5</v>
      </c>
    </row>
    <row r="5575" spans="2:5">
      <c r="B5575" s="943">
        <v>45154</v>
      </c>
      <c r="C5575" s="195">
        <f t="shared" si="173"/>
        <v>8</v>
      </c>
      <c r="D5575" s="195">
        <v>65.099999999999994</v>
      </c>
      <c r="E5575" s="705">
        <f t="shared" si="174"/>
        <v>18.388888888888886</v>
      </c>
    </row>
    <row r="5576" spans="2:5">
      <c r="B5576" s="943">
        <v>45154</v>
      </c>
      <c r="C5576" s="195">
        <f t="shared" si="173"/>
        <v>8</v>
      </c>
      <c r="D5576" s="195">
        <v>66.599999999999994</v>
      </c>
      <c r="E5576" s="705">
        <f t="shared" si="174"/>
        <v>19.222222222222218</v>
      </c>
    </row>
    <row r="5577" spans="2:5">
      <c r="B5577" s="943">
        <v>45155</v>
      </c>
      <c r="C5577" s="195">
        <f t="shared" si="173"/>
        <v>8</v>
      </c>
      <c r="D5577" s="195">
        <v>67.099999999999994</v>
      </c>
      <c r="E5577" s="705">
        <f t="shared" si="174"/>
        <v>19.499999999999996</v>
      </c>
    </row>
    <row r="5578" spans="2:5">
      <c r="B5578" s="943">
        <v>45155</v>
      </c>
      <c r="C5578" s="195">
        <f t="shared" ref="C5578:C5641" si="175">MONTH(B5578)</f>
        <v>8</v>
      </c>
      <c r="D5578" s="195">
        <v>66.900000000000006</v>
      </c>
      <c r="E5578" s="705">
        <f t="shared" ref="E5578:E5641" si="176">CONVERT(D5578,"F","C")</f>
        <v>19.388888888888893</v>
      </c>
    </row>
    <row r="5579" spans="2:5">
      <c r="B5579" s="943">
        <v>45155</v>
      </c>
      <c r="C5579" s="195">
        <f t="shared" si="175"/>
        <v>8</v>
      </c>
      <c r="D5579" s="195">
        <v>65.099999999999994</v>
      </c>
      <c r="E5579" s="705">
        <f t="shared" si="176"/>
        <v>18.388888888888886</v>
      </c>
    </row>
    <row r="5580" spans="2:5">
      <c r="B5580" s="943">
        <v>45155</v>
      </c>
      <c r="C5580" s="195">
        <f t="shared" si="175"/>
        <v>8</v>
      </c>
      <c r="D5580" s="195" t="s">
        <v>1444</v>
      </c>
      <c r="E5580" s="705">
        <f t="shared" si="176"/>
        <v>17.777777777777779</v>
      </c>
    </row>
    <row r="5581" spans="2:5">
      <c r="B5581" s="943">
        <v>45155</v>
      </c>
      <c r="C5581" s="195">
        <f t="shared" si="175"/>
        <v>8</v>
      </c>
      <c r="D5581" s="195">
        <v>63.7</v>
      </c>
      <c r="E5581" s="705">
        <f t="shared" si="176"/>
        <v>17.611111111111111</v>
      </c>
    </row>
    <row r="5582" spans="2:5">
      <c r="B5582" s="943">
        <v>45155</v>
      </c>
      <c r="C5582" s="195">
        <f t="shared" si="175"/>
        <v>8</v>
      </c>
      <c r="D5582" s="195">
        <v>63.5</v>
      </c>
      <c r="E5582" s="705">
        <f t="shared" si="176"/>
        <v>17.5</v>
      </c>
    </row>
    <row r="5583" spans="2:5">
      <c r="B5583" s="943">
        <v>45155</v>
      </c>
      <c r="C5583" s="195">
        <f t="shared" si="175"/>
        <v>8</v>
      </c>
      <c r="D5583" s="195">
        <v>63.1</v>
      </c>
      <c r="E5583" s="705">
        <f t="shared" si="176"/>
        <v>17.277777777777779</v>
      </c>
    </row>
    <row r="5584" spans="2:5">
      <c r="B5584" s="943">
        <v>45155</v>
      </c>
      <c r="C5584" s="195">
        <f t="shared" si="175"/>
        <v>8</v>
      </c>
      <c r="D5584" s="195">
        <v>63.3</v>
      </c>
      <c r="E5584" s="705">
        <f t="shared" si="176"/>
        <v>17.388888888888886</v>
      </c>
    </row>
    <row r="5585" spans="2:5">
      <c r="B5585" s="943">
        <v>45155</v>
      </c>
      <c r="C5585" s="195">
        <f t="shared" si="175"/>
        <v>8</v>
      </c>
      <c r="D5585" s="195">
        <v>63.1</v>
      </c>
      <c r="E5585" s="705">
        <f t="shared" si="176"/>
        <v>17.277777777777779</v>
      </c>
    </row>
    <row r="5586" spans="2:5">
      <c r="B5586" s="943">
        <v>45155</v>
      </c>
      <c r="C5586" s="195">
        <f t="shared" si="175"/>
        <v>8</v>
      </c>
      <c r="D5586" s="195">
        <v>63.9</v>
      </c>
      <c r="E5586" s="705">
        <f t="shared" si="176"/>
        <v>17.722222222222221</v>
      </c>
    </row>
    <row r="5587" spans="2:5">
      <c r="B5587" s="943">
        <v>45155</v>
      </c>
      <c r="C5587" s="195">
        <f t="shared" si="175"/>
        <v>8</v>
      </c>
      <c r="D5587" s="195">
        <v>65.099999999999994</v>
      </c>
      <c r="E5587" s="705">
        <f t="shared" si="176"/>
        <v>18.388888888888886</v>
      </c>
    </row>
    <row r="5588" spans="2:5">
      <c r="B5588" s="943">
        <v>45155</v>
      </c>
      <c r="C5588" s="195">
        <f t="shared" si="175"/>
        <v>8</v>
      </c>
      <c r="D5588" s="195" t="s">
        <v>1445</v>
      </c>
      <c r="E5588" s="705">
        <f t="shared" si="176"/>
        <v>18.888888888888889</v>
      </c>
    </row>
    <row r="5589" spans="2:5">
      <c r="B5589" s="943">
        <v>45155</v>
      </c>
      <c r="C5589" s="195">
        <f t="shared" si="175"/>
        <v>8</v>
      </c>
      <c r="D5589" s="195">
        <v>66.7</v>
      </c>
      <c r="E5589" s="705">
        <f t="shared" si="176"/>
        <v>19.277777777777779</v>
      </c>
    </row>
    <row r="5590" spans="2:5">
      <c r="B5590" s="943">
        <v>45155</v>
      </c>
      <c r="C5590" s="195">
        <f t="shared" si="175"/>
        <v>8</v>
      </c>
      <c r="D5590" s="195">
        <v>67.3</v>
      </c>
      <c r="E5590" s="705">
        <f t="shared" si="176"/>
        <v>19.611111111111111</v>
      </c>
    </row>
    <row r="5591" spans="2:5">
      <c r="B5591" s="943">
        <v>45155</v>
      </c>
      <c r="C5591" s="195">
        <f t="shared" si="175"/>
        <v>8</v>
      </c>
      <c r="D5591" s="195">
        <v>66.7</v>
      </c>
      <c r="E5591" s="705">
        <f t="shared" si="176"/>
        <v>19.277777777777779</v>
      </c>
    </row>
    <row r="5592" spans="2:5">
      <c r="B5592" s="943">
        <v>45155</v>
      </c>
      <c r="C5592" s="195">
        <f t="shared" si="175"/>
        <v>8</v>
      </c>
      <c r="D5592" s="195">
        <v>65.3</v>
      </c>
      <c r="E5592" s="705">
        <f t="shared" si="176"/>
        <v>18.499999999999996</v>
      </c>
    </row>
    <row r="5593" spans="2:5">
      <c r="B5593" s="943">
        <v>45155</v>
      </c>
      <c r="C5593" s="195">
        <f t="shared" si="175"/>
        <v>8</v>
      </c>
      <c r="D5593" s="195">
        <v>64.900000000000006</v>
      </c>
      <c r="E5593" s="705">
        <f t="shared" si="176"/>
        <v>18.277777777777782</v>
      </c>
    </row>
    <row r="5594" spans="2:5">
      <c r="B5594" s="943">
        <v>45155</v>
      </c>
      <c r="C5594" s="195">
        <f t="shared" si="175"/>
        <v>8</v>
      </c>
      <c r="D5594" s="195">
        <v>64.2</v>
      </c>
      <c r="E5594" s="705">
        <f t="shared" si="176"/>
        <v>17.888888888888889</v>
      </c>
    </row>
    <row r="5595" spans="2:5">
      <c r="B5595" s="943">
        <v>45155</v>
      </c>
      <c r="C5595" s="195">
        <f t="shared" si="175"/>
        <v>8</v>
      </c>
      <c r="D5595" s="195">
        <v>63.1</v>
      </c>
      <c r="E5595" s="705">
        <f t="shared" si="176"/>
        <v>17.277777777777779</v>
      </c>
    </row>
    <row r="5596" spans="2:5">
      <c r="B5596" s="943">
        <v>45155</v>
      </c>
      <c r="C5596" s="195">
        <f t="shared" si="175"/>
        <v>8</v>
      </c>
      <c r="D5596" s="195">
        <v>62.4</v>
      </c>
      <c r="E5596" s="705">
        <f t="shared" si="176"/>
        <v>16.888888888888889</v>
      </c>
    </row>
    <row r="5597" spans="2:5">
      <c r="B5597" s="943">
        <v>45155</v>
      </c>
      <c r="C5597" s="195">
        <f t="shared" si="175"/>
        <v>8</v>
      </c>
      <c r="D5597" s="195">
        <v>62.8</v>
      </c>
      <c r="E5597" s="705">
        <f t="shared" si="176"/>
        <v>17.111111111111111</v>
      </c>
    </row>
    <row r="5598" spans="2:5">
      <c r="B5598" s="943">
        <v>45155</v>
      </c>
      <c r="C5598" s="195">
        <f t="shared" si="175"/>
        <v>8</v>
      </c>
      <c r="D5598" s="195" t="s">
        <v>1444</v>
      </c>
      <c r="E5598" s="705">
        <f t="shared" si="176"/>
        <v>17.777777777777779</v>
      </c>
    </row>
    <row r="5599" spans="2:5">
      <c r="B5599" s="943">
        <v>45155</v>
      </c>
      <c r="C5599" s="195">
        <f t="shared" si="175"/>
        <v>8</v>
      </c>
      <c r="D5599" s="195">
        <v>65.099999999999994</v>
      </c>
      <c r="E5599" s="705">
        <f t="shared" si="176"/>
        <v>18.388888888888886</v>
      </c>
    </row>
    <row r="5600" spans="2:5">
      <c r="B5600" s="943">
        <v>45155</v>
      </c>
      <c r="C5600" s="195">
        <f t="shared" si="175"/>
        <v>8</v>
      </c>
      <c r="D5600" s="195">
        <v>66.400000000000006</v>
      </c>
      <c r="E5600" s="705">
        <f t="shared" si="176"/>
        <v>19.111111111111114</v>
      </c>
    </row>
    <row r="5601" spans="2:5">
      <c r="B5601" s="943">
        <v>45156</v>
      </c>
      <c r="C5601" s="195">
        <f t="shared" si="175"/>
        <v>8</v>
      </c>
      <c r="D5601" s="195">
        <v>67.099999999999994</v>
      </c>
      <c r="E5601" s="705">
        <f t="shared" si="176"/>
        <v>19.499999999999996</v>
      </c>
    </row>
    <row r="5602" spans="2:5">
      <c r="B5602" s="943">
        <v>45156</v>
      </c>
      <c r="C5602" s="195">
        <f t="shared" si="175"/>
        <v>8</v>
      </c>
      <c r="D5602" s="195">
        <v>67.5</v>
      </c>
      <c r="E5602" s="705">
        <f t="shared" si="176"/>
        <v>19.722222222222221</v>
      </c>
    </row>
    <row r="5603" spans="2:5">
      <c r="B5603" s="943">
        <v>45156</v>
      </c>
      <c r="C5603" s="195">
        <f t="shared" si="175"/>
        <v>8</v>
      </c>
      <c r="D5603" s="195">
        <v>66.599999999999994</v>
      </c>
      <c r="E5603" s="705">
        <f t="shared" si="176"/>
        <v>19.222222222222218</v>
      </c>
    </row>
    <row r="5604" spans="2:5">
      <c r="B5604" s="943">
        <v>45156</v>
      </c>
      <c r="C5604" s="195">
        <f t="shared" si="175"/>
        <v>8</v>
      </c>
      <c r="D5604" s="195">
        <v>65.3</v>
      </c>
      <c r="E5604" s="705">
        <f t="shared" si="176"/>
        <v>18.499999999999996</v>
      </c>
    </row>
    <row r="5605" spans="2:5">
      <c r="B5605" s="943">
        <v>45156</v>
      </c>
      <c r="C5605" s="195">
        <f t="shared" si="175"/>
        <v>8</v>
      </c>
      <c r="D5605" s="195">
        <v>64.8</v>
      </c>
      <c r="E5605" s="705">
        <f t="shared" si="176"/>
        <v>18.222222222222221</v>
      </c>
    </row>
    <row r="5606" spans="2:5">
      <c r="B5606" s="943">
        <v>45156</v>
      </c>
      <c r="C5606" s="195">
        <f t="shared" si="175"/>
        <v>8</v>
      </c>
      <c r="D5606" s="195">
        <v>64.900000000000006</v>
      </c>
      <c r="E5606" s="705">
        <f t="shared" si="176"/>
        <v>18.277777777777782</v>
      </c>
    </row>
    <row r="5607" spans="2:5">
      <c r="B5607" s="943">
        <v>45156</v>
      </c>
      <c r="C5607" s="195">
        <f t="shared" si="175"/>
        <v>8</v>
      </c>
      <c r="D5607" s="195">
        <v>64.2</v>
      </c>
      <c r="E5607" s="705">
        <f t="shared" si="176"/>
        <v>17.888888888888889</v>
      </c>
    </row>
    <row r="5608" spans="2:5">
      <c r="B5608" s="943">
        <v>45156</v>
      </c>
      <c r="C5608" s="195">
        <f t="shared" si="175"/>
        <v>8</v>
      </c>
      <c r="D5608" s="195">
        <v>63.7</v>
      </c>
      <c r="E5608" s="705">
        <f t="shared" si="176"/>
        <v>17.611111111111111</v>
      </c>
    </row>
    <row r="5609" spans="2:5">
      <c r="B5609" s="943">
        <v>45156</v>
      </c>
      <c r="C5609" s="195">
        <f t="shared" si="175"/>
        <v>8</v>
      </c>
      <c r="D5609" s="195">
        <v>63.7</v>
      </c>
      <c r="E5609" s="705">
        <f t="shared" si="176"/>
        <v>17.611111111111111</v>
      </c>
    </row>
    <row r="5610" spans="2:5">
      <c r="B5610" s="943">
        <v>45156</v>
      </c>
      <c r="C5610" s="195">
        <f t="shared" si="175"/>
        <v>8</v>
      </c>
      <c r="D5610" s="195">
        <v>64.2</v>
      </c>
      <c r="E5610" s="705">
        <f t="shared" si="176"/>
        <v>17.888888888888889</v>
      </c>
    </row>
    <row r="5611" spans="2:5">
      <c r="B5611" s="943">
        <v>45156</v>
      </c>
      <c r="C5611" s="195">
        <f t="shared" si="175"/>
        <v>8</v>
      </c>
      <c r="D5611" s="195">
        <v>65.099999999999994</v>
      </c>
      <c r="E5611" s="705">
        <f t="shared" si="176"/>
        <v>18.388888888888886</v>
      </c>
    </row>
    <row r="5612" spans="2:5">
      <c r="B5612" s="943">
        <v>45156</v>
      </c>
      <c r="C5612" s="195">
        <f t="shared" si="175"/>
        <v>8</v>
      </c>
      <c r="D5612" s="195" t="s">
        <v>1445</v>
      </c>
      <c r="E5612" s="705">
        <f t="shared" si="176"/>
        <v>18.888888888888889</v>
      </c>
    </row>
    <row r="5613" spans="2:5">
      <c r="B5613" s="943">
        <v>45156</v>
      </c>
      <c r="C5613" s="195">
        <f t="shared" si="175"/>
        <v>8</v>
      </c>
      <c r="D5613" s="195">
        <v>66.7</v>
      </c>
      <c r="E5613" s="705">
        <f t="shared" si="176"/>
        <v>19.277777777777779</v>
      </c>
    </row>
    <row r="5614" spans="2:5">
      <c r="B5614" s="943">
        <v>45156</v>
      </c>
      <c r="C5614" s="195">
        <f t="shared" si="175"/>
        <v>8</v>
      </c>
      <c r="D5614" s="195">
        <v>67.3</v>
      </c>
      <c r="E5614" s="705">
        <f t="shared" si="176"/>
        <v>19.611111111111111</v>
      </c>
    </row>
    <row r="5615" spans="2:5">
      <c r="B5615" s="943">
        <v>45156</v>
      </c>
      <c r="C5615" s="195">
        <f t="shared" si="175"/>
        <v>8</v>
      </c>
      <c r="D5615" s="195">
        <v>67.5</v>
      </c>
      <c r="E5615" s="705">
        <f t="shared" si="176"/>
        <v>19.722222222222221</v>
      </c>
    </row>
    <row r="5616" spans="2:5">
      <c r="B5616" s="943">
        <v>45156</v>
      </c>
      <c r="C5616" s="195">
        <f t="shared" si="175"/>
        <v>8</v>
      </c>
      <c r="D5616" s="195">
        <v>66.2</v>
      </c>
      <c r="E5616" s="705">
        <f t="shared" si="176"/>
        <v>19</v>
      </c>
    </row>
    <row r="5617" spans="2:5">
      <c r="B5617" s="943">
        <v>45156</v>
      </c>
      <c r="C5617" s="195">
        <f t="shared" si="175"/>
        <v>8</v>
      </c>
      <c r="D5617" s="195">
        <v>65.7</v>
      </c>
      <c r="E5617" s="705">
        <f t="shared" si="176"/>
        <v>18.722222222222225</v>
      </c>
    </row>
    <row r="5618" spans="2:5">
      <c r="B5618" s="943">
        <v>45156</v>
      </c>
      <c r="C5618" s="195">
        <f t="shared" si="175"/>
        <v>8</v>
      </c>
      <c r="D5618" s="195">
        <v>65.5</v>
      </c>
      <c r="E5618" s="705">
        <f t="shared" si="176"/>
        <v>18.611111111111111</v>
      </c>
    </row>
    <row r="5619" spans="2:5">
      <c r="B5619" s="943">
        <v>45156</v>
      </c>
      <c r="C5619" s="195">
        <f t="shared" si="175"/>
        <v>8</v>
      </c>
      <c r="D5619" s="195">
        <v>65.5</v>
      </c>
      <c r="E5619" s="705">
        <f t="shared" si="176"/>
        <v>18.611111111111111</v>
      </c>
    </row>
    <row r="5620" spans="2:5">
      <c r="B5620" s="943">
        <v>45156</v>
      </c>
      <c r="C5620" s="195">
        <f t="shared" si="175"/>
        <v>8</v>
      </c>
      <c r="D5620" s="195">
        <v>64.400000000000006</v>
      </c>
      <c r="E5620" s="705">
        <f t="shared" si="176"/>
        <v>18.000000000000004</v>
      </c>
    </row>
    <row r="5621" spans="2:5">
      <c r="B5621" s="943">
        <v>45156</v>
      </c>
      <c r="C5621" s="195">
        <f t="shared" si="175"/>
        <v>8</v>
      </c>
      <c r="D5621" s="195">
        <v>65.3</v>
      </c>
      <c r="E5621" s="705">
        <f t="shared" si="176"/>
        <v>18.499999999999996</v>
      </c>
    </row>
    <row r="5622" spans="2:5">
      <c r="B5622" s="943">
        <v>45156</v>
      </c>
      <c r="C5622" s="195">
        <f t="shared" si="175"/>
        <v>8</v>
      </c>
      <c r="D5622" s="195">
        <v>64.8</v>
      </c>
      <c r="E5622" s="705">
        <f t="shared" si="176"/>
        <v>18.222222222222221</v>
      </c>
    </row>
    <row r="5623" spans="2:5">
      <c r="B5623" s="943">
        <v>45156</v>
      </c>
      <c r="C5623" s="195">
        <f t="shared" si="175"/>
        <v>8</v>
      </c>
      <c r="D5623" s="195">
        <v>65.7</v>
      </c>
      <c r="E5623" s="705">
        <f t="shared" si="176"/>
        <v>18.722222222222225</v>
      </c>
    </row>
    <row r="5624" spans="2:5">
      <c r="B5624" s="943">
        <v>45156</v>
      </c>
      <c r="C5624" s="195">
        <f t="shared" si="175"/>
        <v>8</v>
      </c>
      <c r="D5624" s="195">
        <v>66.599999999999994</v>
      </c>
      <c r="E5624" s="705">
        <f t="shared" si="176"/>
        <v>19.222222222222218</v>
      </c>
    </row>
    <row r="5625" spans="2:5">
      <c r="B5625" s="943">
        <v>45157</v>
      </c>
      <c r="C5625" s="195">
        <f t="shared" si="175"/>
        <v>8</v>
      </c>
      <c r="D5625" s="195">
        <v>67.099999999999994</v>
      </c>
      <c r="E5625" s="705">
        <f t="shared" si="176"/>
        <v>19.499999999999996</v>
      </c>
    </row>
    <row r="5626" spans="2:5">
      <c r="B5626" s="943">
        <v>45157</v>
      </c>
      <c r="C5626" s="195">
        <f t="shared" si="175"/>
        <v>8</v>
      </c>
      <c r="D5626" s="195">
        <v>67.599999999999994</v>
      </c>
      <c r="E5626" s="705">
        <f t="shared" si="176"/>
        <v>19.777777777777775</v>
      </c>
    </row>
    <row r="5627" spans="2:5">
      <c r="B5627" s="943">
        <v>45157</v>
      </c>
      <c r="C5627" s="195">
        <f t="shared" si="175"/>
        <v>8</v>
      </c>
      <c r="D5627" s="195">
        <v>67.8</v>
      </c>
      <c r="E5627" s="705">
        <f t="shared" si="176"/>
        <v>19.888888888888886</v>
      </c>
    </row>
    <row r="5628" spans="2:5">
      <c r="B5628" s="943">
        <v>45157</v>
      </c>
      <c r="C5628" s="195">
        <f t="shared" si="175"/>
        <v>8</v>
      </c>
      <c r="D5628" s="195">
        <v>67.099999999999994</v>
      </c>
      <c r="E5628" s="705">
        <f t="shared" si="176"/>
        <v>19.499999999999996</v>
      </c>
    </row>
    <row r="5629" spans="2:5">
      <c r="B5629" s="943">
        <v>45157</v>
      </c>
      <c r="C5629" s="195">
        <f t="shared" si="175"/>
        <v>8</v>
      </c>
      <c r="D5629" s="195">
        <v>66.2</v>
      </c>
      <c r="E5629" s="705">
        <f t="shared" si="176"/>
        <v>19</v>
      </c>
    </row>
    <row r="5630" spans="2:5">
      <c r="B5630" s="943">
        <v>45157</v>
      </c>
      <c r="C5630" s="195">
        <f t="shared" si="175"/>
        <v>8</v>
      </c>
      <c r="D5630" s="195">
        <v>65.8</v>
      </c>
      <c r="E5630" s="705">
        <f t="shared" si="176"/>
        <v>18.777777777777775</v>
      </c>
    </row>
    <row r="5631" spans="2:5">
      <c r="B5631" s="943">
        <v>45157</v>
      </c>
      <c r="C5631" s="195">
        <f t="shared" si="175"/>
        <v>8</v>
      </c>
      <c r="D5631" s="195">
        <v>64.900000000000006</v>
      </c>
      <c r="E5631" s="705">
        <f t="shared" si="176"/>
        <v>18.277777777777782</v>
      </c>
    </row>
    <row r="5632" spans="2:5">
      <c r="B5632" s="943">
        <v>45157</v>
      </c>
      <c r="C5632" s="195">
        <f t="shared" si="175"/>
        <v>8</v>
      </c>
      <c r="D5632" s="195">
        <v>64.599999999999994</v>
      </c>
      <c r="E5632" s="705">
        <f t="shared" si="176"/>
        <v>18.111111111111107</v>
      </c>
    </row>
    <row r="5633" spans="2:5">
      <c r="B5633" s="943">
        <v>45157</v>
      </c>
      <c r="C5633" s="195">
        <f t="shared" si="175"/>
        <v>8</v>
      </c>
      <c r="D5633" s="195">
        <v>65.099999999999994</v>
      </c>
      <c r="E5633" s="705">
        <f t="shared" si="176"/>
        <v>18.388888888888886</v>
      </c>
    </row>
    <row r="5634" spans="2:5">
      <c r="B5634" s="943">
        <v>45157</v>
      </c>
      <c r="C5634" s="195">
        <f t="shared" si="175"/>
        <v>8</v>
      </c>
      <c r="D5634" s="195">
        <v>64.599999999999994</v>
      </c>
      <c r="E5634" s="705">
        <f t="shared" si="176"/>
        <v>18.111111111111107</v>
      </c>
    </row>
    <row r="5635" spans="2:5">
      <c r="B5635" s="943">
        <v>45157</v>
      </c>
      <c r="C5635" s="195">
        <f t="shared" si="175"/>
        <v>8</v>
      </c>
      <c r="D5635" s="195">
        <v>65.3</v>
      </c>
      <c r="E5635" s="705">
        <f t="shared" si="176"/>
        <v>18.499999999999996</v>
      </c>
    </row>
    <row r="5636" spans="2:5">
      <c r="B5636" s="943">
        <v>45157</v>
      </c>
      <c r="C5636" s="195">
        <f t="shared" si="175"/>
        <v>8</v>
      </c>
      <c r="D5636" s="195">
        <v>66.2</v>
      </c>
      <c r="E5636" s="705">
        <f t="shared" si="176"/>
        <v>19</v>
      </c>
    </row>
    <row r="5637" spans="2:5">
      <c r="B5637" s="943">
        <v>45157</v>
      </c>
      <c r="C5637" s="195">
        <f t="shared" si="175"/>
        <v>8</v>
      </c>
      <c r="D5637" s="195">
        <v>66.900000000000006</v>
      </c>
      <c r="E5637" s="705">
        <f t="shared" si="176"/>
        <v>19.388888888888893</v>
      </c>
    </row>
    <row r="5638" spans="2:5">
      <c r="B5638" s="943">
        <v>45157</v>
      </c>
      <c r="C5638" s="195">
        <f t="shared" si="175"/>
        <v>8</v>
      </c>
      <c r="D5638" s="195">
        <v>67.5</v>
      </c>
      <c r="E5638" s="705">
        <f t="shared" si="176"/>
        <v>19.722222222222221</v>
      </c>
    </row>
    <row r="5639" spans="2:5">
      <c r="B5639" s="943">
        <v>45157</v>
      </c>
      <c r="C5639" s="195">
        <f t="shared" si="175"/>
        <v>8</v>
      </c>
      <c r="D5639" s="195">
        <v>67.8</v>
      </c>
      <c r="E5639" s="705">
        <f t="shared" si="176"/>
        <v>19.888888888888886</v>
      </c>
    </row>
    <row r="5640" spans="2:5">
      <c r="B5640" s="943">
        <v>45157</v>
      </c>
      <c r="C5640" s="195">
        <f t="shared" si="175"/>
        <v>8</v>
      </c>
      <c r="D5640" s="195">
        <v>67.599999999999994</v>
      </c>
      <c r="E5640" s="705">
        <f t="shared" si="176"/>
        <v>19.777777777777775</v>
      </c>
    </row>
    <row r="5641" spans="2:5">
      <c r="B5641" s="943">
        <v>45157</v>
      </c>
      <c r="C5641" s="195">
        <f t="shared" si="175"/>
        <v>8</v>
      </c>
      <c r="D5641" s="195">
        <v>66.7</v>
      </c>
      <c r="E5641" s="705">
        <f t="shared" si="176"/>
        <v>19.277777777777779</v>
      </c>
    </row>
    <row r="5642" spans="2:5">
      <c r="B5642" s="943">
        <v>45157</v>
      </c>
      <c r="C5642" s="195">
        <f t="shared" ref="C5642:C5705" si="177">MONTH(B5642)</f>
        <v>8</v>
      </c>
      <c r="D5642" s="195">
        <v>64.900000000000006</v>
      </c>
      <c r="E5642" s="705">
        <f t="shared" ref="E5642:E5705" si="178">CONVERT(D5642,"F","C")</f>
        <v>18.277777777777782</v>
      </c>
    </row>
    <row r="5643" spans="2:5">
      <c r="B5643" s="943">
        <v>45157</v>
      </c>
      <c r="C5643" s="195">
        <f t="shared" si="177"/>
        <v>8</v>
      </c>
      <c r="D5643" s="195">
        <v>63.3</v>
      </c>
      <c r="E5643" s="705">
        <f t="shared" si="178"/>
        <v>17.388888888888886</v>
      </c>
    </row>
    <row r="5644" spans="2:5">
      <c r="B5644" s="943">
        <v>45157</v>
      </c>
      <c r="C5644" s="195">
        <f t="shared" si="177"/>
        <v>8</v>
      </c>
      <c r="D5644" s="195">
        <v>62.1</v>
      </c>
      <c r="E5644" s="705">
        <f t="shared" si="178"/>
        <v>16.722222222222221</v>
      </c>
    </row>
    <row r="5645" spans="2:5">
      <c r="B5645" s="943">
        <v>45157</v>
      </c>
      <c r="C5645" s="195">
        <f t="shared" si="177"/>
        <v>8</v>
      </c>
      <c r="D5645" s="195">
        <v>61.7</v>
      </c>
      <c r="E5645" s="705">
        <f t="shared" si="178"/>
        <v>16.5</v>
      </c>
    </row>
    <row r="5646" spans="2:5">
      <c r="B5646" s="943">
        <v>45157</v>
      </c>
      <c r="C5646" s="195">
        <f t="shared" si="177"/>
        <v>8</v>
      </c>
      <c r="D5646" s="195">
        <v>62.1</v>
      </c>
      <c r="E5646" s="705">
        <f t="shared" si="178"/>
        <v>16.722222222222221</v>
      </c>
    </row>
    <row r="5647" spans="2:5">
      <c r="B5647" s="943">
        <v>45157</v>
      </c>
      <c r="C5647" s="195">
        <f t="shared" si="177"/>
        <v>8</v>
      </c>
      <c r="D5647" s="195">
        <v>63.3</v>
      </c>
      <c r="E5647" s="705">
        <f t="shared" si="178"/>
        <v>17.388888888888886</v>
      </c>
    </row>
    <row r="5648" spans="2:5">
      <c r="B5648" s="943">
        <v>45157</v>
      </c>
      <c r="C5648" s="195">
        <f t="shared" si="177"/>
        <v>8</v>
      </c>
      <c r="D5648" s="195">
        <v>64.900000000000006</v>
      </c>
      <c r="E5648" s="705">
        <f t="shared" si="178"/>
        <v>18.277777777777782</v>
      </c>
    </row>
    <row r="5649" spans="2:5">
      <c r="B5649" s="943">
        <v>45158</v>
      </c>
      <c r="C5649" s="195">
        <f t="shared" si="177"/>
        <v>8</v>
      </c>
      <c r="D5649" s="195">
        <v>66.599999999999994</v>
      </c>
      <c r="E5649" s="705">
        <f t="shared" si="178"/>
        <v>19.222222222222218</v>
      </c>
    </row>
    <row r="5650" spans="2:5">
      <c r="B5650" s="943">
        <v>45158</v>
      </c>
      <c r="C5650" s="195">
        <f t="shared" si="177"/>
        <v>8</v>
      </c>
      <c r="D5650" s="195">
        <v>67.5</v>
      </c>
      <c r="E5650" s="705">
        <f t="shared" si="178"/>
        <v>19.722222222222221</v>
      </c>
    </row>
    <row r="5651" spans="2:5">
      <c r="B5651" s="943">
        <v>45158</v>
      </c>
      <c r="C5651" s="195">
        <f t="shared" si="177"/>
        <v>8</v>
      </c>
      <c r="D5651" s="195">
        <v>67.8</v>
      </c>
      <c r="E5651" s="705">
        <f t="shared" si="178"/>
        <v>19.888888888888886</v>
      </c>
    </row>
    <row r="5652" spans="2:5">
      <c r="B5652" s="943">
        <v>45158</v>
      </c>
      <c r="C5652" s="195">
        <f t="shared" si="177"/>
        <v>8</v>
      </c>
      <c r="D5652" s="195">
        <v>67.5</v>
      </c>
      <c r="E5652" s="705">
        <f t="shared" si="178"/>
        <v>19.722222222222221</v>
      </c>
    </row>
    <row r="5653" spans="2:5">
      <c r="B5653" s="943">
        <v>45158</v>
      </c>
      <c r="C5653" s="195">
        <f t="shared" si="177"/>
        <v>8</v>
      </c>
      <c r="D5653" s="195">
        <v>66.2</v>
      </c>
      <c r="E5653" s="705">
        <f t="shared" si="178"/>
        <v>19</v>
      </c>
    </row>
    <row r="5654" spans="2:5">
      <c r="B5654" s="943">
        <v>45158</v>
      </c>
      <c r="C5654" s="195">
        <f t="shared" si="177"/>
        <v>8</v>
      </c>
      <c r="D5654" s="195">
        <v>62.6</v>
      </c>
      <c r="E5654" s="705">
        <f t="shared" si="178"/>
        <v>17</v>
      </c>
    </row>
    <row r="5655" spans="2:5">
      <c r="B5655" s="943">
        <v>45158</v>
      </c>
      <c r="C5655" s="195">
        <f t="shared" si="177"/>
        <v>8</v>
      </c>
      <c r="D5655" s="195">
        <v>61.5</v>
      </c>
      <c r="E5655" s="705">
        <f t="shared" si="178"/>
        <v>16.388888888888889</v>
      </c>
    </row>
    <row r="5656" spans="2:5">
      <c r="B5656" s="943">
        <v>45158</v>
      </c>
      <c r="C5656" s="195">
        <f t="shared" si="177"/>
        <v>8</v>
      </c>
      <c r="D5656" s="195">
        <v>59.5</v>
      </c>
      <c r="E5656" s="705">
        <f t="shared" si="178"/>
        <v>15.277777777777777</v>
      </c>
    </row>
    <row r="5657" spans="2:5">
      <c r="B5657" s="943">
        <v>45158</v>
      </c>
      <c r="C5657" s="195">
        <f t="shared" si="177"/>
        <v>8</v>
      </c>
      <c r="D5657" s="195">
        <v>58.8</v>
      </c>
      <c r="E5657" s="705">
        <f t="shared" si="178"/>
        <v>14.888888888888888</v>
      </c>
    </row>
    <row r="5658" spans="2:5">
      <c r="B5658" s="943">
        <v>45158</v>
      </c>
      <c r="C5658" s="195">
        <f t="shared" si="177"/>
        <v>8</v>
      </c>
      <c r="D5658" s="195">
        <v>59.4</v>
      </c>
      <c r="E5658" s="705">
        <f t="shared" si="178"/>
        <v>15.222222222222221</v>
      </c>
    </row>
    <row r="5659" spans="2:5">
      <c r="B5659" s="943">
        <v>45158</v>
      </c>
      <c r="C5659" s="195">
        <f t="shared" si="177"/>
        <v>8</v>
      </c>
      <c r="D5659" s="195">
        <v>59.9</v>
      </c>
      <c r="E5659" s="705">
        <f t="shared" si="178"/>
        <v>15.499999999999998</v>
      </c>
    </row>
    <row r="5660" spans="2:5">
      <c r="B5660" s="943">
        <v>45158</v>
      </c>
      <c r="C5660" s="195">
        <f t="shared" si="177"/>
        <v>8</v>
      </c>
      <c r="D5660" s="195">
        <v>61.5</v>
      </c>
      <c r="E5660" s="705">
        <f t="shared" si="178"/>
        <v>16.388888888888889</v>
      </c>
    </row>
    <row r="5661" spans="2:5">
      <c r="B5661" s="943">
        <v>45158</v>
      </c>
      <c r="C5661" s="195">
        <f t="shared" si="177"/>
        <v>8</v>
      </c>
      <c r="D5661" s="195">
        <v>64.400000000000006</v>
      </c>
      <c r="E5661" s="705">
        <f t="shared" si="178"/>
        <v>18.000000000000004</v>
      </c>
    </row>
    <row r="5662" spans="2:5">
      <c r="B5662" s="943">
        <v>45158</v>
      </c>
      <c r="C5662" s="195">
        <f t="shared" si="177"/>
        <v>8</v>
      </c>
      <c r="D5662" s="195" t="s">
        <v>1445</v>
      </c>
      <c r="E5662" s="705">
        <f t="shared" si="178"/>
        <v>18.888888888888889</v>
      </c>
    </row>
    <row r="5663" spans="2:5">
      <c r="B5663" s="943">
        <v>45158</v>
      </c>
      <c r="C5663" s="195">
        <f t="shared" si="177"/>
        <v>8</v>
      </c>
      <c r="D5663" s="195">
        <v>66.7</v>
      </c>
      <c r="E5663" s="705">
        <f t="shared" si="178"/>
        <v>19.277777777777779</v>
      </c>
    </row>
    <row r="5664" spans="2:5">
      <c r="B5664" s="943">
        <v>45158</v>
      </c>
      <c r="C5664" s="195">
        <f t="shared" si="177"/>
        <v>8</v>
      </c>
      <c r="D5664" s="195">
        <v>67.099999999999994</v>
      </c>
      <c r="E5664" s="705">
        <f t="shared" si="178"/>
        <v>19.499999999999996</v>
      </c>
    </row>
    <row r="5665" spans="2:5">
      <c r="B5665" s="943">
        <v>45158</v>
      </c>
      <c r="C5665" s="195">
        <f t="shared" si="177"/>
        <v>8</v>
      </c>
      <c r="D5665" s="195">
        <v>66.2</v>
      </c>
      <c r="E5665" s="705">
        <f t="shared" si="178"/>
        <v>19</v>
      </c>
    </row>
    <row r="5666" spans="2:5">
      <c r="B5666" s="943">
        <v>45158</v>
      </c>
      <c r="C5666" s="195">
        <f t="shared" si="177"/>
        <v>8</v>
      </c>
      <c r="D5666" s="195">
        <v>63.1</v>
      </c>
      <c r="E5666" s="705">
        <f t="shared" si="178"/>
        <v>17.277777777777779</v>
      </c>
    </row>
    <row r="5667" spans="2:5">
      <c r="B5667" s="943">
        <v>45158</v>
      </c>
      <c r="C5667" s="195">
        <f t="shared" si="177"/>
        <v>8</v>
      </c>
      <c r="D5667" s="195">
        <v>61.5</v>
      </c>
      <c r="E5667" s="705">
        <f t="shared" si="178"/>
        <v>16.388888888888889</v>
      </c>
    </row>
    <row r="5668" spans="2:5">
      <c r="B5668" s="943">
        <v>45158</v>
      </c>
      <c r="C5668" s="195">
        <f t="shared" si="177"/>
        <v>8</v>
      </c>
      <c r="D5668" s="195">
        <v>59.2</v>
      </c>
      <c r="E5668" s="705">
        <f t="shared" si="178"/>
        <v>15.111111111111112</v>
      </c>
    </row>
    <row r="5669" spans="2:5">
      <c r="B5669" s="943">
        <v>45158</v>
      </c>
      <c r="C5669" s="195">
        <f t="shared" si="177"/>
        <v>8</v>
      </c>
      <c r="D5669" s="195">
        <v>57.9</v>
      </c>
      <c r="E5669" s="705">
        <f t="shared" si="178"/>
        <v>14.388888888888888</v>
      </c>
    </row>
    <row r="5670" spans="2:5">
      <c r="B5670" s="943">
        <v>45158</v>
      </c>
      <c r="C5670" s="195">
        <f t="shared" si="177"/>
        <v>8</v>
      </c>
      <c r="D5670" s="195">
        <v>60.8</v>
      </c>
      <c r="E5670" s="705">
        <f t="shared" si="178"/>
        <v>15.999999999999998</v>
      </c>
    </row>
    <row r="5671" spans="2:5">
      <c r="B5671" s="943">
        <v>45158</v>
      </c>
      <c r="C5671" s="195">
        <f t="shared" si="177"/>
        <v>8</v>
      </c>
      <c r="D5671" s="195">
        <v>58.8</v>
      </c>
      <c r="E5671" s="705">
        <f t="shared" si="178"/>
        <v>14.888888888888888</v>
      </c>
    </row>
    <row r="5672" spans="2:5">
      <c r="B5672" s="943">
        <v>45158</v>
      </c>
      <c r="C5672" s="195">
        <f t="shared" si="177"/>
        <v>8</v>
      </c>
      <c r="D5672" s="195">
        <v>60.4</v>
      </c>
      <c r="E5672" s="705">
        <f t="shared" si="178"/>
        <v>15.777777777777777</v>
      </c>
    </row>
    <row r="5673" spans="2:5">
      <c r="B5673" s="943">
        <v>45159</v>
      </c>
      <c r="C5673" s="195">
        <f t="shared" si="177"/>
        <v>8</v>
      </c>
      <c r="D5673" s="195">
        <v>63.1</v>
      </c>
      <c r="E5673" s="705">
        <f t="shared" si="178"/>
        <v>17.277777777777779</v>
      </c>
    </row>
    <row r="5674" spans="2:5">
      <c r="B5674" s="943">
        <v>45159</v>
      </c>
      <c r="C5674" s="195">
        <f t="shared" si="177"/>
        <v>8</v>
      </c>
      <c r="D5674" s="195">
        <v>65.3</v>
      </c>
      <c r="E5674" s="705">
        <f t="shared" si="178"/>
        <v>18.499999999999996</v>
      </c>
    </row>
    <row r="5675" spans="2:5">
      <c r="B5675" s="943">
        <v>45159</v>
      </c>
      <c r="C5675" s="195">
        <f t="shared" si="177"/>
        <v>8</v>
      </c>
      <c r="D5675" s="195">
        <v>66.400000000000006</v>
      </c>
      <c r="E5675" s="705">
        <f t="shared" si="178"/>
        <v>19.111111111111114</v>
      </c>
    </row>
    <row r="5676" spans="2:5">
      <c r="B5676" s="943">
        <v>45159</v>
      </c>
      <c r="C5676" s="195">
        <f t="shared" si="177"/>
        <v>8</v>
      </c>
      <c r="D5676" s="195">
        <v>66.900000000000006</v>
      </c>
      <c r="E5676" s="705">
        <f t="shared" si="178"/>
        <v>19.388888888888893</v>
      </c>
    </row>
    <row r="5677" spans="2:5">
      <c r="B5677" s="943">
        <v>45159</v>
      </c>
      <c r="C5677" s="195">
        <f t="shared" si="177"/>
        <v>8</v>
      </c>
      <c r="D5677" s="195" t="s">
        <v>1445</v>
      </c>
      <c r="E5677" s="705">
        <f t="shared" si="178"/>
        <v>18.888888888888889</v>
      </c>
    </row>
    <row r="5678" spans="2:5">
      <c r="B5678" s="943">
        <v>45159</v>
      </c>
      <c r="C5678" s="195">
        <f t="shared" si="177"/>
        <v>8</v>
      </c>
      <c r="D5678" s="195">
        <v>62.8</v>
      </c>
      <c r="E5678" s="705">
        <f t="shared" si="178"/>
        <v>17.111111111111111</v>
      </c>
    </row>
    <row r="5679" spans="2:5">
      <c r="B5679" s="943">
        <v>45159</v>
      </c>
      <c r="C5679" s="195">
        <f t="shared" si="177"/>
        <v>8</v>
      </c>
      <c r="D5679" s="195" t="s">
        <v>1442</v>
      </c>
      <c r="E5679" s="705">
        <f t="shared" si="178"/>
        <v>16.111111111111111</v>
      </c>
    </row>
    <row r="5680" spans="2:5">
      <c r="B5680" s="943">
        <v>45159</v>
      </c>
      <c r="C5680" s="195">
        <f t="shared" si="177"/>
        <v>8</v>
      </c>
      <c r="D5680" s="195">
        <v>58.5</v>
      </c>
      <c r="E5680" s="705">
        <f t="shared" si="178"/>
        <v>14.722222222222221</v>
      </c>
    </row>
    <row r="5681" spans="2:5">
      <c r="B5681" s="943">
        <v>45159</v>
      </c>
      <c r="C5681" s="195">
        <f t="shared" si="177"/>
        <v>8</v>
      </c>
      <c r="D5681" s="195">
        <v>57.6</v>
      </c>
      <c r="E5681" s="705">
        <f t="shared" si="178"/>
        <v>14.222222222222223</v>
      </c>
    </row>
    <row r="5682" spans="2:5">
      <c r="B5682" s="943">
        <v>45159</v>
      </c>
      <c r="C5682" s="195">
        <f t="shared" si="177"/>
        <v>8</v>
      </c>
      <c r="D5682" s="195">
        <v>56.7</v>
      </c>
      <c r="E5682" s="705">
        <f t="shared" si="178"/>
        <v>13.722222222222223</v>
      </c>
    </row>
    <row r="5683" spans="2:5">
      <c r="B5683" s="943">
        <v>45159</v>
      </c>
      <c r="C5683" s="195">
        <f t="shared" si="177"/>
        <v>8</v>
      </c>
      <c r="D5683" s="195">
        <v>57.7</v>
      </c>
      <c r="E5683" s="705">
        <f t="shared" si="178"/>
        <v>14.277777777777779</v>
      </c>
    </row>
    <row r="5684" spans="2:5">
      <c r="B5684" s="943">
        <v>45159</v>
      </c>
      <c r="C5684" s="195">
        <f t="shared" si="177"/>
        <v>8</v>
      </c>
      <c r="D5684" s="195">
        <v>58.8</v>
      </c>
      <c r="E5684" s="705">
        <f t="shared" si="178"/>
        <v>14.888888888888888</v>
      </c>
    </row>
    <row r="5685" spans="2:5">
      <c r="B5685" s="943">
        <v>45159</v>
      </c>
      <c r="C5685" s="195">
        <f t="shared" si="177"/>
        <v>8</v>
      </c>
      <c r="D5685" s="195">
        <v>61.2</v>
      </c>
      <c r="E5685" s="705">
        <f t="shared" si="178"/>
        <v>16.222222222222225</v>
      </c>
    </row>
    <row r="5686" spans="2:5">
      <c r="B5686" s="943">
        <v>45159</v>
      </c>
      <c r="C5686" s="195">
        <f t="shared" si="177"/>
        <v>8</v>
      </c>
      <c r="D5686" s="195" t="s">
        <v>1444</v>
      </c>
      <c r="E5686" s="705">
        <f t="shared" si="178"/>
        <v>17.777777777777779</v>
      </c>
    </row>
    <row r="5687" spans="2:5">
      <c r="B5687" s="943">
        <v>45159</v>
      </c>
      <c r="C5687" s="195">
        <f t="shared" si="177"/>
        <v>8</v>
      </c>
      <c r="D5687" s="195">
        <v>65.5</v>
      </c>
      <c r="E5687" s="705">
        <f t="shared" si="178"/>
        <v>18.611111111111111</v>
      </c>
    </row>
    <row r="5688" spans="2:5">
      <c r="B5688" s="943">
        <v>45159</v>
      </c>
      <c r="C5688" s="195">
        <f t="shared" si="177"/>
        <v>8</v>
      </c>
      <c r="D5688" s="195">
        <v>66.2</v>
      </c>
      <c r="E5688" s="705">
        <f t="shared" si="178"/>
        <v>19</v>
      </c>
    </row>
    <row r="5689" spans="2:5">
      <c r="B5689" s="943">
        <v>45159</v>
      </c>
      <c r="C5689" s="195">
        <f t="shared" si="177"/>
        <v>8</v>
      </c>
      <c r="D5689" s="195">
        <v>65.099999999999994</v>
      </c>
      <c r="E5689" s="705">
        <f t="shared" si="178"/>
        <v>18.388888888888886</v>
      </c>
    </row>
    <row r="5690" spans="2:5">
      <c r="B5690" s="943">
        <v>45159</v>
      </c>
      <c r="C5690" s="195">
        <f t="shared" si="177"/>
        <v>8</v>
      </c>
      <c r="D5690" s="195">
        <v>62.6</v>
      </c>
      <c r="E5690" s="705">
        <f t="shared" si="178"/>
        <v>17</v>
      </c>
    </row>
    <row r="5691" spans="2:5">
      <c r="B5691" s="943">
        <v>45159</v>
      </c>
      <c r="C5691" s="195">
        <f t="shared" si="177"/>
        <v>8</v>
      </c>
      <c r="D5691" s="195">
        <v>59.9</v>
      </c>
      <c r="E5691" s="705">
        <f t="shared" si="178"/>
        <v>15.499999999999998</v>
      </c>
    </row>
    <row r="5692" spans="2:5">
      <c r="B5692" s="943">
        <v>45159</v>
      </c>
      <c r="C5692" s="195">
        <f t="shared" si="177"/>
        <v>8</v>
      </c>
      <c r="D5692" s="195">
        <v>58.8</v>
      </c>
      <c r="E5692" s="705">
        <f t="shared" si="178"/>
        <v>14.888888888888888</v>
      </c>
    </row>
    <row r="5693" spans="2:5">
      <c r="B5693" s="943">
        <v>45159</v>
      </c>
      <c r="C5693" s="195">
        <f t="shared" si="177"/>
        <v>8</v>
      </c>
      <c r="D5693" s="195">
        <v>57.2</v>
      </c>
      <c r="E5693" s="705">
        <f t="shared" si="178"/>
        <v>14.000000000000002</v>
      </c>
    </row>
    <row r="5694" spans="2:5">
      <c r="B5694" s="943">
        <v>45159</v>
      </c>
      <c r="C5694" s="195">
        <f t="shared" si="177"/>
        <v>8</v>
      </c>
      <c r="D5694" s="195">
        <v>56.7</v>
      </c>
      <c r="E5694" s="705">
        <f t="shared" si="178"/>
        <v>13.722222222222223</v>
      </c>
    </row>
    <row r="5695" spans="2:5">
      <c r="B5695" s="943">
        <v>45159</v>
      </c>
      <c r="C5695" s="195">
        <f t="shared" si="177"/>
        <v>8</v>
      </c>
      <c r="D5695" s="195">
        <v>57.6</v>
      </c>
      <c r="E5695" s="705">
        <f t="shared" si="178"/>
        <v>14.222222222222223</v>
      </c>
    </row>
    <row r="5696" spans="2:5">
      <c r="B5696" s="943">
        <v>45159</v>
      </c>
      <c r="C5696" s="195">
        <f t="shared" si="177"/>
        <v>8</v>
      </c>
      <c r="D5696" s="195">
        <v>58.1</v>
      </c>
      <c r="E5696" s="705">
        <f t="shared" si="178"/>
        <v>14.5</v>
      </c>
    </row>
    <row r="5697" spans="2:5">
      <c r="B5697" s="943">
        <v>45160</v>
      </c>
      <c r="C5697" s="195">
        <f t="shared" si="177"/>
        <v>8</v>
      </c>
      <c r="D5697" s="195">
        <v>59.7</v>
      </c>
      <c r="E5697" s="705">
        <f t="shared" si="178"/>
        <v>15.388888888888889</v>
      </c>
    </row>
    <row r="5698" spans="2:5">
      <c r="B5698" s="943">
        <v>45160</v>
      </c>
      <c r="C5698" s="195">
        <f t="shared" si="177"/>
        <v>8</v>
      </c>
      <c r="D5698" s="195">
        <v>62.8</v>
      </c>
      <c r="E5698" s="705">
        <f t="shared" si="178"/>
        <v>17.111111111111111</v>
      </c>
    </row>
    <row r="5699" spans="2:5">
      <c r="B5699" s="943">
        <v>45160</v>
      </c>
      <c r="C5699" s="195">
        <f t="shared" si="177"/>
        <v>8</v>
      </c>
      <c r="D5699" s="195">
        <v>64.8</v>
      </c>
      <c r="E5699" s="705">
        <f t="shared" si="178"/>
        <v>18.222222222222221</v>
      </c>
    </row>
    <row r="5700" spans="2:5">
      <c r="B5700" s="943">
        <v>45160</v>
      </c>
      <c r="C5700" s="195">
        <f t="shared" si="177"/>
        <v>8</v>
      </c>
      <c r="D5700" s="195">
        <v>65.7</v>
      </c>
      <c r="E5700" s="705">
        <f t="shared" si="178"/>
        <v>18.722222222222225</v>
      </c>
    </row>
    <row r="5701" spans="2:5">
      <c r="B5701" s="943">
        <v>45160</v>
      </c>
      <c r="C5701" s="195">
        <f t="shared" si="177"/>
        <v>8</v>
      </c>
      <c r="D5701" s="195">
        <v>65.8</v>
      </c>
      <c r="E5701" s="705">
        <f t="shared" si="178"/>
        <v>18.777777777777775</v>
      </c>
    </row>
    <row r="5702" spans="2:5">
      <c r="B5702" s="943">
        <v>45160</v>
      </c>
      <c r="C5702" s="195">
        <f t="shared" si="177"/>
        <v>8</v>
      </c>
      <c r="D5702" s="195">
        <v>64.8</v>
      </c>
      <c r="E5702" s="705">
        <f t="shared" si="178"/>
        <v>18.222222222222221</v>
      </c>
    </row>
    <row r="5703" spans="2:5">
      <c r="B5703" s="943">
        <v>45160</v>
      </c>
      <c r="C5703" s="195">
        <f t="shared" si="177"/>
        <v>8</v>
      </c>
      <c r="D5703" s="195" t="s">
        <v>1442</v>
      </c>
      <c r="E5703" s="705">
        <f t="shared" si="178"/>
        <v>16.111111111111111</v>
      </c>
    </row>
    <row r="5704" spans="2:5">
      <c r="B5704" s="943">
        <v>45160</v>
      </c>
      <c r="C5704" s="195">
        <f t="shared" si="177"/>
        <v>8</v>
      </c>
      <c r="D5704" s="195">
        <v>59.7</v>
      </c>
      <c r="E5704" s="705">
        <f t="shared" si="178"/>
        <v>15.388888888888889</v>
      </c>
    </row>
    <row r="5705" spans="2:5">
      <c r="B5705" s="943">
        <v>45160</v>
      </c>
      <c r="C5705" s="195">
        <f t="shared" si="177"/>
        <v>8</v>
      </c>
      <c r="D5705" s="195">
        <v>58.3</v>
      </c>
      <c r="E5705" s="705">
        <f t="shared" si="178"/>
        <v>14.611111111111109</v>
      </c>
    </row>
    <row r="5706" spans="2:5">
      <c r="B5706" s="943">
        <v>45160</v>
      </c>
      <c r="C5706" s="195">
        <f t="shared" ref="C5706:C5769" si="179">MONTH(B5706)</f>
        <v>8</v>
      </c>
      <c r="D5706" s="195">
        <v>57.2</v>
      </c>
      <c r="E5706" s="705">
        <f t="shared" ref="E5706:E5769" si="180">CONVERT(D5706,"F","C")</f>
        <v>14.000000000000002</v>
      </c>
    </row>
    <row r="5707" spans="2:5">
      <c r="B5707" s="943">
        <v>45160</v>
      </c>
      <c r="C5707" s="195">
        <f t="shared" si="179"/>
        <v>8</v>
      </c>
      <c r="D5707" s="195">
        <v>57.7</v>
      </c>
      <c r="E5707" s="705">
        <f t="shared" si="180"/>
        <v>14.277777777777779</v>
      </c>
    </row>
    <row r="5708" spans="2:5">
      <c r="B5708" s="943">
        <v>45160</v>
      </c>
      <c r="C5708" s="195">
        <f t="shared" si="179"/>
        <v>8</v>
      </c>
      <c r="D5708" s="195">
        <v>57.7</v>
      </c>
      <c r="E5708" s="705">
        <f t="shared" si="180"/>
        <v>14.277777777777779</v>
      </c>
    </row>
    <row r="5709" spans="2:5">
      <c r="B5709" s="943">
        <v>45160</v>
      </c>
      <c r="C5709" s="195">
        <f t="shared" si="179"/>
        <v>8</v>
      </c>
      <c r="D5709" s="195">
        <v>59.5</v>
      </c>
      <c r="E5709" s="705">
        <f t="shared" si="180"/>
        <v>15.277777777777777</v>
      </c>
    </row>
    <row r="5710" spans="2:5">
      <c r="B5710" s="943">
        <v>45160</v>
      </c>
      <c r="C5710" s="195">
        <f t="shared" si="179"/>
        <v>8</v>
      </c>
      <c r="D5710" s="195">
        <v>61.7</v>
      </c>
      <c r="E5710" s="705">
        <f t="shared" si="180"/>
        <v>16.5</v>
      </c>
    </row>
    <row r="5711" spans="2:5">
      <c r="B5711" s="943">
        <v>45160</v>
      </c>
      <c r="C5711" s="195">
        <f t="shared" si="179"/>
        <v>8</v>
      </c>
      <c r="D5711" s="195">
        <v>63.9</v>
      </c>
      <c r="E5711" s="705">
        <f t="shared" si="180"/>
        <v>17.722222222222221</v>
      </c>
    </row>
    <row r="5712" spans="2:5">
      <c r="B5712" s="943">
        <v>45160</v>
      </c>
      <c r="C5712" s="195">
        <f t="shared" si="179"/>
        <v>8</v>
      </c>
      <c r="D5712" s="195">
        <v>64.900000000000006</v>
      </c>
      <c r="E5712" s="705">
        <f t="shared" si="180"/>
        <v>18.277777777777782</v>
      </c>
    </row>
    <row r="5713" spans="2:5">
      <c r="B5713" s="943">
        <v>45160</v>
      </c>
      <c r="C5713" s="195">
        <f t="shared" si="179"/>
        <v>8</v>
      </c>
      <c r="D5713" s="195">
        <v>65.5</v>
      </c>
      <c r="E5713" s="705">
        <f t="shared" si="180"/>
        <v>18.611111111111111</v>
      </c>
    </row>
    <row r="5714" spans="2:5">
      <c r="B5714" s="943">
        <v>45160</v>
      </c>
      <c r="C5714" s="195">
        <f t="shared" si="179"/>
        <v>8</v>
      </c>
      <c r="D5714" s="195">
        <v>64.400000000000006</v>
      </c>
      <c r="E5714" s="705">
        <f t="shared" si="180"/>
        <v>18.000000000000004</v>
      </c>
    </row>
    <row r="5715" spans="2:5">
      <c r="B5715" s="943">
        <v>45160</v>
      </c>
      <c r="C5715" s="195">
        <f t="shared" si="179"/>
        <v>8</v>
      </c>
      <c r="D5715" s="195" t="s">
        <v>1442</v>
      </c>
      <c r="E5715" s="705">
        <f t="shared" si="180"/>
        <v>16.111111111111111</v>
      </c>
    </row>
    <row r="5716" spans="2:5">
      <c r="B5716" s="943">
        <v>45160</v>
      </c>
      <c r="C5716" s="195">
        <f t="shared" si="179"/>
        <v>8</v>
      </c>
      <c r="D5716" s="195">
        <v>59.9</v>
      </c>
      <c r="E5716" s="705">
        <f t="shared" si="180"/>
        <v>15.499999999999998</v>
      </c>
    </row>
    <row r="5717" spans="2:5">
      <c r="B5717" s="943">
        <v>45160</v>
      </c>
      <c r="C5717" s="195">
        <f t="shared" si="179"/>
        <v>8</v>
      </c>
      <c r="D5717" s="195">
        <v>58.8</v>
      </c>
      <c r="E5717" s="705">
        <f t="shared" si="180"/>
        <v>14.888888888888888</v>
      </c>
    </row>
    <row r="5718" spans="2:5">
      <c r="B5718" s="943">
        <v>45160</v>
      </c>
      <c r="C5718" s="195">
        <f t="shared" si="179"/>
        <v>8</v>
      </c>
      <c r="D5718" s="195">
        <v>58.8</v>
      </c>
      <c r="E5718" s="705">
        <f t="shared" si="180"/>
        <v>14.888888888888888</v>
      </c>
    </row>
    <row r="5719" spans="2:5">
      <c r="B5719" s="943">
        <v>45160</v>
      </c>
      <c r="C5719" s="195">
        <f t="shared" si="179"/>
        <v>8</v>
      </c>
      <c r="D5719" s="195" t="s">
        <v>1441</v>
      </c>
      <c r="E5719" s="705">
        <f t="shared" si="180"/>
        <v>15</v>
      </c>
    </row>
    <row r="5720" spans="2:5">
      <c r="B5720" s="943">
        <v>45160</v>
      </c>
      <c r="C5720" s="195">
        <f t="shared" si="179"/>
        <v>8</v>
      </c>
      <c r="D5720" s="195">
        <v>59.2</v>
      </c>
      <c r="E5720" s="705">
        <f t="shared" si="180"/>
        <v>15.111111111111112</v>
      </c>
    </row>
    <row r="5721" spans="2:5">
      <c r="B5721" s="943">
        <v>45161</v>
      </c>
      <c r="C5721" s="195">
        <f t="shared" si="179"/>
        <v>8</v>
      </c>
      <c r="D5721" s="195">
        <v>59.7</v>
      </c>
      <c r="E5721" s="705">
        <f t="shared" si="180"/>
        <v>15.388888888888889</v>
      </c>
    </row>
    <row r="5722" spans="2:5">
      <c r="B5722" s="943">
        <v>45161</v>
      </c>
      <c r="C5722" s="195">
        <f t="shared" si="179"/>
        <v>8</v>
      </c>
      <c r="D5722" s="195">
        <v>61.2</v>
      </c>
      <c r="E5722" s="705">
        <f t="shared" si="180"/>
        <v>16.222222222222225</v>
      </c>
    </row>
    <row r="5723" spans="2:5">
      <c r="B5723" s="943">
        <v>45161</v>
      </c>
      <c r="C5723" s="195">
        <f t="shared" si="179"/>
        <v>8</v>
      </c>
      <c r="D5723" s="195">
        <v>63.3</v>
      </c>
      <c r="E5723" s="705">
        <f t="shared" si="180"/>
        <v>17.388888888888886</v>
      </c>
    </row>
    <row r="5724" spans="2:5">
      <c r="B5724" s="943">
        <v>45161</v>
      </c>
      <c r="C5724" s="195">
        <f t="shared" si="179"/>
        <v>8</v>
      </c>
      <c r="D5724" s="195">
        <v>64.599999999999994</v>
      </c>
      <c r="E5724" s="705">
        <f t="shared" si="180"/>
        <v>18.111111111111107</v>
      </c>
    </row>
    <row r="5725" spans="2:5">
      <c r="B5725" s="943">
        <v>45161</v>
      </c>
      <c r="C5725" s="195">
        <f t="shared" si="179"/>
        <v>8</v>
      </c>
      <c r="D5725" s="195">
        <v>65.3</v>
      </c>
      <c r="E5725" s="705">
        <f t="shared" si="180"/>
        <v>18.499999999999996</v>
      </c>
    </row>
    <row r="5726" spans="2:5">
      <c r="B5726" s="943">
        <v>45161</v>
      </c>
      <c r="C5726" s="195">
        <f t="shared" si="179"/>
        <v>8</v>
      </c>
      <c r="D5726" s="195">
        <v>65.3</v>
      </c>
      <c r="E5726" s="705">
        <f t="shared" si="180"/>
        <v>18.499999999999996</v>
      </c>
    </row>
    <row r="5727" spans="2:5">
      <c r="B5727" s="943">
        <v>45161</v>
      </c>
      <c r="C5727" s="195">
        <f t="shared" si="179"/>
        <v>8</v>
      </c>
      <c r="D5727" s="195">
        <v>63.3</v>
      </c>
      <c r="E5727" s="705">
        <f t="shared" si="180"/>
        <v>17.388888888888886</v>
      </c>
    </row>
    <row r="5728" spans="2:5">
      <c r="B5728" s="943">
        <v>45161</v>
      </c>
      <c r="C5728" s="195">
        <f t="shared" si="179"/>
        <v>8</v>
      </c>
      <c r="D5728" s="195">
        <v>61.9</v>
      </c>
      <c r="E5728" s="705">
        <f t="shared" si="180"/>
        <v>16.611111111111111</v>
      </c>
    </row>
    <row r="5729" spans="2:5">
      <c r="B5729" s="943">
        <v>45161</v>
      </c>
      <c r="C5729" s="195">
        <f t="shared" si="179"/>
        <v>8</v>
      </c>
      <c r="D5729" s="195">
        <v>60.4</v>
      </c>
      <c r="E5729" s="705">
        <f t="shared" si="180"/>
        <v>15.777777777777777</v>
      </c>
    </row>
    <row r="5730" spans="2:5">
      <c r="B5730" s="943">
        <v>45161</v>
      </c>
      <c r="C5730" s="195">
        <f t="shared" si="179"/>
        <v>8</v>
      </c>
      <c r="D5730" s="195" t="s">
        <v>1441</v>
      </c>
      <c r="E5730" s="705">
        <f t="shared" si="180"/>
        <v>15</v>
      </c>
    </row>
    <row r="5731" spans="2:5">
      <c r="B5731" s="943">
        <v>45161</v>
      </c>
      <c r="C5731" s="195">
        <f t="shared" si="179"/>
        <v>8</v>
      </c>
      <c r="D5731" s="195">
        <v>57.9</v>
      </c>
      <c r="E5731" s="705">
        <f t="shared" si="180"/>
        <v>14.388888888888888</v>
      </c>
    </row>
    <row r="5732" spans="2:5">
      <c r="B5732" s="943">
        <v>45161</v>
      </c>
      <c r="C5732" s="195">
        <f t="shared" si="179"/>
        <v>8</v>
      </c>
      <c r="D5732" s="195">
        <v>58.3</v>
      </c>
      <c r="E5732" s="705">
        <f t="shared" si="180"/>
        <v>14.611111111111109</v>
      </c>
    </row>
    <row r="5733" spans="2:5">
      <c r="B5733" s="943">
        <v>45161</v>
      </c>
      <c r="C5733" s="195">
        <f t="shared" si="179"/>
        <v>8</v>
      </c>
      <c r="D5733" s="195">
        <v>58.8</v>
      </c>
      <c r="E5733" s="705">
        <f t="shared" si="180"/>
        <v>14.888888888888888</v>
      </c>
    </row>
    <row r="5734" spans="2:5">
      <c r="B5734" s="943">
        <v>45161</v>
      </c>
      <c r="C5734" s="195">
        <f t="shared" si="179"/>
        <v>8</v>
      </c>
      <c r="D5734" s="195">
        <v>60.4</v>
      </c>
      <c r="E5734" s="705">
        <f t="shared" si="180"/>
        <v>15.777777777777777</v>
      </c>
    </row>
    <row r="5735" spans="2:5">
      <c r="B5735" s="943">
        <v>45161</v>
      </c>
      <c r="C5735" s="195">
        <f t="shared" si="179"/>
        <v>8</v>
      </c>
      <c r="D5735" s="195">
        <v>62.4</v>
      </c>
      <c r="E5735" s="705">
        <f t="shared" si="180"/>
        <v>16.888888888888889</v>
      </c>
    </row>
    <row r="5736" spans="2:5">
      <c r="B5736" s="943">
        <v>45161</v>
      </c>
      <c r="C5736" s="195">
        <f t="shared" si="179"/>
        <v>8</v>
      </c>
      <c r="D5736" s="195">
        <v>64.2</v>
      </c>
      <c r="E5736" s="705">
        <f t="shared" si="180"/>
        <v>17.888888888888889</v>
      </c>
    </row>
    <row r="5737" spans="2:5">
      <c r="B5737" s="943">
        <v>45161</v>
      </c>
      <c r="C5737" s="195">
        <f t="shared" si="179"/>
        <v>8</v>
      </c>
      <c r="D5737" s="195">
        <v>65.099999999999994</v>
      </c>
      <c r="E5737" s="705">
        <f t="shared" si="180"/>
        <v>18.388888888888886</v>
      </c>
    </row>
    <row r="5738" spans="2:5">
      <c r="B5738" s="943">
        <v>45161</v>
      </c>
      <c r="C5738" s="195">
        <f t="shared" si="179"/>
        <v>8</v>
      </c>
      <c r="D5738" s="195">
        <v>64.900000000000006</v>
      </c>
      <c r="E5738" s="705">
        <f t="shared" si="180"/>
        <v>18.277777777777782</v>
      </c>
    </row>
    <row r="5739" spans="2:5">
      <c r="B5739" s="943">
        <v>45161</v>
      </c>
      <c r="C5739" s="195">
        <f t="shared" si="179"/>
        <v>8</v>
      </c>
      <c r="D5739" s="195">
        <v>63.3</v>
      </c>
      <c r="E5739" s="705">
        <f t="shared" si="180"/>
        <v>17.388888888888886</v>
      </c>
    </row>
    <row r="5740" spans="2:5">
      <c r="B5740" s="943">
        <v>45161</v>
      </c>
      <c r="C5740" s="195">
        <f t="shared" si="179"/>
        <v>8</v>
      </c>
      <c r="D5740" s="195">
        <v>61.3</v>
      </c>
      <c r="E5740" s="705">
        <f t="shared" si="180"/>
        <v>16.277777777777775</v>
      </c>
    </row>
    <row r="5741" spans="2:5">
      <c r="B5741" s="943">
        <v>45161</v>
      </c>
      <c r="C5741" s="195">
        <f t="shared" si="179"/>
        <v>8</v>
      </c>
      <c r="D5741" s="195">
        <v>60.6</v>
      </c>
      <c r="E5741" s="705">
        <f t="shared" si="180"/>
        <v>15.888888888888889</v>
      </c>
    </row>
    <row r="5742" spans="2:5">
      <c r="B5742" s="943">
        <v>45161</v>
      </c>
      <c r="C5742" s="195">
        <f t="shared" si="179"/>
        <v>8</v>
      </c>
      <c r="D5742" s="195">
        <v>60.8</v>
      </c>
      <c r="E5742" s="705">
        <f t="shared" si="180"/>
        <v>15.999999999999998</v>
      </c>
    </row>
    <row r="5743" spans="2:5">
      <c r="B5743" s="943">
        <v>45161</v>
      </c>
      <c r="C5743" s="195">
        <f t="shared" si="179"/>
        <v>8</v>
      </c>
      <c r="D5743" s="195" t="s">
        <v>1442</v>
      </c>
      <c r="E5743" s="705">
        <f t="shared" si="180"/>
        <v>16.111111111111111</v>
      </c>
    </row>
    <row r="5744" spans="2:5">
      <c r="B5744" s="943">
        <v>45161</v>
      </c>
      <c r="C5744" s="195">
        <f t="shared" si="179"/>
        <v>8</v>
      </c>
      <c r="D5744" s="195">
        <v>61.2</v>
      </c>
      <c r="E5744" s="705">
        <f t="shared" si="180"/>
        <v>16.222222222222225</v>
      </c>
    </row>
    <row r="5745" spans="2:5">
      <c r="B5745" s="943">
        <v>45162</v>
      </c>
      <c r="C5745" s="195">
        <f t="shared" si="179"/>
        <v>8</v>
      </c>
      <c r="D5745" s="195">
        <v>61.3</v>
      </c>
      <c r="E5745" s="705">
        <f t="shared" si="180"/>
        <v>16.277777777777775</v>
      </c>
    </row>
    <row r="5746" spans="2:5">
      <c r="B5746" s="943">
        <v>45162</v>
      </c>
      <c r="C5746" s="195">
        <f t="shared" si="179"/>
        <v>8</v>
      </c>
      <c r="D5746" s="195">
        <v>61.5</v>
      </c>
      <c r="E5746" s="705">
        <f t="shared" si="180"/>
        <v>16.388888888888889</v>
      </c>
    </row>
    <row r="5747" spans="2:5">
      <c r="B5747" s="943">
        <v>45162</v>
      </c>
      <c r="C5747" s="195">
        <f t="shared" si="179"/>
        <v>8</v>
      </c>
      <c r="D5747" s="195">
        <v>62.4</v>
      </c>
      <c r="E5747" s="705">
        <f t="shared" si="180"/>
        <v>16.888888888888889</v>
      </c>
    </row>
    <row r="5748" spans="2:5">
      <c r="B5748" s="943">
        <v>45162</v>
      </c>
      <c r="C5748" s="195">
        <f t="shared" si="179"/>
        <v>8</v>
      </c>
      <c r="D5748" s="195">
        <v>63.9</v>
      </c>
      <c r="E5748" s="705">
        <f t="shared" si="180"/>
        <v>17.722222222222221</v>
      </c>
    </row>
    <row r="5749" spans="2:5">
      <c r="B5749" s="943">
        <v>45162</v>
      </c>
      <c r="C5749" s="195">
        <f t="shared" si="179"/>
        <v>8</v>
      </c>
      <c r="D5749" s="195">
        <v>64.900000000000006</v>
      </c>
      <c r="E5749" s="705">
        <f t="shared" si="180"/>
        <v>18.277777777777782</v>
      </c>
    </row>
    <row r="5750" spans="2:5">
      <c r="B5750" s="943">
        <v>45162</v>
      </c>
      <c r="C5750" s="195">
        <f t="shared" si="179"/>
        <v>8</v>
      </c>
      <c r="D5750" s="195">
        <v>65.5</v>
      </c>
      <c r="E5750" s="705">
        <f t="shared" si="180"/>
        <v>18.611111111111111</v>
      </c>
    </row>
    <row r="5751" spans="2:5">
      <c r="B5751" s="943">
        <v>45162</v>
      </c>
      <c r="C5751" s="195">
        <f t="shared" si="179"/>
        <v>8</v>
      </c>
      <c r="D5751" s="195">
        <v>65.099999999999994</v>
      </c>
      <c r="E5751" s="705">
        <f t="shared" si="180"/>
        <v>18.388888888888886</v>
      </c>
    </row>
    <row r="5752" spans="2:5">
      <c r="B5752" s="943">
        <v>45162</v>
      </c>
      <c r="C5752" s="195">
        <f t="shared" si="179"/>
        <v>8</v>
      </c>
      <c r="D5752" s="195">
        <v>63.9</v>
      </c>
      <c r="E5752" s="705">
        <f t="shared" si="180"/>
        <v>17.722222222222221</v>
      </c>
    </row>
    <row r="5753" spans="2:5">
      <c r="B5753" s="943">
        <v>45162</v>
      </c>
      <c r="C5753" s="195">
        <f t="shared" si="179"/>
        <v>8</v>
      </c>
      <c r="D5753" s="195">
        <v>62.8</v>
      </c>
      <c r="E5753" s="705">
        <f t="shared" si="180"/>
        <v>17.111111111111111</v>
      </c>
    </row>
    <row r="5754" spans="2:5">
      <c r="B5754" s="943">
        <v>45162</v>
      </c>
      <c r="C5754" s="195">
        <f t="shared" si="179"/>
        <v>8</v>
      </c>
      <c r="D5754" s="195">
        <v>62.2</v>
      </c>
      <c r="E5754" s="705">
        <f t="shared" si="180"/>
        <v>16.777777777777779</v>
      </c>
    </row>
    <row r="5755" spans="2:5">
      <c r="B5755" s="943">
        <v>45162</v>
      </c>
      <c r="C5755" s="195">
        <f t="shared" si="179"/>
        <v>8</v>
      </c>
      <c r="D5755" s="195">
        <v>61.2</v>
      </c>
      <c r="E5755" s="705">
        <f t="shared" si="180"/>
        <v>16.222222222222225</v>
      </c>
    </row>
    <row r="5756" spans="2:5">
      <c r="B5756" s="943">
        <v>45162</v>
      </c>
      <c r="C5756" s="195">
        <f t="shared" si="179"/>
        <v>8</v>
      </c>
      <c r="D5756" s="195">
        <v>60.6</v>
      </c>
      <c r="E5756" s="705">
        <f t="shared" si="180"/>
        <v>15.888888888888889</v>
      </c>
    </row>
    <row r="5757" spans="2:5">
      <c r="B5757" s="943">
        <v>45162</v>
      </c>
      <c r="C5757" s="195">
        <f t="shared" si="179"/>
        <v>8</v>
      </c>
      <c r="D5757" s="195">
        <v>60.8</v>
      </c>
      <c r="E5757" s="705">
        <f t="shared" si="180"/>
        <v>15.999999999999998</v>
      </c>
    </row>
    <row r="5758" spans="2:5">
      <c r="B5758" s="943">
        <v>45162</v>
      </c>
      <c r="C5758" s="195">
        <f t="shared" si="179"/>
        <v>8</v>
      </c>
      <c r="D5758" s="195">
        <v>61.5</v>
      </c>
      <c r="E5758" s="705">
        <f t="shared" si="180"/>
        <v>16.388888888888889</v>
      </c>
    </row>
    <row r="5759" spans="2:5">
      <c r="B5759" s="943">
        <v>45162</v>
      </c>
      <c r="C5759" s="195">
        <f t="shared" si="179"/>
        <v>8</v>
      </c>
      <c r="D5759" s="195">
        <v>62.4</v>
      </c>
      <c r="E5759" s="705">
        <f t="shared" si="180"/>
        <v>16.888888888888889</v>
      </c>
    </row>
    <row r="5760" spans="2:5">
      <c r="B5760" s="943">
        <v>45162</v>
      </c>
      <c r="C5760" s="195">
        <f t="shared" si="179"/>
        <v>8</v>
      </c>
      <c r="D5760" s="195">
        <v>63.9</v>
      </c>
      <c r="E5760" s="705">
        <f t="shared" si="180"/>
        <v>17.722222222222221</v>
      </c>
    </row>
    <row r="5761" spans="2:5">
      <c r="B5761" s="943">
        <v>45162</v>
      </c>
      <c r="C5761" s="195">
        <f t="shared" si="179"/>
        <v>8</v>
      </c>
      <c r="D5761" s="195">
        <v>64.900000000000006</v>
      </c>
      <c r="E5761" s="705">
        <f t="shared" si="180"/>
        <v>18.277777777777782</v>
      </c>
    </row>
    <row r="5762" spans="2:5">
      <c r="B5762" s="943">
        <v>45162</v>
      </c>
      <c r="C5762" s="195">
        <f t="shared" si="179"/>
        <v>8</v>
      </c>
      <c r="D5762" s="195">
        <v>65.8</v>
      </c>
      <c r="E5762" s="705">
        <f t="shared" si="180"/>
        <v>18.777777777777775</v>
      </c>
    </row>
    <row r="5763" spans="2:5">
      <c r="B5763" s="943">
        <v>45162</v>
      </c>
      <c r="C5763" s="195">
        <f t="shared" si="179"/>
        <v>8</v>
      </c>
      <c r="D5763" s="195">
        <v>65.099999999999994</v>
      </c>
      <c r="E5763" s="705">
        <f t="shared" si="180"/>
        <v>18.388888888888886</v>
      </c>
    </row>
    <row r="5764" spans="2:5">
      <c r="B5764" s="943">
        <v>45162</v>
      </c>
      <c r="C5764" s="195">
        <f t="shared" si="179"/>
        <v>8</v>
      </c>
      <c r="D5764" s="195">
        <v>63.5</v>
      </c>
      <c r="E5764" s="705">
        <f t="shared" si="180"/>
        <v>17.5</v>
      </c>
    </row>
    <row r="5765" spans="2:5">
      <c r="B5765" s="943">
        <v>45162</v>
      </c>
      <c r="C5765" s="195">
        <f t="shared" si="179"/>
        <v>8</v>
      </c>
      <c r="D5765" s="195">
        <v>62.6</v>
      </c>
      <c r="E5765" s="705">
        <f t="shared" si="180"/>
        <v>17</v>
      </c>
    </row>
    <row r="5766" spans="2:5">
      <c r="B5766" s="943">
        <v>45162</v>
      </c>
      <c r="C5766" s="195">
        <f t="shared" si="179"/>
        <v>8</v>
      </c>
      <c r="D5766" s="195">
        <v>61.7</v>
      </c>
      <c r="E5766" s="705">
        <f t="shared" si="180"/>
        <v>16.5</v>
      </c>
    </row>
    <row r="5767" spans="2:5">
      <c r="B5767" s="943">
        <v>45162</v>
      </c>
      <c r="C5767" s="195">
        <f t="shared" si="179"/>
        <v>8</v>
      </c>
      <c r="D5767" s="195">
        <v>61.7</v>
      </c>
      <c r="E5767" s="705">
        <f t="shared" si="180"/>
        <v>16.5</v>
      </c>
    </row>
    <row r="5768" spans="2:5">
      <c r="B5768" s="943">
        <v>45162</v>
      </c>
      <c r="C5768" s="195">
        <f t="shared" si="179"/>
        <v>8</v>
      </c>
      <c r="D5768" s="195">
        <v>61.3</v>
      </c>
      <c r="E5768" s="705">
        <f t="shared" si="180"/>
        <v>16.277777777777775</v>
      </c>
    </row>
    <row r="5769" spans="2:5">
      <c r="B5769" s="943">
        <v>45163</v>
      </c>
      <c r="C5769" s="195">
        <f t="shared" si="179"/>
        <v>8</v>
      </c>
      <c r="D5769" s="195">
        <v>61.7</v>
      </c>
      <c r="E5769" s="705">
        <f t="shared" si="180"/>
        <v>16.5</v>
      </c>
    </row>
    <row r="5770" spans="2:5">
      <c r="B5770" s="943">
        <v>45163</v>
      </c>
      <c r="C5770" s="195">
        <f t="shared" ref="C5770:C5833" si="181">MONTH(B5770)</f>
        <v>8</v>
      </c>
      <c r="D5770" s="195">
        <v>61.5</v>
      </c>
      <c r="E5770" s="705">
        <f t="shared" ref="E5770:E5833" si="182">CONVERT(D5770,"F","C")</f>
        <v>16.388888888888889</v>
      </c>
    </row>
    <row r="5771" spans="2:5">
      <c r="B5771" s="943">
        <v>45163</v>
      </c>
      <c r="C5771" s="195">
        <f t="shared" si="181"/>
        <v>8</v>
      </c>
      <c r="D5771" s="195">
        <v>62.2</v>
      </c>
      <c r="E5771" s="705">
        <f t="shared" si="182"/>
        <v>16.777777777777779</v>
      </c>
    </row>
    <row r="5772" spans="2:5">
      <c r="B5772" s="943">
        <v>45163</v>
      </c>
      <c r="C5772" s="195">
        <f t="shared" si="181"/>
        <v>8</v>
      </c>
      <c r="D5772" s="195">
        <v>63.3</v>
      </c>
      <c r="E5772" s="705">
        <f t="shared" si="182"/>
        <v>17.388888888888886</v>
      </c>
    </row>
    <row r="5773" spans="2:5">
      <c r="B5773" s="943">
        <v>45163</v>
      </c>
      <c r="C5773" s="195">
        <f t="shared" si="181"/>
        <v>8</v>
      </c>
      <c r="D5773" s="195">
        <v>64.8</v>
      </c>
      <c r="E5773" s="705">
        <f t="shared" si="182"/>
        <v>18.222222222222221</v>
      </c>
    </row>
    <row r="5774" spans="2:5">
      <c r="B5774" s="943">
        <v>45163</v>
      </c>
      <c r="C5774" s="195">
        <f t="shared" si="181"/>
        <v>8</v>
      </c>
      <c r="D5774" s="195">
        <v>65.7</v>
      </c>
      <c r="E5774" s="705">
        <f t="shared" si="182"/>
        <v>18.722222222222225</v>
      </c>
    </row>
    <row r="5775" spans="2:5">
      <c r="B5775" s="943">
        <v>45163</v>
      </c>
      <c r="C5775" s="195">
        <f t="shared" si="181"/>
        <v>8</v>
      </c>
      <c r="D5775" s="195" t="s">
        <v>1445</v>
      </c>
      <c r="E5775" s="705">
        <f t="shared" si="182"/>
        <v>18.888888888888889</v>
      </c>
    </row>
    <row r="5776" spans="2:5">
      <c r="B5776" s="943">
        <v>45163</v>
      </c>
      <c r="C5776" s="195">
        <f t="shared" si="181"/>
        <v>8</v>
      </c>
      <c r="D5776" s="195">
        <v>65.8</v>
      </c>
      <c r="E5776" s="705">
        <f t="shared" si="182"/>
        <v>18.777777777777775</v>
      </c>
    </row>
    <row r="5777" spans="2:5">
      <c r="B5777" s="943">
        <v>45163</v>
      </c>
      <c r="C5777" s="195">
        <f t="shared" si="181"/>
        <v>8</v>
      </c>
      <c r="D5777" s="195">
        <v>64.599999999999994</v>
      </c>
      <c r="E5777" s="705">
        <f t="shared" si="182"/>
        <v>18.111111111111107</v>
      </c>
    </row>
    <row r="5778" spans="2:5">
      <c r="B5778" s="943">
        <v>45163</v>
      </c>
      <c r="C5778" s="195">
        <f t="shared" si="181"/>
        <v>8</v>
      </c>
      <c r="D5778" s="195">
        <v>63.7</v>
      </c>
      <c r="E5778" s="705">
        <f t="shared" si="182"/>
        <v>17.611111111111111</v>
      </c>
    </row>
    <row r="5779" spans="2:5">
      <c r="B5779" s="943">
        <v>45163</v>
      </c>
      <c r="C5779" s="195">
        <f t="shared" si="181"/>
        <v>8</v>
      </c>
      <c r="D5779" s="195">
        <v>62.8</v>
      </c>
      <c r="E5779" s="705">
        <f t="shared" si="182"/>
        <v>17.111111111111111</v>
      </c>
    </row>
    <row r="5780" spans="2:5">
      <c r="B5780" s="943">
        <v>45163</v>
      </c>
      <c r="C5780" s="195">
        <f t="shared" si="181"/>
        <v>8</v>
      </c>
      <c r="D5780" s="195">
        <v>61.5</v>
      </c>
      <c r="E5780" s="705">
        <f t="shared" si="182"/>
        <v>16.388888888888889</v>
      </c>
    </row>
    <row r="5781" spans="2:5">
      <c r="B5781" s="943">
        <v>45163</v>
      </c>
      <c r="C5781" s="195">
        <f t="shared" si="181"/>
        <v>8</v>
      </c>
      <c r="D5781" s="195" t="s">
        <v>1442</v>
      </c>
      <c r="E5781" s="705">
        <f t="shared" si="182"/>
        <v>16.111111111111111</v>
      </c>
    </row>
    <row r="5782" spans="2:5">
      <c r="B5782" s="943">
        <v>45163</v>
      </c>
      <c r="C5782" s="195">
        <f t="shared" si="181"/>
        <v>8</v>
      </c>
      <c r="D5782" s="195">
        <v>61.5</v>
      </c>
      <c r="E5782" s="705">
        <f t="shared" si="182"/>
        <v>16.388888888888889</v>
      </c>
    </row>
    <row r="5783" spans="2:5">
      <c r="B5783" s="943">
        <v>45163</v>
      </c>
      <c r="C5783" s="195">
        <f t="shared" si="181"/>
        <v>8</v>
      </c>
      <c r="D5783" s="195">
        <v>61.9</v>
      </c>
      <c r="E5783" s="705">
        <f t="shared" si="182"/>
        <v>16.611111111111111</v>
      </c>
    </row>
    <row r="5784" spans="2:5">
      <c r="B5784" s="943">
        <v>45163</v>
      </c>
      <c r="C5784" s="195">
        <f t="shared" si="181"/>
        <v>8</v>
      </c>
      <c r="D5784" s="195" t="s">
        <v>1443</v>
      </c>
      <c r="E5784" s="705">
        <f t="shared" si="182"/>
        <v>17.222222222222221</v>
      </c>
    </row>
    <row r="5785" spans="2:5">
      <c r="B5785" s="943">
        <v>45163</v>
      </c>
      <c r="C5785" s="195">
        <f t="shared" si="181"/>
        <v>8</v>
      </c>
      <c r="D5785" s="195">
        <v>64.2</v>
      </c>
      <c r="E5785" s="705">
        <f t="shared" si="182"/>
        <v>17.888888888888889</v>
      </c>
    </row>
    <row r="5786" spans="2:5">
      <c r="B5786" s="943">
        <v>45163</v>
      </c>
      <c r="C5786" s="195">
        <f t="shared" si="181"/>
        <v>8</v>
      </c>
      <c r="D5786" s="195">
        <v>65.099999999999994</v>
      </c>
      <c r="E5786" s="705">
        <f t="shared" si="182"/>
        <v>18.388888888888886</v>
      </c>
    </row>
    <row r="5787" spans="2:5">
      <c r="B5787" s="943">
        <v>45163</v>
      </c>
      <c r="C5787" s="195">
        <f t="shared" si="181"/>
        <v>8</v>
      </c>
      <c r="D5787" s="195">
        <v>65.7</v>
      </c>
      <c r="E5787" s="705">
        <f t="shared" si="182"/>
        <v>18.722222222222225</v>
      </c>
    </row>
    <row r="5788" spans="2:5">
      <c r="B5788" s="943">
        <v>45163</v>
      </c>
      <c r="C5788" s="195">
        <f t="shared" si="181"/>
        <v>8</v>
      </c>
      <c r="D5788" s="195">
        <v>65.3</v>
      </c>
      <c r="E5788" s="705">
        <f t="shared" si="182"/>
        <v>18.499999999999996</v>
      </c>
    </row>
    <row r="5789" spans="2:5">
      <c r="B5789" s="943">
        <v>45163</v>
      </c>
      <c r="C5789" s="195">
        <f t="shared" si="181"/>
        <v>8</v>
      </c>
      <c r="D5789" s="195">
        <v>63.5</v>
      </c>
      <c r="E5789" s="705">
        <f t="shared" si="182"/>
        <v>17.5</v>
      </c>
    </row>
    <row r="5790" spans="2:5">
      <c r="B5790" s="943">
        <v>45163</v>
      </c>
      <c r="C5790" s="195">
        <f t="shared" si="181"/>
        <v>8</v>
      </c>
      <c r="D5790" s="195">
        <v>62.8</v>
      </c>
      <c r="E5790" s="705">
        <f t="shared" si="182"/>
        <v>17.111111111111111</v>
      </c>
    </row>
    <row r="5791" spans="2:5">
      <c r="B5791" s="943">
        <v>45163</v>
      </c>
      <c r="C5791" s="195">
        <f t="shared" si="181"/>
        <v>8</v>
      </c>
      <c r="D5791" s="195">
        <v>60.8</v>
      </c>
      <c r="E5791" s="705">
        <f t="shared" si="182"/>
        <v>15.999999999999998</v>
      </c>
    </row>
    <row r="5792" spans="2:5">
      <c r="B5792" s="943">
        <v>45163</v>
      </c>
      <c r="C5792" s="195">
        <f t="shared" si="181"/>
        <v>8</v>
      </c>
      <c r="D5792" s="195">
        <v>59.9</v>
      </c>
      <c r="E5792" s="705">
        <f t="shared" si="182"/>
        <v>15.499999999999998</v>
      </c>
    </row>
    <row r="5793" spans="2:5">
      <c r="B5793" s="943">
        <v>45164</v>
      </c>
      <c r="C5793" s="195">
        <f t="shared" si="181"/>
        <v>8</v>
      </c>
      <c r="D5793" s="195" t="s">
        <v>1441</v>
      </c>
      <c r="E5793" s="705">
        <f t="shared" si="182"/>
        <v>15</v>
      </c>
    </row>
    <row r="5794" spans="2:5">
      <c r="B5794" s="943">
        <v>45164</v>
      </c>
      <c r="C5794" s="195">
        <f t="shared" si="181"/>
        <v>8</v>
      </c>
      <c r="D5794" s="195">
        <v>59.5</v>
      </c>
      <c r="E5794" s="705">
        <f t="shared" si="182"/>
        <v>15.277777777777777</v>
      </c>
    </row>
    <row r="5795" spans="2:5">
      <c r="B5795" s="943">
        <v>45164</v>
      </c>
      <c r="C5795" s="195">
        <f t="shared" si="181"/>
        <v>8</v>
      </c>
      <c r="D5795" s="195">
        <v>59.5</v>
      </c>
      <c r="E5795" s="705">
        <f t="shared" si="182"/>
        <v>15.277777777777777</v>
      </c>
    </row>
    <row r="5796" spans="2:5">
      <c r="B5796" s="943">
        <v>45164</v>
      </c>
      <c r="C5796" s="195">
        <f t="shared" si="181"/>
        <v>8</v>
      </c>
      <c r="D5796" s="195" t="s">
        <v>1442</v>
      </c>
      <c r="E5796" s="705">
        <f t="shared" si="182"/>
        <v>16.111111111111111</v>
      </c>
    </row>
    <row r="5797" spans="2:5">
      <c r="B5797" s="943">
        <v>45164</v>
      </c>
      <c r="C5797" s="195">
        <f t="shared" si="181"/>
        <v>8</v>
      </c>
      <c r="D5797" s="195" t="s">
        <v>1443</v>
      </c>
      <c r="E5797" s="705">
        <f t="shared" si="182"/>
        <v>17.222222222222221</v>
      </c>
    </row>
    <row r="5798" spans="2:5">
      <c r="B5798" s="943">
        <v>45164</v>
      </c>
      <c r="C5798" s="195">
        <f t="shared" si="181"/>
        <v>8</v>
      </c>
      <c r="D5798" s="195">
        <v>64.400000000000006</v>
      </c>
      <c r="E5798" s="705">
        <f t="shared" si="182"/>
        <v>18.000000000000004</v>
      </c>
    </row>
    <row r="5799" spans="2:5">
      <c r="B5799" s="943">
        <v>45164</v>
      </c>
      <c r="C5799" s="195">
        <f t="shared" si="181"/>
        <v>8</v>
      </c>
      <c r="D5799" s="195">
        <v>65.5</v>
      </c>
      <c r="E5799" s="705">
        <f t="shared" si="182"/>
        <v>18.611111111111111</v>
      </c>
    </row>
    <row r="5800" spans="2:5">
      <c r="B5800" s="943">
        <v>45164</v>
      </c>
      <c r="C5800" s="195">
        <f t="shared" si="181"/>
        <v>8</v>
      </c>
      <c r="D5800" s="195">
        <v>65.8</v>
      </c>
      <c r="E5800" s="705">
        <f t="shared" si="182"/>
        <v>18.777777777777775</v>
      </c>
    </row>
    <row r="5801" spans="2:5">
      <c r="B5801" s="943">
        <v>45164</v>
      </c>
      <c r="C5801" s="195">
        <f t="shared" si="181"/>
        <v>8</v>
      </c>
      <c r="D5801" s="195">
        <v>65.7</v>
      </c>
      <c r="E5801" s="705">
        <f t="shared" si="182"/>
        <v>18.722222222222225</v>
      </c>
    </row>
    <row r="5802" spans="2:5">
      <c r="B5802" s="943">
        <v>45164</v>
      </c>
      <c r="C5802" s="195">
        <f t="shared" si="181"/>
        <v>8</v>
      </c>
      <c r="D5802" s="195">
        <v>63.9</v>
      </c>
      <c r="E5802" s="705">
        <f t="shared" si="182"/>
        <v>17.722222222222221</v>
      </c>
    </row>
    <row r="5803" spans="2:5">
      <c r="B5803" s="943">
        <v>45164</v>
      </c>
      <c r="C5803" s="195">
        <f t="shared" si="181"/>
        <v>8</v>
      </c>
      <c r="D5803" s="195">
        <v>60.4</v>
      </c>
      <c r="E5803" s="705">
        <f t="shared" si="182"/>
        <v>15.777777777777777</v>
      </c>
    </row>
    <row r="5804" spans="2:5">
      <c r="B5804" s="943">
        <v>45164</v>
      </c>
      <c r="C5804" s="195">
        <f t="shared" si="181"/>
        <v>8</v>
      </c>
      <c r="D5804" s="195">
        <v>58.5</v>
      </c>
      <c r="E5804" s="705">
        <f t="shared" si="182"/>
        <v>14.722222222222221</v>
      </c>
    </row>
    <row r="5805" spans="2:5">
      <c r="B5805" s="943">
        <v>45164</v>
      </c>
      <c r="C5805" s="195">
        <f t="shared" si="181"/>
        <v>8</v>
      </c>
      <c r="D5805" s="195">
        <v>56.5</v>
      </c>
      <c r="E5805" s="705">
        <f t="shared" si="182"/>
        <v>13.611111111111111</v>
      </c>
    </row>
    <row r="5806" spans="2:5">
      <c r="B5806" s="943">
        <v>45164</v>
      </c>
      <c r="C5806" s="195">
        <f t="shared" si="181"/>
        <v>8</v>
      </c>
      <c r="D5806" s="195" t="s">
        <v>1439</v>
      </c>
      <c r="E5806" s="705">
        <f t="shared" si="182"/>
        <v>12.777777777777777</v>
      </c>
    </row>
    <row r="5807" spans="2:5">
      <c r="B5807" s="943">
        <v>45164</v>
      </c>
      <c r="C5807" s="195">
        <f t="shared" si="181"/>
        <v>8</v>
      </c>
      <c r="D5807" s="195" t="s">
        <v>1440</v>
      </c>
      <c r="E5807" s="705">
        <f t="shared" si="182"/>
        <v>13.888888888888889</v>
      </c>
    </row>
    <row r="5808" spans="2:5">
      <c r="B5808" s="943">
        <v>45164</v>
      </c>
      <c r="C5808" s="195">
        <f t="shared" si="181"/>
        <v>8</v>
      </c>
      <c r="D5808" s="195">
        <v>58.1</v>
      </c>
      <c r="E5808" s="705">
        <f t="shared" si="182"/>
        <v>14.5</v>
      </c>
    </row>
    <row r="5809" spans="2:5">
      <c r="B5809" s="943">
        <v>45164</v>
      </c>
      <c r="C5809" s="195">
        <f t="shared" si="181"/>
        <v>8</v>
      </c>
      <c r="D5809" s="195">
        <v>60.4</v>
      </c>
      <c r="E5809" s="705">
        <f t="shared" si="182"/>
        <v>15.777777777777777</v>
      </c>
    </row>
    <row r="5810" spans="2:5">
      <c r="B5810" s="943">
        <v>45164</v>
      </c>
      <c r="C5810" s="195">
        <f t="shared" si="181"/>
        <v>8</v>
      </c>
      <c r="D5810" s="195">
        <v>63.3</v>
      </c>
      <c r="E5810" s="705">
        <f t="shared" si="182"/>
        <v>17.388888888888886</v>
      </c>
    </row>
    <row r="5811" spans="2:5">
      <c r="B5811" s="943">
        <v>45164</v>
      </c>
      <c r="C5811" s="195">
        <f t="shared" si="181"/>
        <v>8</v>
      </c>
      <c r="D5811" s="195">
        <v>65.099999999999994</v>
      </c>
      <c r="E5811" s="705">
        <f t="shared" si="182"/>
        <v>18.388888888888886</v>
      </c>
    </row>
    <row r="5812" spans="2:5">
      <c r="B5812" s="943">
        <v>45164</v>
      </c>
      <c r="C5812" s="195">
        <f t="shared" si="181"/>
        <v>8</v>
      </c>
      <c r="D5812" s="195">
        <v>65.8</v>
      </c>
      <c r="E5812" s="705">
        <f t="shared" si="182"/>
        <v>18.777777777777775</v>
      </c>
    </row>
    <row r="5813" spans="2:5">
      <c r="B5813" s="943">
        <v>45164</v>
      </c>
      <c r="C5813" s="195">
        <f t="shared" si="181"/>
        <v>8</v>
      </c>
      <c r="D5813" s="195">
        <v>64.8</v>
      </c>
      <c r="E5813" s="705">
        <f t="shared" si="182"/>
        <v>18.222222222222221</v>
      </c>
    </row>
    <row r="5814" spans="2:5">
      <c r="B5814" s="943">
        <v>45164</v>
      </c>
      <c r="C5814" s="195">
        <f t="shared" si="181"/>
        <v>8</v>
      </c>
      <c r="D5814" s="195">
        <v>62.1</v>
      </c>
      <c r="E5814" s="705">
        <f t="shared" si="182"/>
        <v>16.722222222222221</v>
      </c>
    </row>
    <row r="5815" spans="2:5">
      <c r="B5815" s="943">
        <v>45164</v>
      </c>
      <c r="C5815" s="195">
        <f t="shared" si="181"/>
        <v>8</v>
      </c>
      <c r="D5815" s="195">
        <v>59.4</v>
      </c>
      <c r="E5815" s="705">
        <f t="shared" si="182"/>
        <v>15.222222222222221</v>
      </c>
    </row>
    <row r="5816" spans="2:5">
      <c r="B5816" s="943">
        <v>45164</v>
      </c>
      <c r="C5816" s="195">
        <f t="shared" si="181"/>
        <v>8</v>
      </c>
      <c r="D5816" s="195">
        <v>58.1</v>
      </c>
      <c r="E5816" s="705">
        <f t="shared" si="182"/>
        <v>14.5</v>
      </c>
    </row>
    <row r="5817" spans="2:5">
      <c r="B5817" s="943">
        <v>45165</v>
      </c>
      <c r="C5817" s="195">
        <f t="shared" si="181"/>
        <v>8</v>
      </c>
      <c r="D5817" s="195">
        <v>56.3</v>
      </c>
      <c r="E5817" s="705">
        <f t="shared" si="182"/>
        <v>13.499999999999998</v>
      </c>
    </row>
    <row r="5818" spans="2:5">
      <c r="B5818" s="943">
        <v>45165</v>
      </c>
      <c r="C5818" s="195">
        <f t="shared" si="181"/>
        <v>8</v>
      </c>
      <c r="D5818" s="195">
        <v>56.1</v>
      </c>
      <c r="E5818" s="705">
        <f t="shared" si="182"/>
        <v>13.388888888888889</v>
      </c>
    </row>
    <row r="5819" spans="2:5">
      <c r="B5819" s="943">
        <v>45165</v>
      </c>
      <c r="C5819" s="195">
        <f t="shared" si="181"/>
        <v>8</v>
      </c>
      <c r="D5819" s="195">
        <v>56.1</v>
      </c>
      <c r="E5819" s="705">
        <f t="shared" si="182"/>
        <v>13.388888888888889</v>
      </c>
    </row>
    <row r="5820" spans="2:5">
      <c r="B5820" s="943">
        <v>45165</v>
      </c>
      <c r="C5820" s="195">
        <f t="shared" si="181"/>
        <v>8</v>
      </c>
      <c r="D5820" s="195">
        <v>56.5</v>
      </c>
      <c r="E5820" s="705">
        <f t="shared" si="182"/>
        <v>13.611111111111111</v>
      </c>
    </row>
    <row r="5821" spans="2:5">
      <c r="B5821" s="943">
        <v>45165</v>
      </c>
      <c r="C5821" s="195">
        <f t="shared" si="181"/>
        <v>8</v>
      </c>
      <c r="D5821" s="195">
        <v>58.5</v>
      </c>
      <c r="E5821" s="705">
        <f t="shared" si="182"/>
        <v>14.722222222222221</v>
      </c>
    </row>
    <row r="5822" spans="2:5">
      <c r="B5822" s="943">
        <v>45165</v>
      </c>
      <c r="C5822" s="195">
        <f t="shared" si="181"/>
        <v>8</v>
      </c>
      <c r="D5822" s="195">
        <v>61.3</v>
      </c>
      <c r="E5822" s="705">
        <f t="shared" si="182"/>
        <v>16.277777777777775</v>
      </c>
    </row>
    <row r="5823" spans="2:5">
      <c r="B5823" s="943">
        <v>45165</v>
      </c>
      <c r="C5823" s="195">
        <f t="shared" si="181"/>
        <v>8</v>
      </c>
      <c r="D5823" s="195">
        <v>63.5</v>
      </c>
      <c r="E5823" s="705">
        <f t="shared" si="182"/>
        <v>17.5</v>
      </c>
    </row>
    <row r="5824" spans="2:5">
      <c r="B5824" s="943">
        <v>45165</v>
      </c>
      <c r="C5824" s="195">
        <f t="shared" si="181"/>
        <v>8</v>
      </c>
      <c r="D5824" s="195">
        <v>64.900000000000006</v>
      </c>
      <c r="E5824" s="705">
        <f t="shared" si="182"/>
        <v>18.277777777777782</v>
      </c>
    </row>
    <row r="5825" spans="2:5">
      <c r="B5825" s="943">
        <v>45165</v>
      </c>
      <c r="C5825" s="195">
        <f t="shared" si="181"/>
        <v>8</v>
      </c>
      <c r="D5825" s="195">
        <v>65.7</v>
      </c>
      <c r="E5825" s="705">
        <f t="shared" si="182"/>
        <v>18.722222222222225</v>
      </c>
    </row>
    <row r="5826" spans="2:5">
      <c r="B5826" s="943">
        <v>45165</v>
      </c>
      <c r="C5826" s="195">
        <f t="shared" si="181"/>
        <v>8</v>
      </c>
      <c r="D5826" s="195">
        <v>65.3</v>
      </c>
      <c r="E5826" s="705">
        <f t="shared" si="182"/>
        <v>18.499999999999996</v>
      </c>
    </row>
    <row r="5827" spans="2:5">
      <c r="B5827" s="943">
        <v>45165</v>
      </c>
      <c r="C5827" s="195">
        <f t="shared" si="181"/>
        <v>8</v>
      </c>
      <c r="D5827" s="195">
        <v>63.1</v>
      </c>
      <c r="E5827" s="705">
        <f t="shared" si="182"/>
        <v>17.277777777777779</v>
      </c>
    </row>
    <row r="5828" spans="2:5">
      <c r="B5828" s="943">
        <v>45165</v>
      </c>
      <c r="C5828" s="195">
        <f t="shared" si="181"/>
        <v>8</v>
      </c>
      <c r="D5828" s="195">
        <v>60.3</v>
      </c>
      <c r="E5828" s="705">
        <f t="shared" si="182"/>
        <v>15.72222222222222</v>
      </c>
    </row>
    <row r="5829" spans="2:5">
      <c r="B5829" s="943">
        <v>45165</v>
      </c>
      <c r="C5829" s="195">
        <f t="shared" si="181"/>
        <v>8</v>
      </c>
      <c r="D5829" s="195">
        <v>58.6</v>
      </c>
      <c r="E5829" s="705">
        <f t="shared" si="182"/>
        <v>14.777777777777779</v>
      </c>
    </row>
    <row r="5830" spans="2:5">
      <c r="B5830" s="943">
        <v>45165</v>
      </c>
      <c r="C5830" s="195">
        <f t="shared" si="181"/>
        <v>8</v>
      </c>
      <c r="D5830" s="195">
        <v>57.6</v>
      </c>
      <c r="E5830" s="705">
        <f t="shared" si="182"/>
        <v>14.222222222222223</v>
      </c>
    </row>
    <row r="5831" spans="2:5">
      <c r="B5831" s="943">
        <v>45165</v>
      </c>
      <c r="C5831" s="195">
        <f t="shared" si="181"/>
        <v>8</v>
      </c>
      <c r="D5831" s="195">
        <v>56.3</v>
      </c>
      <c r="E5831" s="705">
        <f t="shared" si="182"/>
        <v>13.499999999999998</v>
      </c>
    </row>
    <row r="5832" spans="2:5">
      <c r="B5832" s="943">
        <v>45165</v>
      </c>
      <c r="C5832" s="195">
        <f t="shared" si="181"/>
        <v>8</v>
      </c>
      <c r="D5832" s="195" t="s">
        <v>1440</v>
      </c>
      <c r="E5832" s="705">
        <f t="shared" si="182"/>
        <v>13.888888888888889</v>
      </c>
    </row>
    <row r="5833" spans="2:5">
      <c r="B5833" s="943">
        <v>45165</v>
      </c>
      <c r="C5833" s="195">
        <f t="shared" si="181"/>
        <v>8</v>
      </c>
      <c r="D5833" s="195">
        <v>57.9</v>
      </c>
      <c r="E5833" s="705">
        <f t="shared" si="182"/>
        <v>14.388888888888888</v>
      </c>
    </row>
    <row r="5834" spans="2:5">
      <c r="B5834" s="943">
        <v>45165</v>
      </c>
      <c r="C5834" s="195">
        <f t="shared" ref="C5834:C5897" si="183">MONTH(B5834)</f>
        <v>8</v>
      </c>
      <c r="D5834" s="195">
        <v>59.9</v>
      </c>
      <c r="E5834" s="705">
        <f t="shared" ref="E5834:E5897" si="184">CONVERT(D5834,"F","C")</f>
        <v>15.499999999999998</v>
      </c>
    </row>
    <row r="5835" spans="2:5">
      <c r="B5835" s="943">
        <v>45165</v>
      </c>
      <c r="C5835" s="195">
        <f t="shared" si="183"/>
        <v>8</v>
      </c>
      <c r="D5835" s="195">
        <v>62.6</v>
      </c>
      <c r="E5835" s="705">
        <f t="shared" si="184"/>
        <v>17</v>
      </c>
    </row>
    <row r="5836" spans="2:5">
      <c r="B5836" s="943">
        <v>45165</v>
      </c>
      <c r="C5836" s="195">
        <f t="shared" si="183"/>
        <v>8</v>
      </c>
      <c r="D5836" s="195">
        <v>64.8</v>
      </c>
      <c r="E5836" s="705">
        <f t="shared" si="184"/>
        <v>18.222222222222221</v>
      </c>
    </row>
    <row r="5837" spans="2:5">
      <c r="B5837" s="943">
        <v>45165</v>
      </c>
      <c r="C5837" s="195">
        <f t="shared" si="183"/>
        <v>8</v>
      </c>
      <c r="D5837" s="195">
        <v>65.5</v>
      </c>
      <c r="E5837" s="705">
        <f t="shared" si="184"/>
        <v>18.611111111111111</v>
      </c>
    </row>
    <row r="5838" spans="2:5">
      <c r="B5838" s="943">
        <v>45165</v>
      </c>
      <c r="C5838" s="195">
        <f t="shared" si="183"/>
        <v>8</v>
      </c>
      <c r="D5838" s="195">
        <v>64.8</v>
      </c>
      <c r="E5838" s="705">
        <f t="shared" si="184"/>
        <v>18.222222222222221</v>
      </c>
    </row>
    <row r="5839" spans="2:5">
      <c r="B5839" s="943">
        <v>45165</v>
      </c>
      <c r="C5839" s="195">
        <f t="shared" si="183"/>
        <v>8</v>
      </c>
      <c r="D5839" s="195">
        <v>62.2</v>
      </c>
      <c r="E5839" s="705">
        <f t="shared" si="184"/>
        <v>16.777777777777779</v>
      </c>
    </row>
    <row r="5840" spans="2:5">
      <c r="B5840" s="943">
        <v>45165</v>
      </c>
      <c r="C5840" s="195">
        <f t="shared" si="183"/>
        <v>8</v>
      </c>
      <c r="D5840" s="195">
        <v>60.3</v>
      </c>
      <c r="E5840" s="705">
        <f t="shared" si="184"/>
        <v>15.72222222222222</v>
      </c>
    </row>
    <row r="5841" spans="2:5">
      <c r="B5841" s="943">
        <v>45166</v>
      </c>
      <c r="C5841" s="195">
        <f t="shared" si="183"/>
        <v>8</v>
      </c>
      <c r="D5841" s="195">
        <v>59.4</v>
      </c>
      <c r="E5841" s="705">
        <f t="shared" si="184"/>
        <v>15.222222222222221</v>
      </c>
    </row>
    <row r="5842" spans="2:5">
      <c r="B5842" s="943">
        <v>45166</v>
      </c>
      <c r="C5842" s="195">
        <f t="shared" si="183"/>
        <v>8</v>
      </c>
      <c r="D5842" s="195" t="s">
        <v>1441</v>
      </c>
      <c r="E5842" s="705">
        <f t="shared" si="184"/>
        <v>15</v>
      </c>
    </row>
    <row r="5843" spans="2:5">
      <c r="B5843" s="943">
        <v>45166</v>
      </c>
      <c r="C5843" s="195">
        <f t="shared" si="183"/>
        <v>8</v>
      </c>
      <c r="D5843" s="195">
        <v>58.8</v>
      </c>
      <c r="E5843" s="705">
        <f t="shared" si="184"/>
        <v>14.888888888888888</v>
      </c>
    </row>
    <row r="5844" spans="2:5">
      <c r="B5844" s="943">
        <v>45166</v>
      </c>
      <c r="C5844" s="195">
        <f t="shared" si="183"/>
        <v>8</v>
      </c>
      <c r="D5844" s="195">
        <v>58.8</v>
      </c>
      <c r="E5844" s="705">
        <f t="shared" si="184"/>
        <v>14.888888888888888</v>
      </c>
    </row>
    <row r="5845" spans="2:5">
      <c r="B5845" s="943">
        <v>45166</v>
      </c>
      <c r="C5845" s="195">
        <f t="shared" si="183"/>
        <v>8</v>
      </c>
      <c r="D5845" s="195">
        <v>58.8</v>
      </c>
      <c r="E5845" s="705">
        <f t="shared" si="184"/>
        <v>14.888888888888888</v>
      </c>
    </row>
    <row r="5846" spans="2:5">
      <c r="B5846" s="943">
        <v>45166</v>
      </c>
      <c r="C5846" s="195">
        <f t="shared" si="183"/>
        <v>8</v>
      </c>
      <c r="D5846" s="195">
        <v>59.9</v>
      </c>
      <c r="E5846" s="705">
        <f t="shared" si="184"/>
        <v>15.499999999999998</v>
      </c>
    </row>
    <row r="5847" spans="2:5">
      <c r="B5847" s="943">
        <v>45166</v>
      </c>
      <c r="C5847" s="195">
        <f t="shared" si="183"/>
        <v>8</v>
      </c>
      <c r="D5847" s="195">
        <v>61.7</v>
      </c>
      <c r="E5847" s="705">
        <f t="shared" si="184"/>
        <v>16.5</v>
      </c>
    </row>
    <row r="5848" spans="2:5">
      <c r="B5848" s="943">
        <v>45166</v>
      </c>
      <c r="C5848" s="195">
        <f t="shared" si="183"/>
        <v>8</v>
      </c>
      <c r="D5848" s="195">
        <v>63.1</v>
      </c>
      <c r="E5848" s="705">
        <f t="shared" si="184"/>
        <v>17.277777777777779</v>
      </c>
    </row>
    <row r="5849" spans="2:5">
      <c r="B5849" s="943">
        <v>45166</v>
      </c>
      <c r="C5849" s="195">
        <f t="shared" si="183"/>
        <v>8</v>
      </c>
      <c r="D5849" s="195">
        <v>64.599999999999994</v>
      </c>
      <c r="E5849" s="705">
        <f t="shared" si="184"/>
        <v>18.111111111111107</v>
      </c>
    </row>
    <row r="5850" spans="2:5">
      <c r="B5850" s="943">
        <v>45166</v>
      </c>
      <c r="C5850" s="195">
        <f t="shared" si="183"/>
        <v>8</v>
      </c>
      <c r="D5850" s="195">
        <v>65.3</v>
      </c>
      <c r="E5850" s="705">
        <f t="shared" si="184"/>
        <v>18.499999999999996</v>
      </c>
    </row>
    <row r="5851" spans="2:5">
      <c r="B5851" s="943">
        <v>45166</v>
      </c>
      <c r="C5851" s="195">
        <f t="shared" si="183"/>
        <v>8</v>
      </c>
      <c r="D5851" s="195">
        <v>65.3</v>
      </c>
      <c r="E5851" s="705">
        <f t="shared" si="184"/>
        <v>18.499999999999996</v>
      </c>
    </row>
    <row r="5852" spans="2:5">
      <c r="B5852" s="943">
        <v>45166</v>
      </c>
      <c r="C5852" s="195">
        <f t="shared" si="183"/>
        <v>8</v>
      </c>
      <c r="D5852" s="195" t="s">
        <v>1443</v>
      </c>
      <c r="E5852" s="705">
        <f t="shared" si="184"/>
        <v>17.222222222222221</v>
      </c>
    </row>
    <row r="5853" spans="2:5">
      <c r="B5853" s="943">
        <v>45166</v>
      </c>
      <c r="C5853" s="195">
        <f t="shared" si="183"/>
        <v>8</v>
      </c>
      <c r="D5853" s="195">
        <v>61.3</v>
      </c>
      <c r="E5853" s="705">
        <f t="shared" si="184"/>
        <v>16.277777777777775</v>
      </c>
    </row>
    <row r="5854" spans="2:5">
      <c r="B5854" s="943">
        <v>45166</v>
      </c>
      <c r="C5854" s="195">
        <f t="shared" si="183"/>
        <v>8</v>
      </c>
      <c r="D5854" s="195">
        <v>59.5</v>
      </c>
      <c r="E5854" s="705">
        <f t="shared" si="184"/>
        <v>15.277777777777777</v>
      </c>
    </row>
    <row r="5855" spans="2:5">
      <c r="B5855" s="943">
        <v>45166</v>
      </c>
      <c r="C5855" s="195">
        <f t="shared" si="183"/>
        <v>8</v>
      </c>
      <c r="D5855" s="195">
        <v>58.1</v>
      </c>
      <c r="E5855" s="705">
        <f t="shared" si="184"/>
        <v>14.5</v>
      </c>
    </row>
    <row r="5856" spans="2:5">
      <c r="B5856" s="943">
        <v>45166</v>
      </c>
      <c r="C5856" s="195">
        <f t="shared" si="183"/>
        <v>8</v>
      </c>
      <c r="D5856" s="195">
        <v>57.7</v>
      </c>
      <c r="E5856" s="705">
        <f t="shared" si="184"/>
        <v>14.277777777777779</v>
      </c>
    </row>
    <row r="5857" spans="2:5">
      <c r="B5857" s="943">
        <v>45166</v>
      </c>
      <c r="C5857" s="195">
        <f t="shared" si="183"/>
        <v>8</v>
      </c>
      <c r="D5857" s="195">
        <v>57.6</v>
      </c>
      <c r="E5857" s="705">
        <f t="shared" si="184"/>
        <v>14.222222222222223</v>
      </c>
    </row>
    <row r="5858" spans="2:5">
      <c r="B5858" s="943">
        <v>45166</v>
      </c>
      <c r="C5858" s="195">
        <f t="shared" si="183"/>
        <v>8</v>
      </c>
      <c r="D5858" s="195">
        <v>58.6</v>
      </c>
      <c r="E5858" s="705">
        <f t="shared" si="184"/>
        <v>14.777777777777779</v>
      </c>
    </row>
    <row r="5859" spans="2:5">
      <c r="B5859" s="943">
        <v>45166</v>
      </c>
      <c r="C5859" s="195">
        <f t="shared" si="183"/>
        <v>8</v>
      </c>
      <c r="D5859" s="195">
        <v>60.4</v>
      </c>
      <c r="E5859" s="705">
        <f t="shared" si="184"/>
        <v>15.777777777777777</v>
      </c>
    </row>
    <row r="5860" spans="2:5">
      <c r="B5860" s="943">
        <v>45166</v>
      </c>
      <c r="C5860" s="195">
        <f t="shared" si="183"/>
        <v>8</v>
      </c>
      <c r="D5860" s="195" t="s">
        <v>1443</v>
      </c>
      <c r="E5860" s="705">
        <f t="shared" si="184"/>
        <v>17.222222222222221</v>
      </c>
    </row>
    <row r="5861" spans="2:5">
      <c r="B5861" s="943">
        <v>45166</v>
      </c>
      <c r="C5861" s="195">
        <f t="shared" si="183"/>
        <v>8</v>
      </c>
      <c r="D5861" s="195">
        <v>64.8</v>
      </c>
      <c r="E5861" s="705">
        <f t="shared" si="184"/>
        <v>18.222222222222221</v>
      </c>
    </row>
    <row r="5862" spans="2:5">
      <c r="B5862" s="943">
        <v>45166</v>
      </c>
      <c r="C5862" s="195">
        <f t="shared" si="183"/>
        <v>8</v>
      </c>
      <c r="D5862" s="195">
        <v>65.5</v>
      </c>
      <c r="E5862" s="705">
        <f t="shared" si="184"/>
        <v>18.611111111111111</v>
      </c>
    </row>
    <row r="5863" spans="2:5">
      <c r="B5863" s="943">
        <v>45166</v>
      </c>
      <c r="C5863" s="195">
        <f t="shared" si="183"/>
        <v>8</v>
      </c>
      <c r="D5863" s="195">
        <v>65.3</v>
      </c>
      <c r="E5863" s="705">
        <f t="shared" si="184"/>
        <v>18.499999999999996</v>
      </c>
    </row>
    <row r="5864" spans="2:5">
      <c r="B5864" s="943">
        <v>45166</v>
      </c>
      <c r="C5864" s="195">
        <f t="shared" si="183"/>
        <v>8</v>
      </c>
      <c r="D5864" s="195">
        <v>62.4</v>
      </c>
      <c r="E5864" s="705">
        <f t="shared" si="184"/>
        <v>16.888888888888889</v>
      </c>
    </row>
    <row r="5865" spans="2:5">
      <c r="B5865" s="943">
        <v>45167</v>
      </c>
      <c r="C5865" s="195">
        <f t="shared" si="183"/>
        <v>8</v>
      </c>
      <c r="D5865" s="195">
        <v>61.2</v>
      </c>
      <c r="E5865" s="705">
        <f t="shared" si="184"/>
        <v>16.222222222222225</v>
      </c>
    </row>
    <row r="5866" spans="2:5">
      <c r="B5866" s="943">
        <v>45167</v>
      </c>
      <c r="C5866" s="195">
        <f t="shared" si="183"/>
        <v>8</v>
      </c>
      <c r="D5866" s="195">
        <v>59.5</v>
      </c>
      <c r="E5866" s="705">
        <f t="shared" si="184"/>
        <v>15.277777777777777</v>
      </c>
    </row>
    <row r="5867" spans="2:5">
      <c r="B5867" s="943">
        <v>45167</v>
      </c>
      <c r="C5867" s="195">
        <f t="shared" si="183"/>
        <v>8</v>
      </c>
      <c r="D5867" s="195">
        <v>58.8</v>
      </c>
      <c r="E5867" s="705">
        <f t="shared" si="184"/>
        <v>14.888888888888888</v>
      </c>
    </row>
    <row r="5868" spans="2:5">
      <c r="B5868" s="943">
        <v>45167</v>
      </c>
      <c r="C5868" s="195">
        <f t="shared" si="183"/>
        <v>8</v>
      </c>
      <c r="D5868" s="195">
        <v>58.6</v>
      </c>
      <c r="E5868" s="705">
        <f t="shared" si="184"/>
        <v>14.777777777777779</v>
      </c>
    </row>
    <row r="5869" spans="2:5">
      <c r="B5869" s="943">
        <v>45167</v>
      </c>
      <c r="C5869" s="195">
        <f t="shared" si="183"/>
        <v>8</v>
      </c>
      <c r="D5869" s="195">
        <v>58.6</v>
      </c>
      <c r="E5869" s="705">
        <f t="shared" si="184"/>
        <v>14.777777777777779</v>
      </c>
    </row>
    <row r="5870" spans="2:5">
      <c r="B5870" s="943">
        <v>45167</v>
      </c>
      <c r="C5870" s="195">
        <f t="shared" si="183"/>
        <v>8</v>
      </c>
      <c r="D5870" s="195" t="s">
        <v>1441</v>
      </c>
      <c r="E5870" s="705">
        <f t="shared" si="184"/>
        <v>15</v>
      </c>
    </row>
    <row r="5871" spans="2:5">
      <c r="B5871" s="943">
        <v>45167</v>
      </c>
      <c r="C5871" s="195">
        <f t="shared" si="183"/>
        <v>8</v>
      </c>
      <c r="D5871" s="195">
        <v>60.3</v>
      </c>
      <c r="E5871" s="705">
        <f t="shared" si="184"/>
        <v>15.72222222222222</v>
      </c>
    </row>
    <row r="5872" spans="2:5">
      <c r="B5872" s="943">
        <v>45167</v>
      </c>
      <c r="C5872" s="195">
        <f t="shared" si="183"/>
        <v>8</v>
      </c>
      <c r="D5872" s="195">
        <v>61.9</v>
      </c>
      <c r="E5872" s="705">
        <f t="shared" si="184"/>
        <v>16.611111111111111</v>
      </c>
    </row>
    <row r="5873" spans="2:5">
      <c r="B5873" s="943">
        <v>45167</v>
      </c>
      <c r="C5873" s="195">
        <f t="shared" si="183"/>
        <v>8</v>
      </c>
      <c r="D5873" s="195">
        <v>63.7</v>
      </c>
      <c r="E5873" s="705">
        <f t="shared" si="184"/>
        <v>17.611111111111111</v>
      </c>
    </row>
    <row r="5874" spans="2:5">
      <c r="B5874" s="943">
        <v>45167</v>
      </c>
      <c r="C5874" s="195">
        <f t="shared" si="183"/>
        <v>8</v>
      </c>
      <c r="D5874" s="195">
        <v>64.900000000000006</v>
      </c>
      <c r="E5874" s="705">
        <f t="shared" si="184"/>
        <v>18.277777777777782</v>
      </c>
    </row>
    <row r="5875" spans="2:5">
      <c r="B5875" s="943">
        <v>45167</v>
      </c>
      <c r="C5875" s="195">
        <f t="shared" si="183"/>
        <v>8</v>
      </c>
      <c r="D5875" s="195">
        <v>65.7</v>
      </c>
      <c r="E5875" s="705">
        <f t="shared" si="184"/>
        <v>18.722222222222225</v>
      </c>
    </row>
    <row r="5876" spans="2:5">
      <c r="B5876" s="943">
        <v>45167</v>
      </c>
      <c r="C5876" s="195">
        <f t="shared" si="183"/>
        <v>8</v>
      </c>
      <c r="D5876" s="195">
        <v>65.8</v>
      </c>
      <c r="E5876" s="705">
        <f t="shared" si="184"/>
        <v>18.777777777777775</v>
      </c>
    </row>
    <row r="5877" spans="2:5">
      <c r="B5877" s="943">
        <v>45167</v>
      </c>
      <c r="C5877" s="195">
        <f t="shared" si="183"/>
        <v>8</v>
      </c>
      <c r="D5877" s="195">
        <v>63.3</v>
      </c>
      <c r="E5877" s="705">
        <f t="shared" si="184"/>
        <v>17.388888888888886</v>
      </c>
    </row>
    <row r="5878" spans="2:5">
      <c r="B5878" s="943">
        <v>45167</v>
      </c>
      <c r="C5878" s="195">
        <f t="shared" si="183"/>
        <v>8</v>
      </c>
      <c r="D5878" s="195">
        <v>62.2</v>
      </c>
      <c r="E5878" s="705">
        <f t="shared" si="184"/>
        <v>16.777777777777779</v>
      </c>
    </row>
    <row r="5879" spans="2:5">
      <c r="B5879" s="943">
        <v>45167</v>
      </c>
      <c r="C5879" s="195">
        <f t="shared" si="183"/>
        <v>8</v>
      </c>
      <c r="D5879" s="195">
        <v>60.8</v>
      </c>
      <c r="E5879" s="705">
        <f t="shared" si="184"/>
        <v>15.999999999999998</v>
      </c>
    </row>
    <row r="5880" spans="2:5">
      <c r="B5880" s="943">
        <v>45167</v>
      </c>
      <c r="C5880" s="195">
        <f t="shared" si="183"/>
        <v>8</v>
      </c>
      <c r="D5880" s="195">
        <v>60.1</v>
      </c>
      <c r="E5880" s="705">
        <f t="shared" si="184"/>
        <v>15.611111111111111</v>
      </c>
    </row>
    <row r="5881" spans="2:5">
      <c r="B5881" s="943">
        <v>45167</v>
      </c>
      <c r="C5881" s="195">
        <f t="shared" si="183"/>
        <v>8</v>
      </c>
      <c r="D5881" s="195">
        <v>59.9</v>
      </c>
      <c r="E5881" s="705">
        <f t="shared" si="184"/>
        <v>15.499999999999998</v>
      </c>
    </row>
    <row r="5882" spans="2:5">
      <c r="B5882" s="943">
        <v>45167</v>
      </c>
      <c r="C5882" s="195">
        <f t="shared" si="183"/>
        <v>8</v>
      </c>
      <c r="D5882" s="195">
        <v>60.3</v>
      </c>
      <c r="E5882" s="705">
        <f t="shared" si="184"/>
        <v>15.72222222222222</v>
      </c>
    </row>
    <row r="5883" spans="2:5">
      <c r="B5883" s="943">
        <v>45167</v>
      </c>
      <c r="C5883" s="195">
        <f t="shared" si="183"/>
        <v>8</v>
      </c>
      <c r="D5883" s="195">
        <v>60.8</v>
      </c>
      <c r="E5883" s="705">
        <f t="shared" si="184"/>
        <v>15.999999999999998</v>
      </c>
    </row>
    <row r="5884" spans="2:5">
      <c r="B5884" s="943">
        <v>45167</v>
      </c>
      <c r="C5884" s="195">
        <f t="shared" si="183"/>
        <v>8</v>
      </c>
      <c r="D5884" s="195">
        <v>61.9</v>
      </c>
      <c r="E5884" s="705">
        <f t="shared" si="184"/>
        <v>16.611111111111111</v>
      </c>
    </row>
    <row r="5885" spans="2:5">
      <c r="B5885" s="943">
        <v>45167</v>
      </c>
      <c r="C5885" s="195">
        <f t="shared" si="183"/>
        <v>8</v>
      </c>
      <c r="D5885" s="195" t="s">
        <v>1444</v>
      </c>
      <c r="E5885" s="705">
        <f t="shared" si="184"/>
        <v>17.777777777777779</v>
      </c>
    </row>
    <row r="5886" spans="2:5">
      <c r="B5886" s="943">
        <v>45167</v>
      </c>
      <c r="C5886" s="195">
        <f t="shared" si="183"/>
        <v>8</v>
      </c>
      <c r="D5886" s="195">
        <v>65.3</v>
      </c>
      <c r="E5886" s="705">
        <f t="shared" si="184"/>
        <v>18.499999999999996</v>
      </c>
    </row>
    <row r="5887" spans="2:5">
      <c r="B5887" s="943">
        <v>45167</v>
      </c>
      <c r="C5887" s="195">
        <f t="shared" si="183"/>
        <v>8</v>
      </c>
      <c r="D5887" s="195" t="s">
        <v>1445</v>
      </c>
      <c r="E5887" s="705">
        <f t="shared" si="184"/>
        <v>18.888888888888889</v>
      </c>
    </row>
    <row r="5888" spans="2:5">
      <c r="B5888" s="943">
        <v>45167</v>
      </c>
      <c r="C5888" s="195">
        <f t="shared" si="183"/>
        <v>8</v>
      </c>
      <c r="D5888" s="195">
        <v>65.8</v>
      </c>
      <c r="E5888" s="705">
        <f t="shared" si="184"/>
        <v>18.777777777777775</v>
      </c>
    </row>
    <row r="5889" spans="2:5">
      <c r="B5889" s="943">
        <v>45168</v>
      </c>
      <c r="C5889" s="195">
        <f t="shared" si="183"/>
        <v>8</v>
      </c>
      <c r="D5889" s="195">
        <v>63.5</v>
      </c>
      <c r="E5889" s="705">
        <f t="shared" si="184"/>
        <v>17.5</v>
      </c>
    </row>
    <row r="5890" spans="2:5">
      <c r="B5890" s="943">
        <v>45168</v>
      </c>
      <c r="C5890" s="195">
        <f t="shared" si="183"/>
        <v>8</v>
      </c>
      <c r="D5890" s="195">
        <v>61.9</v>
      </c>
      <c r="E5890" s="705">
        <f t="shared" si="184"/>
        <v>16.611111111111111</v>
      </c>
    </row>
    <row r="5891" spans="2:5">
      <c r="B5891" s="943">
        <v>45168</v>
      </c>
      <c r="C5891" s="195">
        <f t="shared" si="183"/>
        <v>8</v>
      </c>
      <c r="D5891" s="195">
        <v>61.3</v>
      </c>
      <c r="E5891" s="705">
        <f t="shared" si="184"/>
        <v>16.277777777777775</v>
      </c>
    </row>
    <row r="5892" spans="2:5">
      <c r="B5892" s="943">
        <v>45168</v>
      </c>
      <c r="C5892" s="195">
        <f t="shared" si="183"/>
        <v>8</v>
      </c>
      <c r="D5892" s="195">
        <v>60.6</v>
      </c>
      <c r="E5892" s="705">
        <f t="shared" si="184"/>
        <v>15.888888888888889</v>
      </c>
    </row>
    <row r="5893" spans="2:5">
      <c r="B5893" s="943">
        <v>45168</v>
      </c>
      <c r="C5893" s="195">
        <f t="shared" si="183"/>
        <v>8</v>
      </c>
      <c r="D5893" s="195">
        <v>59.7</v>
      </c>
      <c r="E5893" s="705">
        <f t="shared" si="184"/>
        <v>15.388888888888889</v>
      </c>
    </row>
    <row r="5894" spans="2:5">
      <c r="B5894" s="943">
        <v>45168</v>
      </c>
      <c r="C5894" s="195">
        <f t="shared" si="183"/>
        <v>8</v>
      </c>
      <c r="D5894" s="195">
        <v>60.8</v>
      </c>
      <c r="E5894" s="705">
        <f t="shared" si="184"/>
        <v>15.999999999999998</v>
      </c>
    </row>
    <row r="5895" spans="2:5">
      <c r="B5895" s="943">
        <v>45168</v>
      </c>
      <c r="C5895" s="195">
        <f t="shared" si="183"/>
        <v>8</v>
      </c>
      <c r="D5895" s="195">
        <v>60.4</v>
      </c>
      <c r="E5895" s="705">
        <f t="shared" si="184"/>
        <v>15.777777777777777</v>
      </c>
    </row>
    <row r="5896" spans="2:5">
      <c r="B5896" s="943">
        <v>45168</v>
      </c>
      <c r="C5896" s="195">
        <f t="shared" si="183"/>
        <v>8</v>
      </c>
      <c r="D5896" s="195">
        <v>61.7</v>
      </c>
      <c r="E5896" s="705">
        <f t="shared" si="184"/>
        <v>16.5</v>
      </c>
    </row>
    <row r="5897" spans="2:5">
      <c r="B5897" s="943">
        <v>45168</v>
      </c>
      <c r="C5897" s="195">
        <f t="shared" si="183"/>
        <v>8</v>
      </c>
      <c r="D5897" s="195">
        <v>63.1</v>
      </c>
      <c r="E5897" s="705">
        <f t="shared" si="184"/>
        <v>17.277777777777779</v>
      </c>
    </row>
    <row r="5898" spans="2:5">
      <c r="B5898" s="943">
        <v>45168</v>
      </c>
      <c r="C5898" s="195">
        <f t="shared" ref="C5898:C5961" si="185">MONTH(B5898)</f>
        <v>8</v>
      </c>
      <c r="D5898" s="195">
        <v>64.2</v>
      </c>
      <c r="E5898" s="705">
        <f t="shared" ref="E5898:E5961" si="186">CONVERT(D5898,"F","C")</f>
        <v>17.888888888888889</v>
      </c>
    </row>
    <row r="5899" spans="2:5">
      <c r="B5899" s="943">
        <v>45168</v>
      </c>
      <c r="C5899" s="195">
        <f t="shared" si="185"/>
        <v>8</v>
      </c>
      <c r="D5899" s="195">
        <v>65.5</v>
      </c>
      <c r="E5899" s="705">
        <f t="shared" si="186"/>
        <v>18.611111111111111</v>
      </c>
    </row>
    <row r="5900" spans="2:5">
      <c r="B5900" s="943">
        <v>45168</v>
      </c>
      <c r="C5900" s="195">
        <f t="shared" si="185"/>
        <v>8</v>
      </c>
      <c r="D5900" s="195">
        <v>66.2</v>
      </c>
      <c r="E5900" s="705">
        <f t="shared" si="186"/>
        <v>19</v>
      </c>
    </row>
    <row r="5901" spans="2:5">
      <c r="B5901" s="943">
        <v>45168</v>
      </c>
      <c r="C5901" s="195">
        <f t="shared" si="185"/>
        <v>8</v>
      </c>
      <c r="D5901" s="195">
        <v>66.2</v>
      </c>
      <c r="E5901" s="705">
        <f t="shared" si="186"/>
        <v>19</v>
      </c>
    </row>
    <row r="5902" spans="2:5">
      <c r="B5902" s="943">
        <v>45168</v>
      </c>
      <c r="C5902" s="195">
        <f t="shared" si="185"/>
        <v>8</v>
      </c>
      <c r="D5902" s="195" t="s">
        <v>1444</v>
      </c>
      <c r="E5902" s="705">
        <f t="shared" si="186"/>
        <v>17.777777777777779</v>
      </c>
    </row>
    <row r="5903" spans="2:5">
      <c r="B5903" s="943">
        <v>45168</v>
      </c>
      <c r="C5903" s="195">
        <f t="shared" si="185"/>
        <v>8</v>
      </c>
      <c r="D5903" s="195" t="s">
        <v>1443</v>
      </c>
      <c r="E5903" s="705">
        <f t="shared" si="186"/>
        <v>17.222222222222221</v>
      </c>
    </row>
    <row r="5904" spans="2:5">
      <c r="B5904" s="943">
        <v>45168</v>
      </c>
      <c r="C5904" s="195">
        <f t="shared" si="185"/>
        <v>8</v>
      </c>
      <c r="D5904" s="195">
        <v>62.2</v>
      </c>
      <c r="E5904" s="705">
        <f t="shared" si="186"/>
        <v>16.777777777777779</v>
      </c>
    </row>
    <row r="5905" spans="2:5">
      <c r="B5905" s="943">
        <v>45168</v>
      </c>
      <c r="C5905" s="195">
        <f t="shared" si="185"/>
        <v>8</v>
      </c>
      <c r="D5905" s="195">
        <v>61.3</v>
      </c>
      <c r="E5905" s="705">
        <f t="shared" si="186"/>
        <v>16.277777777777775</v>
      </c>
    </row>
    <row r="5906" spans="2:5">
      <c r="B5906" s="943">
        <v>45168</v>
      </c>
      <c r="C5906" s="195">
        <f t="shared" si="185"/>
        <v>8</v>
      </c>
      <c r="D5906" s="195">
        <v>61.2</v>
      </c>
      <c r="E5906" s="705">
        <f t="shared" si="186"/>
        <v>16.222222222222225</v>
      </c>
    </row>
    <row r="5907" spans="2:5">
      <c r="B5907" s="943">
        <v>45168</v>
      </c>
      <c r="C5907" s="195">
        <f t="shared" si="185"/>
        <v>8</v>
      </c>
      <c r="D5907" s="195">
        <v>61.5</v>
      </c>
      <c r="E5907" s="705">
        <f t="shared" si="186"/>
        <v>16.388888888888889</v>
      </c>
    </row>
    <row r="5908" spans="2:5">
      <c r="B5908" s="943">
        <v>45168</v>
      </c>
      <c r="C5908" s="195">
        <f t="shared" si="185"/>
        <v>8</v>
      </c>
      <c r="D5908" s="195">
        <v>61.9</v>
      </c>
      <c r="E5908" s="705">
        <f t="shared" si="186"/>
        <v>16.611111111111111</v>
      </c>
    </row>
    <row r="5909" spans="2:5">
      <c r="B5909" s="943">
        <v>45168</v>
      </c>
      <c r="C5909" s="195">
        <f t="shared" si="185"/>
        <v>8</v>
      </c>
      <c r="D5909" s="195">
        <v>63.1</v>
      </c>
      <c r="E5909" s="705">
        <f t="shared" si="186"/>
        <v>17.277777777777779</v>
      </c>
    </row>
    <row r="5910" spans="2:5">
      <c r="B5910" s="943">
        <v>45168</v>
      </c>
      <c r="C5910" s="195">
        <f t="shared" si="185"/>
        <v>8</v>
      </c>
      <c r="D5910" s="195">
        <v>64.8</v>
      </c>
      <c r="E5910" s="705">
        <f t="shared" si="186"/>
        <v>18.222222222222221</v>
      </c>
    </row>
    <row r="5911" spans="2:5">
      <c r="B5911" s="943">
        <v>45168</v>
      </c>
      <c r="C5911" s="195">
        <f t="shared" si="185"/>
        <v>8</v>
      </c>
      <c r="D5911" s="195">
        <v>65.8</v>
      </c>
      <c r="E5911" s="705">
        <f t="shared" si="186"/>
        <v>18.777777777777775</v>
      </c>
    </row>
    <row r="5912" spans="2:5">
      <c r="B5912" s="943">
        <v>45168</v>
      </c>
      <c r="C5912" s="195">
        <f t="shared" si="185"/>
        <v>8</v>
      </c>
      <c r="D5912" s="195">
        <v>66.400000000000006</v>
      </c>
      <c r="E5912" s="705">
        <f t="shared" si="186"/>
        <v>19.111111111111114</v>
      </c>
    </row>
    <row r="5913" spans="2:5">
      <c r="B5913" s="943">
        <v>45169</v>
      </c>
      <c r="C5913" s="195">
        <f t="shared" si="185"/>
        <v>8</v>
      </c>
      <c r="D5913" s="195">
        <v>66.599999999999994</v>
      </c>
      <c r="E5913" s="705">
        <f t="shared" si="186"/>
        <v>19.222222222222218</v>
      </c>
    </row>
    <row r="5914" spans="2:5">
      <c r="B5914" s="943">
        <v>45169</v>
      </c>
      <c r="C5914" s="195">
        <f t="shared" si="185"/>
        <v>8</v>
      </c>
      <c r="D5914" s="195">
        <v>64.900000000000006</v>
      </c>
      <c r="E5914" s="705">
        <f t="shared" si="186"/>
        <v>18.277777777777782</v>
      </c>
    </row>
    <row r="5915" spans="2:5">
      <c r="B5915" s="943">
        <v>45169</v>
      </c>
      <c r="C5915" s="195">
        <f t="shared" si="185"/>
        <v>8</v>
      </c>
      <c r="D5915" s="195">
        <v>63.7</v>
      </c>
      <c r="E5915" s="705">
        <f t="shared" si="186"/>
        <v>17.611111111111111</v>
      </c>
    </row>
    <row r="5916" spans="2:5">
      <c r="B5916" s="943">
        <v>45169</v>
      </c>
      <c r="C5916" s="195">
        <f t="shared" si="185"/>
        <v>8</v>
      </c>
      <c r="D5916" s="195">
        <v>62.2</v>
      </c>
      <c r="E5916" s="705">
        <f t="shared" si="186"/>
        <v>16.777777777777779</v>
      </c>
    </row>
    <row r="5917" spans="2:5">
      <c r="B5917" s="943">
        <v>45169</v>
      </c>
      <c r="C5917" s="195">
        <f t="shared" si="185"/>
        <v>8</v>
      </c>
      <c r="D5917" s="195">
        <v>61.3</v>
      </c>
      <c r="E5917" s="705">
        <f t="shared" si="186"/>
        <v>16.277777777777775</v>
      </c>
    </row>
    <row r="5918" spans="2:5">
      <c r="B5918" s="943">
        <v>45169</v>
      </c>
      <c r="C5918" s="195">
        <f t="shared" si="185"/>
        <v>8</v>
      </c>
      <c r="D5918" s="195">
        <v>60.6</v>
      </c>
      <c r="E5918" s="705">
        <f t="shared" si="186"/>
        <v>15.888888888888889</v>
      </c>
    </row>
    <row r="5919" spans="2:5">
      <c r="B5919" s="943">
        <v>45169</v>
      </c>
      <c r="C5919" s="195">
        <f t="shared" si="185"/>
        <v>8</v>
      </c>
      <c r="D5919" s="195">
        <v>61.5</v>
      </c>
      <c r="E5919" s="705">
        <f t="shared" si="186"/>
        <v>16.388888888888889</v>
      </c>
    </row>
    <row r="5920" spans="2:5">
      <c r="B5920" s="943">
        <v>45169</v>
      </c>
      <c r="C5920" s="195">
        <f t="shared" si="185"/>
        <v>8</v>
      </c>
      <c r="D5920" s="195">
        <v>61.5</v>
      </c>
      <c r="E5920" s="705">
        <f t="shared" si="186"/>
        <v>16.388888888888889</v>
      </c>
    </row>
    <row r="5921" spans="2:5">
      <c r="B5921" s="943">
        <v>45169</v>
      </c>
      <c r="C5921" s="195">
        <f t="shared" si="185"/>
        <v>8</v>
      </c>
      <c r="D5921" s="195">
        <v>62.8</v>
      </c>
      <c r="E5921" s="705">
        <f t="shared" si="186"/>
        <v>17.111111111111111</v>
      </c>
    </row>
    <row r="5922" spans="2:5">
      <c r="B5922" s="943">
        <v>45169</v>
      </c>
      <c r="C5922" s="195">
        <f t="shared" si="185"/>
        <v>8</v>
      </c>
      <c r="D5922" s="195">
        <v>64.2</v>
      </c>
      <c r="E5922" s="705">
        <f t="shared" si="186"/>
        <v>17.888888888888889</v>
      </c>
    </row>
    <row r="5923" spans="2:5">
      <c r="B5923" s="943">
        <v>45169</v>
      </c>
      <c r="C5923" s="195">
        <f t="shared" si="185"/>
        <v>8</v>
      </c>
      <c r="D5923" s="195">
        <v>65.3</v>
      </c>
      <c r="E5923" s="705">
        <f t="shared" si="186"/>
        <v>18.499999999999996</v>
      </c>
    </row>
    <row r="5924" spans="2:5">
      <c r="B5924" s="943">
        <v>45169</v>
      </c>
      <c r="C5924" s="195">
        <f t="shared" si="185"/>
        <v>8</v>
      </c>
      <c r="D5924" s="195" t="s">
        <v>1445</v>
      </c>
      <c r="E5924" s="705">
        <f t="shared" si="186"/>
        <v>18.888888888888889</v>
      </c>
    </row>
    <row r="5925" spans="2:5">
      <c r="B5925" s="943">
        <v>45169</v>
      </c>
      <c r="C5925" s="195">
        <f t="shared" si="185"/>
        <v>8</v>
      </c>
      <c r="D5925" s="195">
        <v>66.599999999999994</v>
      </c>
      <c r="E5925" s="705">
        <f t="shared" si="186"/>
        <v>19.222222222222218</v>
      </c>
    </row>
    <row r="5926" spans="2:5">
      <c r="B5926" s="943">
        <v>45169</v>
      </c>
      <c r="C5926" s="195">
        <f t="shared" si="185"/>
        <v>8</v>
      </c>
      <c r="D5926" s="195">
        <v>66.400000000000006</v>
      </c>
      <c r="E5926" s="705">
        <f t="shared" si="186"/>
        <v>19.111111111111114</v>
      </c>
    </row>
    <row r="5927" spans="2:5">
      <c r="B5927" s="943">
        <v>45169</v>
      </c>
      <c r="C5927" s="195">
        <f t="shared" si="185"/>
        <v>8</v>
      </c>
      <c r="D5927" s="195">
        <v>64.599999999999994</v>
      </c>
      <c r="E5927" s="705">
        <f t="shared" si="186"/>
        <v>18.111111111111107</v>
      </c>
    </row>
    <row r="5928" spans="2:5">
      <c r="B5928" s="943">
        <v>45169</v>
      </c>
      <c r="C5928" s="195">
        <f t="shared" si="185"/>
        <v>8</v>
      </c>
      <c r="D5928" s="195">
        <v>62.8</v>
      </c>
      <c r="E5928" s="705">
        <f t="shared" si="186"/>
        <v>17.111111111111111</v>
      </c>
    </row>
    <row r="5929" spans="2:5">
      <c r="B5929" s="943">
        <v>45169</v>
      </c>
      <c r="C5929" s="195">
        <f t="shared" si="185"/>
        <v>8</v>
      </c>
      <c r="D5929" s="195">
        <v>59.9</v>
      </c>
      <c r="E5929" s="705">
        <f t="shared" si="186"/>
        <v>15.499999999999998</v>
      </c>
    </row>
    <row r="5930" spans="2:5">
      <c r="B5930" s="943">
        <v>45169</v>
      </c>
      <c r="C5930" s="195">
        <f t="shared" si="185"/>
        <v>8</v>
      </c>
      <c r="D5930" s="195">
        <v>58.8</v>
      </c>
      <c r="E5930" s="705">
        <f t="shared" si="186"/>
        <v>14.888888888888888</v>
      </c>
    </row>
    <row r="5931" spans="2:5">
      <c r="B5931" s="943">
        <v>45169</v>
      </c>
      <c r="C5931" s="195">
        <f t="shared" si="185"/>
        <v>8</v>
      </c>
      <c r="D5931" s="195" t="s">
        <v>1441</v>
      </c>
      <c r="E5931" s="705">
        <f t="shared" si="186"/>
        <v>15</v>
      </c>
    </row>
    <row r="5932" spans="2:5">
      <c r="B5932" s="943">
        <v>45169</v>
      </c>
      <c r="C5932" s="195">
        <f t="shared" si="185"/>
        <v>8</v>
      </c>
      <c r="D5932" s="195">
        <v>59.5</v>
      </c>
      <c r="E5932" s="705">
        <f t="shared" si="186"/>
        <v>15.277777777777777</v>
      </c>
    </row>
    <row r="5933" spans="2:5">
      <c r="B5933" s="943">
        <v>45169</v>
      </c>
      <c r="C5933" s="195">
        <f t="shared" si="185"/>
        <v>8</v>
      </c>
      <c r="D5933" s="195">
        <v>60.4</v>
      </c>
      <c r="E5933" s="705">
        <f t="shared" si="186"/>
        <v>15.777777777777777</v>
      </c>
    </row>
    <row r="5934" spans="2:5">
      <c r="B5934" s="943">
        <v>45169</v>
      </c>
      <c r="C5934" s="195">
        <f t="shared" si="185"/>
        <v>8</v>
      </c>
      <c r="D5934" s="195">
        <v>62.8</v>
      </c>
      <c r="E5934" s="705">
        <f t="shared" si="186"/>
        <v>17.111111111111111</v>
      </c>
    </row>
    <row r="5935" spans="2:5">
      <c r="B5935" s="943">
        <v>45169</v>
      </c>
      <c r="C5935" s="195">
        <f t="shared" si="185"/>
        <v>8</v>
      </c>
      <c r="D5935" s="195">
        <v>64.8</v>
      </c>
      <c r="E5935" s="705">
        <f t="shared" si="186"/>
        <v>18.222222222222221</v>
      </c>
    </row>
    <row r="5936" spans="2:5">
      <c r="B5936" s="943">
        <v>45169</v>
      </c>
      <c r="C5936" s="195">
        <f t="shared" si="185"/>
        <v>8</v>
      </c>
      <c r="D5936" s="195" t="s">
        <v>1445</v>
      </c>
      <c r="E5936" s="705">
        <f t="shared" si="186"/>
        <v>18.888888888888889</v>
      </c>
    </row>
    <row r="5937" spans="2:5">
      <c r="B5937" s="943">
        <v>45170</v>
      </c>
      <c r="C5937" s="195">
        <f t="shared" si="185"/>
        <v>9</v>
      </c>
      <c r="D5937" s="195">
        <v>66.7</v>
      </c>
      <c r="E5937" s="705">
        <f t="shared" si="186"/>
        <v>19.277777777777779</v>
      </c>
    </row>
    <row r="5938" spans="2:5">
      <c r="B5938" s="943">
        <v>45170</v>
      </c>
      <c r="C5938" s="195">
        <f t="shared" si="185"/>
        <v>9</v>
      </c>
      <c r="D5938" s="195">
        <v>66.599999999999994</v>
      </c>
      <c r="E5938" s="705">
        <f t="shared" si="186"/>
        <v>19.222222222222218</v>
      </c>
    </row>
    <row r="5939" spans="2:5">
      <c r="B5939" s="943">
        <v>45170</v>
      </c>
      <c r="C5939" s="195">
        <f t="shared" si="185"/>
        <v>9</v>
      </c>
      <c r="D5939" s="195">
        <v>64.2</v>
      </c>
      <c r="E5939" s="705">
        <f t="shared" si="186"/>
        <v>17.888888888888889</v>
      </c>
    </row>
    <row r="5940" spans="2:5">
      <c r="B5940" s="943">
        <v>45170</v>
      </c>
      <c r="C5940" s="195">
        <f t="shared" si="185"/>
        <v>9</v>
      </c>
      <c r="D5940" s="195">
        <v>63.3</v>
      </c>
      <c r="E5940" s="705">
        <f t="shared" si="186"/>
        <v>17.388888888888886</v>
      </c>
    </row>
    <row r="5941" spans="2:5">
      <c r="B5941" s="943">
        <v>45170</v>
      </c>
      <c r="C5941" s="195">
        <f t="shared" si="185"/>
        <v>9</v>
      </c>
      <c r="D5941" s="195">
        <v>62.6</v>
      </c>
      <c r="E5941" s="705">
        <f t="shared" si="186"/>
        <v>17</v>
      </c>
    </row>
    <row r="5942" spans="2:5">
      <c r="B5942" s="943">
        <v>45170</v>
      </c>
      <c r="C5942" s="195">
        <f t="shared" si="185"/>
        <v>9</v>
      </c>
      <c r="D5942" s="195">
        <v>61.9</v>
      </c>
      <c r="E5942" s="705">
        <f t="shared" si="186"/>
        <v>16.611111111111111</v>
      </c>
    </row>
    <row r="5943" spans="2:5">
      <c r="B5943" s="943">
        <v>45170</v>
      </c>
      <c r="C5943" s="195">
        <f t="shared" si="185"/>
        <v>9</v>
      </c>
      <c r="D5943" s="195">
        <v>61.9</v>
      </c>
      <c r="E5943" s="705">
        <f t="shared" si="186"/>
        <v>16.611111111111111</v>
      </c>
    </row>
    <row r="5944" spans="2:5">
      <c r="B5944" s="943">
        <v>45170</v>
      </c>
      <c r="C5944" s="195">
        <f t="shared" si="185"/>
        <v>9</v>
      </c>
      <c r="D5944" s="195">
        <v>62.4</v>
      </c>
      <c r="E5944" s="705">
        <f t="shared" si="186"/>
        <v>16.888888888888889</v>
      </c>
    </row>
    <row r="5945" spans="2:5">
      <c r="B5945" s="943">
        <v>45170</v>
      </c>
      <c r="C5945" s="195">
        <f t="shared" si="185"/>
        <v>9</v>
      </c>
      <c r="D5945" s="195">
        <v>62.4</v>
      </c>
      <c r="E5945" s="705">
        <f t="shared" si="186"/>
        <v>16.888888888888889</v>
      </c>
    </row>
    <row r="5946" spans="2:5">
      <c r="B5946" s="943">
        <v>45170</v>
      </c>
      <c r="C5946" s="195">
        <f t="shared" si="185"/>
        <v>9</v>
      </c>
      <c r="D5946" s="195" t="s">
        <v>1443</v>
      </c>
      <c r="E5946" s="705">
        <f t="shared" si="186"/>
        <v>17.222222222222221</v>
      </c>
    </row>
    <row r="5947" spans="2:5">
      <c r="B5947" s="943">
        <v>45170</v>
      </c>
      <c r="C5947" s="195">
        <f t="shared" si="185"/>
        <v>9</v>
      </c>
      <c r="D5947" s="195">
        <v>63.9</v>
      </c>
      <c r="E5947" s="705">
        <f t="shared" si="186"/>
        <v>17.722222222222221</v>
      </c>
    </row>
    <row r="5948" spans="2:5">
      <c r="B5948" s="943">
        <v>45170</v>
      </c>
      <c r="C5948" s="195">
        <f t="shared" si="185"/>
        <v>9</v>
      </c>
      <c r="D5948" s="195">
        <v>64.8</v>
      </c>
      <c r="E5948" s="705">
        <f t="shared" si="186"/>
        <v>18.222222222222221</v>
      </c>
    </row>
    <row r="5949" spans="2:5">
      <c r="B5949" s="943">
        <v>45170</v>
      </c>
      <c r="C5949" s="195">
        <f t="shared" si="185"/>
        <v>9</v>
      </c>
      <c r="D5949" s="195">
        <v>65.5</v>
      </c>
      <c r="E5949" s="705">
        <f t="shared" si="186"/>
        <v>18.611111111111111</v>
      </c>
    </row>
    <row r="5950" spans="2:5">
      <c r="B5950" s="943">
        <v>45170</v>
      </c>
      <c r="C5950" s="195">
        <f t="shared" si="185"/>
        <v>9</v>
      </c>
      <c r="D5950" s="195" t="s">
        <v>1445</v>
      </c>
      <c r="E5950" s="705">
        <f t="shared" si="186"/>
        <v>18.888888888888889</v>
      </c>
    </row>
    <row r="5951" spans="2:5">
      <c r="B5951" s="943">
        <v>45170</v>
      </c>
      <c r="C5951" s="195">
        <f t="shared" si="185"/>
        <v>9</v>
      </c>
      <c r="D5951" s="195">
        <v>65.7</v>
      </c>
      <c r="E5951" s="705">
        <f t="shared" si="186"/>
        <v>18.722222222222225</v>
      </c>
    </row>
    <row r="5952" spans="2:5">
      <c r="B5952" s="943">
        <v>45170</v>
      </c>
      <c r="C5952" s="195">
        <f t="shared" si="185"/>
        <v>9</v>
      </c>
      <c r="D5952" s="195">
        <v>64.2</v>
      </c>
      <c r="E5952" s="705">
        <f t="shared" si="186"/>
        <v>17.888888888888889</v>
      </c>
    </row>
    <row r="5953" spans="2:5">
      <c r="B5953" s="943">
        <v>45170</v>
      </c>
      <c r="C5953" s="195">
        <f t="shared" si="185"/>
        <v>9</v>
      </c>
      <c r="D5953" s="195">
        <v>63.3</v>
      </c>
      <c r="E5953" s="705">
        <f t="shared" si="186"/>
        <v>17.388888888888886</v>
      </c>
    </row>
    <row r="5954" spans="2:5">
      <c r="B5954" s="943">
        <v>45170</v>
      </c>
      <c r="C5954" s="195">
        <f t="shared" si="185"/>
        <v>9</v>
      </c>
      <c r="D5954" s="195">
        <v>63.3</v>
      </c>
      <c r="E5954" s="705">
        <f t="shared" si="186"/>
        <v>17.388888888888886</v>
      </c>
    </row>
    <row r="5955" spans="2:5">
      <c r="B5955" s="943">
        <v>45170</v>
      </c>
      <c r="C5955" s="195">
        <f t="shared" si="185"/>
        <v>9</v>
      </c>
      <c r="D5955" s="195">
        <v>63.3</v>
      </c>
      <c r="E5955" s="705">
        <f t="shared" si="186"/>
        <v>17.388888888888886</v>
      </c>
    </row>
    <row r="5956" spans="2:5">
      <c r="B5956" s="943">
        <v>45170</v>
      </c>
      <c r="C5956" s="195">
        <f t="shared" si="185"/>
        <v>9</v>
      </c>
      <c r="D5956" s="195">
        <v>63.7</v>
      </c>
      <c r="E5956" s="705">
        <f t="shared" si="186"/>
        <v>17.611111111111111</v>
      </c>
    </row>
    <row r="5957" spans="2:5">
      <c r="B5957" s="943">
        <v>45170</v>
      </c>
      <c r="C5957" s="195">
        <f t="shared" si="185"/>
        <v>9</v>
      </c>
      <c r="D5957" s="195" t="s">
        <v>1444</v>
      </c>
      <c r="E5957" s="705">
        <f t="shared" si="186"/>
        <v>17.777777777777779</v>
      </c>
    </row>
    <row r="5958" spans="2:5">
      <c r="B5958" s="943">
        <v>45170</v>
      </c>
      <c r="C5958" s="195">
        <f t="shared" si="185"/>
        <v>9</v>
      </c>
      <c r="D5958" s="195" t="s">
        <v>1444</v>
      </c>
      <c r="E5958" s="705">
        <f t="shared" si="186"/>
        <v>17.777777777777779</v>
      </c>
    </row>
    <row r="5959" spans="2:5">
      <c r="B5959" s="943">
        <v>45170</v>
      </c>
      <c r="C5959" s="195">
        <f t="shared" si="185"/>
        <v>9</v>
      </c>
      <c r="D5959" s="195">
        <v>64.900000000000006</v>
      </c>
      <c r="E5959" s="705">
        <f t="shared" si="186"/>
        <v>18.277777777777782</v>
      </c>
    </row>
    <row r="5960" spans="2:5">
      <c r="B5960" s="943">
        <v>45170</v>
      </c>
      <c r="C5960" s="195">
        <f t="shared" si="185"/>
        <v>9</v>
      </c>
      <c r="D5960" s="195">
        <v>65.5</v>
      </c>
      <c r="E5960" s="705">
        <f t="shared" si="186"/>
        <v>18.611111111111111</v>
      </c>
    </row>
    <row r="5961" spans="2:5">
      <c r="B5961" s="943">
        <v>45171</v>
      </c>
      <c r="C5961" s="195">
        <f t="shared" si="185"/>
        <v>9</v>
      </c>
      <c r="D5961" s="195">
        <v>66.2</v>
      </c>
      <c r="E5961" s="705">
        <f t="shared" si="186"/>
        <v>19</v>
      </c>
    </row>
    <row r="5962" spans="2:5">
      <c r="B5962" s="943">
        <v>45171</v>
      </c>
      <c r="C5962" s="195">
        <f t="shared" ref="C5962:C6025" si="187">MONTH(B5962)</f>
        <v>9</v>
      </c>
      <c r="D5962" s="195">
        <v>66.7</v>
      </c>
      <c r="E5962" s="705">
        <f t="shared" ref="E5962:E6025" si="188">CONVERT(D5962,"F","C")</f>
        <v>19.277777777777779</v>
      </c>
    </row>
    <row r="5963" spans="2:5">
      <c r="B5963" s="943">
        <v>45171</v>
      </c>
      <c r="C5963" s="195">
        <f t="shared" si="187"/>
        <v>9</v>
      </c>
      <c r="D5963" s="195">
        <v>66.599999999999994</v>
      </c>
      <c r="E5963" s="705">
        <f t="shared" si="188"/>
        <v>19.222222222222218</v>
      </c>
    </row>
    <row r="5964" spans="2:5">
      <c r="B5964" s="943">
        <v>45171</v>
      </c>
      <c r="C5964" s="195">
        <f t="shared" si="187"/>
        <v>9</v>
      </c>
      <c r="D5964" s="195">
        <v>65.7</v>
      </c>
      <c r="E5964" s="705">
        <f t="shared" si="188"/>
        <v>18.722222222222225</v>
      </c>
    </row>
    <row r="5965" spans="2:5">
      <c r="B5965" s="943">
        <v>45171</v>
      </c>
      <c r="C5965" s="195">
        <f t="shared" si="187"/>
        <v>9</v>
      </c>
      <c r="D5965" s="195">
        <v>64.599999999999994</v>
      </c>
      <c r="E5965" s="705">
        <f t="shared" si="188"/>
        <v>18.111111111111107</v>
      </c>
    </row>
    <row r="5966" spans="2:5">
      <c r="B5966" s="943">
        <v>45171</v>
      </c>
      <c r="C5966" s="195">
        <f t="shared" si="187"/>
        <v>9</v>
      </c>
      <c r="D5966" s="195">
        <v>63.5</v>
      </c>
      <c r="E5966" s="705">
        <f t="shared" si="188"/>
        <v>17.5</v>
      </c>
    </row>
    <row r="5967" spans="2:5">
      <c r="B5967" s="943">
        <v>45171</v>
      </c>
      <c r="C5967" s="195">
        <f t="shared" si="187"/>
        <v>9</v>
      </c>
      <c r="D5967" s="195">
        <v>62.8</v>
      </c>
      <c r="E5967" s="705">
        <f t="shared" si="188"/>
        <v>17.111111111111111</v>
      </c>
    </row>
    <row r="5968" spans="2:5">
      <c r="B5968" s="943">
        <v>45171</v>
      </c>
      <c r="C5968" s="195">
        <f t="shared" si="187"/>
        <v>9</v>
      </c>
      <c r="D5968" s="195">
        <v>62.8</v>
      </c>
      <c r="E5968" s="705">
        <f t="shared" si="188"/>
        <v>17.111111111111111</v>
      </c>
    </row>
    <row r="5969" spans="2:5">
      <c r="B5969" s="943">
        <v>45171</v>
      </c>
      <c r="C5969" s="195">
        <f t="shared" si="187"/>
        <v>9</v>
      </c>
      <c r="D5969" s="195">
        <v>63.1</v>
      </c>
      <c r="E5969" s="705">
        <f t="shared" si="188"/>
        <v>17.277777777777779</v>
      </c>
    </row>
    <row r="5970" spans="2:5">
      <c r="B5970" s="943">
        <v>45171</v>
      </c>
      <c r="C5970" s="195">
        <f t="shared" si="187"/>
        <v>9</v>
      </c>
      <c r="D5970" s="195">
        <v>63.3</v>
      </c>
      <c r="E5970" s="705">
        <f t="shared" si="188"/>
        <v>17.388888888888886</v>
      </c>
    </row>
    <row r="5971" spans="2:5">
      <c r="B5971" s="943">
        <v>45171</v>
      </c>
      <c r="C5971" s="195">
        <f t="shared" si="187"/>
        <v>9</v>
      </c>
      <c r="D5971" s="195">
        <v>63.9</v>
      </c>
      <c r="E5971" s="705">
        <f t="shared" si="188"/>
        <v>17.722222222222221</v>
      </c>
    </row>
    <row r="5972" spans="2:5">
      <c r="B5972" s="943">
        <v>45171</v>
      </c>
      <c r="C5972" s="195">
        <f t="shared" si="187"/>
        <v>9</v>
      </c>
      <c r="D5972" s="195">
        <v>64.8</v>
      </c>
      <c r="E5972" s="705">
        <f t="shared" si="188"/>
        <v>18.222222222222221</v>
      </c>
    </row>
    <row r="5973" spans="2:5">
      <c r="B5973" s="943">
        <v>45171</v>
      </c>
      <c r="C5973" s="195">
        <f t="shared" si="187"/>
        <v>9</v>
      </c>
      <c r="D5973" s="195">
        <v>65.5</v>
      </c>
      <c r="E5973" s="705">
        <f t="shared" si="188"/>
        <v>18.611111111111111</v>
      </c>
    </row>
    <row r="5974" spans="2:5">
      <c r="B5974" s="943">
        <v>45171</v>
      </c>
      <c r="C5974" s="195">
        <f t="shared" si="187"/>
        <v>9</v>
      </c>
      <c r="D5974" s="195" t="s">
        <v>1445</v>
      </c>
      <c r="E5974" s="705">
        <f t="shared" si="188"/>
        <v>18.888888888888889</v>
      </c>
    </row>
    <row r="5975" spans="2:5">
      <c r="B5975" s="943">
        <v>45171</v>
      </c>
      <c r="C5975" s="195">
        <f t="shared" si="187"/>
        <v>9</v>
      </c>
      <c r="D5975" s="195">
        <v>66.599999999999994</v>
      </c>
      <c r="E5975" s="705">
        <f t="shared" si="188"/>
        <v>19.222222222222218</v>
      </c>
    </row>
    <row r="5976" spans="2:5">
      <c r="B5976" s="943">
        <v>45171</v>
      </c>
      <c r="C5976" s="195">
        <f t="shared" si="187"/>
        <v>9</v>
      </c>
      <c r="D5976" s="195">
        <v>65.8</v>
      </c>
      <c r="E5976" s="705">
        <f t="shared" si="188"/>
        <v>18.777777777777775</v>
      </c>
    </row>
    <row r="5977" spans="2:5">
      <c r="B5977" s="943">
        <v>45171</v>
      </c>
      <c r="C5977" s="195">
        <f t="shared" si="187"/>
        <v>9</v>
      </c>
      <c r="D5977" s="195">
        <v>64.599999999999994</v>
      </c>
      <c r="E5977" s="705">
        <f t="shared" si="188"/>
        <v>18.111111111111107</v>
      </c>
    </row>
    <row r="5978" spans="2:5">
      <c r="B5978" s="943">
        <v>45171</v>
      </c>
      <c r="C5978" s="195">
        <f t="shared" si="187"/>
        <v>9</v>
      </c>
      <c r="D5978" s="195">
        <v>62.6</v>
      </c>
      <c r="E5978" s="705">
        <f t="shared" si="188"/>
        <v>17</v>
      </c>
    </row>
    <row r="5979" spans="2:5">
      <c r="B5979" s="943">
        <v>45171</v>
      </c>
      <c r="C5979" s="195">
        <f t="shared" si="187"/>
        <v>9</v>
      </c>
      <c r="D5979" s="195">
        <v>61.3</v>
      </c>
      <c r="E5979" s="705">
        <f t="shared" si="188"/>
        <v>16.277777777777775</v>
      </c>
    </row>
    <row r="5980" spans="2:5">
      <c r="B5980" s="943">
        <v>45171</v>
      </c>
      <c r="C5980" s="195">
        <f t="shared" si="187"/>
        <v>9</v>
      </c>
      <c r="D5980" s="195">
        <v>61.2</v>
      </c>
      <c r="E5980" s="705">
        <f t="shared" si="188"/>
        <v>16.222222222222225</v>
      </c>
    </row>
    <row r="5981" spans="2:5">
      <c r="B5981" s="943">
        <v>45171</v>
      </c>
      <c r="C5981" s="195">
        <f t="shared" si="187"/>
        <v>9</v>
      </c>
      <c r="D5981" s="195">
        <v>61.5</v>
      </c>
      <c r="E5981" s="705">
        <f t="shared" si="188"/>
        <v>16.388888888888889</v>
      </c>
    </row>
    <row r="5982" spans="2:5">
      <c r="B5982" s="943">
        <v>45171</v>
      </c>
      <c r="C5982" s="195">
        <f t="shared" si="187"/>
        <v>9</v>
      </c>
      <c r="D5982" s="195">
        <v>61.9</v>
      </c>
      <c r="E5982" s="705">
        <f t="shared" si="188"/>
        <v>16.611111111111111</v>
      </c>
    </row>
    <row r="5983" spans="2:5">
      <c r="B5983" s="943">
        <v>45171</v>
      </c>
      <c r="C5983" s="195">
        <f t="shared" si="187"/>
        <v>9</v>
      </c>
      <c r="D5983" s="195">
        <v>62.6</v>
      </c>
      <c r="E5983" s="705">
        <f t="shared" si="188"/>
        <v>17</v>
      </c>
    </row>
    <row r="5984" spans="2:5">
      <c r="B5984" s="943">
        <v>45171</v>
      </c>
      <c r="C5984" s="195">
        <f t="shared" si="187"/>
        <v>9</v>
      </c>
      <c r="D5984" s="195">
        <v>64.2</v>
      </c>
      <c r="E5984" s="705">
        <f t="shared" si="188"/>
        <v>17.888888888888889</v>
      </c>
    </row>
    <row r="5985" spans="2:5">
      <c r="B5985" s="943">
        <v>45172</v>
      </c>
      <c r="C5985" s="195">
        <f t="shared" si="187"/>
        <v>9</v>
      </c>
      <c r="D5985" s="195">
        <v>65.3</v>
      </c>
      <c r="E5985" s="705">
        <f t="shared" si="188"/>
        <v>18.499999999999996</v>
      </c>
    </row>
    <row r="5986" spans="2:5">
      <c r="B5986" s="943">
        <v>45172</v>
      </c>
      <c r="C5986" s="195">
        <f t="shared" si="187"/>
        <v>9</v>
      </c>
      <c r="D5986" s="195">
        <v>66.2</v>
      </c>
      <c r="E5986" s="705">
        <f t="shared" si="188"/>
        <v>19</v>
      </c>
    </row>
    <row r="5987" spans="2:5">
      <c r="B5987" s="943">
        <v>45172</v>
      </c>
      <c r="C5987" s="195">
        <f t="shared" si="187"/>
        <v>9</v>
      </c>
      <c r="D5987" s="195">
        <v>66.7</v>
      </c>
      <c r="E5987" s="705">
        <f t="shared" si="188"/>
        <v>19.277777777777779</v>
      </c>
    </row>
    <row r="5988" spans="2:5">
      <c r="B5988" s="943">
        <v>45172</v>
      </c>
      <c r="C5988" s="195">
        <f t="shared" si="187"/>
        <v>9</v>
      </c>
      <c r="D5988" s="195">
        <v>66.599999999999994</v>
      </c>
      <c r="E5988" s="705">
        <f t="shared" si="188"/>
        <v>19.222222222222218</v>
      </c>
    </row>
    <row r="5989" spans="2:5">
      <c r="B5989" s="943">
        <v>45172</v>
      </c>
      <c r="C5989" s="195">
        <f t="shared" si="187"/>
        <v>9</v>
      </c>
      <c r="D5989" s="195">
        <v>64.900000000000006</v>
      </c>
      <c r="E5989" s="705">
        <f t="shared" si="188"/>
        <v>18.277777777777782</v>
      </c>
    </row>
    <row r="5990" spans="2:5">
      <c r="B5990" s="943">
        <v>45172</v>
      </c>
      <c r="C5990" s="195">
        <f t="shared" si="187"/>
        <v>9</v>
      </c>
      <c r="D5990" s="195">
        <v>63.9</v>
      </c>
      <c r="E5990" s="705">
        <f t="shared" si="188"/>
        <v>17.722222222222221</v>
      </c>
    </row>
    <row r="5991" spans="2:5">
      <c r="B5991" s="943">
        <v>45172</v>
      </c>
      <c r="C5991" s="195">
        <f t="shared" si="187"/>
        <v>9</v>
      </c>
      <c r="D5991" s="195">
        <v>61.7</v>
      </c>
      <c r="E5991" s="705">
        <f t="shared" si="188"/>
        <v>16.5</v>
      </c>
    </row>
    <row r="5992" spans="2:5">
      <c r="B5992" s="943">
        <v>45172</v>
      </c>
      <c r="C5992" s="195">
        <f t="shared" si="187"/>
        <v>9</v>
      </c>
      <c r="D5992" s="195">
        <v>60.8</v>
      </c>
      <c r="E5992" s="705">
        <f t="shared" si="188"/>
        <v>15.999999999999998</v>
      </c>
    </row>
    <row r="5993" spans="2:5">
      <c r="B5993" s="943">
        <v>45172</v>
      </c>
      <c r="C5993" s="195">
        <f t="shared" si="187"/>
        <v>9</v>
      </c>
      <c r="D5993" s="195">
        <v>60.6</v>
      </c>
      <c r="E5993" s="705">
        <f t="shared" si="188"/>
        <v>15.888888888888889</v>
      </c>
    </row>
    <row r="5994" spans="2:5">
      <c r="B5994" s="943">
        <v>45172</v>
      </c>
      <c r="C5994" s="195">
        <f t="shared" si="187"/>
        <v>9</v>
      </c>
      <c r="D5994" s="195" t="s">
        <v>1442</v>
      </c>
      <c r="E5994" s="705">
        <f t="shared" si="188"/>
        <v>16.111111111111111</v>
      </c>
    </row>
    <row r="5995" spans="2:5">
      <c r="B5995" s="943">
        <v>45172</v>
      </c>
      <c r="C5995" s="195">
        <f t="shared" si="187"/>
        <v>9</v>
      </c>
      <c r="D5995" s="195">
        <v>61.5</v>
      </c>
      <c r="E5995" s="705">
        <f t="shared" si="188"/>
        <v>16.388888888888889</v>
      </c>
    </row>
    <row r="5996" spans="2:5">
      <c r="B5996" s="943">
        <v>45172</v>
      </c>
      <c r="C5996" s="195">
        <f t="shared" si="187"/>
        <v>9</v>
      </c>
      <c r="D5996" s="195">
        <v>62.8</v>
      </c>
      <c r="E5996" s="705">
        <f t="shared" si="188"/>
        <v>17.111111111111111</v>
      </c>
    </row>
    <row r="5997" spans="2:5">
      <c r="B5997" s="943">
        <v>45172</v>
      </c>
      <c r="C5997" s="195">
        <f t="shared" si="187"/>
        <v>9</v>
      </c>
      <c r="D5997" s="195">
        <v>64.400000000000006</v>
      </c>
      <c r="E5997" s="705">
        <f t="shared" si="188"/>
        <v>18.000000000000004</v>
      </c>
    </row>
    <row r="5998" spans="2:5">
      <c r="B5998" s="943">
        <v>45172</v>
      </c>
      <c r="C5998" s="195">
        <f t="shared" si="187"/>
        <v>9</v>
      </c>
      <c r="D5998" s="195">
        <v>65.3</v>
      </c>
      <c r="E5998" s="705">
        <f t="shared" si="188"/>
        <v>18.499999999999996</v>
      </c>
    </row>
    <row r="5999" spans="2:5">
      <c r="B5999" s="943">
        <v>45172</v>
      </c>
      <c r="C5999" s="195">
        <f t="shared" si="187"/>
        <v>9</v>
      </c>
      <c r="D5999" s="195" t="s">
        <v>1445</v>
      </c>
      <c r="E5999" s="705">
        <f t="shared" si="188"/>
        <v>18.888888888888889</v>
      </c>
    </row>
    <row r="6000" spans="2:5">
      <c r="B6000" s="943">
        <v>45172</v>
      </c>
      <c r="C6000" s="195">
        <f t="shared" si="187"/>
        <v>9</v>
      </c>
      <c r="D6000" s="195">
        <v>66.400000000000006</v>
      </c>
      <c r="E6000" s="705">
        <f t="shared" si="188"/>
        <v>19.111111111111114</v>
      </c>
    </row>
    <row r="6001" spans="2:5">
      <c r="B6001" s="943">
        <v>45172</v>
      </c>
      <c r="C6001" s="195">
        <f t="shared" si="187"/>
        <v>9</v>
      </c>
      <c r="D6001" s="195">
        <v>64.8</v>
      </c>
      <c r="E6001" s="705">
        <f t="shared" si="188"/>
        <v>18.222222222222221</v>
      </c>
    </row>
    <row r="6002" spans="2:5">
      <c r="B6002" s="943">
        <v>45172</v>
      </c>
      <c r="C6002" s="195">
        <f t="shared" si="187"/>
        <v>9</v>
      </c>
      <c r="D6002" s="195">
        <v>62.8</v>
      </c>
      <c r="E6002" s="705">
        <f t="shared" si="188"/>
        <v>17.111111111111111</v>
      </c>
    </row>
    <row r="6003" spans="2:5">
      <c r="B6003" s="943">
        <v>45172</v>
      </c>
      <c r="C6003" s="195">
        <f t="shared" si="187"/>
        <v>9</v>
      </c>
      <c r="D6003" s="195">
        <v>60.1</v>
      </c>
      <c r="E6003" s="705">
        <f t="shared" si="188"/>
        <v>15.611111111111111</v>
      </c>
    </row>
    <row r="6004" spans="2:5">
      <c r="B6004" s="943">
        <v>45172</v>
      </c>
      <c r="C6004" s="195">
        <f t="shared" si="187"/>
        <v>9</v>
      </c>
      <c r="D6004" s="195" t="s">
        <v>1441</v>
      </c>
      <c r="E6004" s="705">
        <f t="shared" si="188"/>
        <v>15</v>
      </c>
    </row>
    <row r="6005" spans="2:5">
      <c r="B6005" s="943">
        <v>45172</v>
      </c>
      <c r="C6005" s="195">
        <f t="shared" si="187"/>
        <v>9</v>
      </c>
      <c r="D6005" s="195">
        <v>58.8</v>
      </c>
      <c r="E6005" s="705">
        <f t="shared" si="188"/>
        <v>14.888888888888888</v>
      </c>
    </row>
    <row r="6006" spans="2:5">
      <c r="B6006" s="943">
        <v>45172</v>
      </c>
      <c r="C6006" s="195">
        <f t="shared" si="187"/>
        <v>9</v>
      </c>
      <c r="D6006" s="195">
        <v>60.3</v>
      </c>
      <c r="E6006" s="705">
        <f t="shared" si="188"/>
        <v>15.72222222222222</v>
      </c>
    </row>
    <row r="6007" spans="2:5">
      <c r="B6007" s="943">
        <v>45172</v>
      </c>
      <c r="C6007" s="195">
        <f t="shared" si="187"/>
        <v>9</v>
      </c>
      <c r="D6007" s="195">
        <v>59.7</v>
      </c>
      <c r="E6007" s="705">
        <f t="shared" si="188"/>
        <v>15.388888888888889</v>
      </c>
    </row>
    <row r="6008" spans="2:5">
      <c r="B6008" s="943">
        <v>45172</v>
      </c>
      <c r="C6008" s="195">
        <f t="shared" si="187"/>
        <v>9</v>
      </c>
      <c r="D6008" s="195">
        <v>61.2</v>
      </c>
      <c r="E6008" s="705">
        <f t="shared" si="188"/>
        <v>16.222222222222225</v>
      </c>
    </row>
    <row r="6009" spans="2:5">
      <c r="B6009" s="943">
        <v>45173</v>
      </c>
      <c r="C6009" s="195">
        <f t="shared" si="187"/>
        <v>9</v>
      </c>
      <c r="D6009" s="195">
        <v>63.3</v>
      </c>
      <c r="E6009" s="705">
        <f t="shared" si="188"/>
        <v>17.388888888888886</v>
      </c>
    </row>
    <row r="6010" spans="2:5">
      <c r="B6010" s="943">
        <v>45173</v>
      </c>
      <c r="C6010" s="195">
        <f t="shared" si="187"/>
        <v>9</v>
      </c>
      <c r="D6010" s="195">
        <v>64.8</v>
      </c>
      <c r="E6010" s="705">
        <f t="shared" si="188"/>
        <v>18.222222222222221</v>
      </c>
    </row>
    <row r="6011" spans="2:5">
      <c r="B6011" s="943">
        <v>45173</v>
      </c>
      <c r="C6011" s="195">
        <f t="shared" si="187"/>
        <v>9</v>
      </c>
      <c r="D6011" s="195" t="s">
        <v>1445</v>
      </c>
      <c r="E6011" s="705">
        <f t="shared" si="188"/>
        <v>18.888888888888889</v>
      </c>
    </row>
    <row r="6012" spans="2:5">
      <c r="B6012" s="943">
        <v>45173</v>
      </c>
      <c r="C6012" s="195">
        <f t="shared" si="187"/>
        <v>9</v>
      </c>
      <c r="D6012" s="195">
        <v>66.599999999999994</v>
      </c>
      <c r="E6012" s="705">
        <f t="shared" si="188"/>
        <v>19.222222222222218</v>
      </c>
    </row>
    <row r="6013" spans="2:5">
      <c r="B6013" s="943">
        <v>45173</v>
      </c>
      <c r="C6013" s="195">
        <f t="shared" si="187"/>
        <v>9</v>
      </c>
      <c r="D6013" s="195">
        <v>66.2</v>
      </c>
      <c r="E6013" s="705">
        <f t="shared" si="188"/>
        <v>19</v>
      </c>
    </row>
    <row r="6014" spans="2:5">
      <c r="B6014" s="943">
        <v>45173</v>
      </c>
      <c r="C6014" s="195">
        <f t="shared" si="187"/>
        <v>9</v>
      </c>
      <c r="D6014" s="195" t="s">
        <v>1444</v>
      </c>
      <c r="E6014" s="705">
        <f t="shared" si="188"/>
        <v>17.777777777777779</v>
      </c>
    </row>
    <row r="6015" spans="2:5">
      <c r="B6015" s="943">
        <v>45173</v>
      </c>
      <c r="C6015" s="195">
        <f t="shared" si="187"/>
        <v>9</v>
      </c>
      <c r="D6015" s="195">
        <v>62.4</v>
      </c>
      <c r="E6015" s="705">
        <f t="shared" si="188"/>
        <v>16.888888888888889</v>
      </c>
    </row>
    <row r="6016" spans="2:5">
      <c r="B6016" s="943">
        <v>45173</v>
      </c>
      <c r="C6016" s="195">
        <f t="shared" si="187"/>
        <v>9</v>
      </c>
      <c r="D6016" s="195">
        <v>60.4</v>
      </c>
      <c r="E6016" s="705">
        <f t="shared" si="188"/>
        <v>15.777777777777777</v>
      </c>
    </row>
    <row r="6017" spans="2:5">
      <c r="B6017" s="943">
        <v>45173</v>
      </c>
      <c r="C6017" s="195">
        <f t="shared" si="187"/>
        <v>9</v>
      </c>
      <c r="D6017" s="195">
        <v>59.5</v>
      </c>
      <c r="E6017" s="705">
        <f t="shared" si="188"/>
        <v>15.277777777777777</v>
      </c>
    </row>
    <row r="6018" spans="2:5">
      <c r="B6018" s="943">
        <v>45173</v>
      </c>
      <c r="C6018" s="195">
        <f t="shared" si="187"/>
        <v>9</v>
      </c>
      <c r="D6018" s="195">
        <v>59.4</v>
      </c>
      <c r="E6018" s="705">
        <f t="shared" si="188"/>
        <v>15.222222222222221</v>
      </c>
    </row>
    <row r="6019" spans="2:5">
      <c r="B6019" s="943">
        <v>45173</v>
      </c>
      <c r="C6019" s="195">
        <f t="shared" si="187"/>
        <v>9</v>
      </c>
      <c r="D6019" s="195">
        <v>59.4</v>
      </c>
      <c r="E6019" s="705">
        <f t="shared" si="188"/>
        <v>15.222222222222221</v>
      </c>
    </row>
    <row r="6020" spans="2:5">
      <c r="B6020" s="943">
        <v>45173</v>
      </c>
      <c r="C6020" s="195">
        <f t="shared" si="187"/>
        <v>9</v>
      </c>
      <c r="D6020" s="195">
        <v>60.6</v>
      </c>
      <c r="E6020" s="705">
        <f t="shared" si="188"/>
        <v>15.888888888888889</v>
      </c>
    </row>
    <row r="6021" spans="2:5">
      <c r="B6021" s="943">
        <v>45173</v>
      </c>
      <c r="C6021" s="195">
        <f t="shared" si="187"/>
        <v>9</v>
      </c>
      <c r="D6021" s="195">
        <v>62.2</v>
      </c>
      <c r="E6021" s="705">
        <f t="shared" si="188"/>
        <v>16.777777777777779</v>
      </c>
    </row>
    <row r="6022" spans="2:5">
      <c r="B6022" s="943">
        <v>45173</v>
      </c>
      <c r="C6022" s="195">
        <f t="shared" si="187"/>
        <v>9</v>
      </c>
      <c r="D6022" s="195">
        <v>63.9</v>
      </c>
      <c r="E6022" s="705">
        <f t="shared" si="188"/>
        <v>17.722222222222221</v>
      </c>
    </row>
    <row r="6023" spans="2:5">
      <c r="B6023" s="943">
        <v>45173</v>
      </c>
      <c r="C6023" s="195">
        <f t="shared" si="187"/>
        <v>9</v>
      </c>
      <c r="D6023" s="195">
        <v>65.099999999999994</v>
      </c>
      <c r="E6023" s="705">
        <f t="shared" si="188"/>
        <v>18.388888888888886</v>
      </c>
    </row>
    <row r="6024" spans="2:5">
      <c r="B6024" s="943">
        <v>45173</v>
      </c>
      <c r="C6024" s="195">
        <f t="shared" si="187"/>
        <v>9</v>
      </c>
      <c r="D6024" s="195">
        <v>65.8</v>
      </c>
      <c r="E6024" s="705">
        <f t="shared" si="188"/>
        <v>18.777777777777775</v>
      </c>
    </row>
    <row r="6025" spans="2:5">
      <c r="B6025" s="943">
        <v>45173</v>
      </c>
      <c r="C6025" s="195">
        <f t="shared" si="187"/>
        <v>9</v>
      </c>
      <c r="D6025" s="195">
        <v>65.8</v>
      </c>
      <c r="E6025" s="705">
        <f t="shared" si="188"/>
        <v>18.777777777777775</v>
      </c>
    </row>
    <row r="6026" spans="2:5">
      <c r="B6026" s="943">
        <v>45173</v>
      </c>
      <c r="C6026" s="195">
        <f t="shared" ref="C6026:C6089" si="189">MONTH(B6026)</f>
        <v>9</v>
      </c>
      <c r="D6026" s="195">
        <v>63.5</v>
      </c>
      <c r="E6026" s="705">
        <f t="shared" ref="E6026:E6089" si="190">CONVERT(D6026,"F","C")</f>
        <v>17.5</v>
      </c>
    </row>
    <row r="6027" spans="2:5">
      <c r="B6027" s="943">
        <v>45173</v>
      </c>
      <c r="C6027" s="195">
        <f t="shared" si="189"/>
        <v>9</v>
      </c>
      <c r="D6027" s="195">
        <v>61.7</v>
      </c>
      <c r="E6027" s="705">
        <f t="shared" si="190"/>
        <v>16.5</v>
      </c>
    </row>
    <row r="6028" spans="2:5">
      <c r="B6028" s="943">
        <v>45173</v>
      </c>
      <c r="C6028" s="195">
        <f t="shared" si="189"/>
        <v>9</v>
      </c>
      <c r="D6028" s="195">
        <v>60.3</v>
      </c>
      <c r="E6028" s="705">
        <f t="shared" si="190"/>
        <v>15.72222222222222</v>
      </c>
    </row>
    <row r="6029" spans="2:5">
      <c r="B6029" s="943">
        <v>45173</v>
      </c>
      <c r="C6029" s="195">
        <f t="shared" si="189"/>
        <v>9</v>
      </c>
      <c r="D6029" s="195">
        <v>59.4</v>
      </c>
      <c r="E6029" s="705">
        <f t="shared" si="190"/>
        <v>15.222222222222221</v>
      </c>
    </row>
    <row r="6030" spans="2:5">
      <c r="B6030" s="943">
        <v>45173</v>
      </c>
      <c r="C6030" s="195">
        <f t="shared" si="189"/>
        <v>9</v>
      </c>
      <c r="D6030" s="195">
        <v>59.4</v>
      </c>
      <c r="E6030" s="705">
        <f t="shared" si="190"/>
        <v>15.222222222222221</v>
      </c>
    </row>
    <row r="6031" spans="2:5">
      <c r="B6031" s="943">
        <v>45173</v>
      </c>
      <c r="C6031" s="195">
        <f t="shared" si="189"/>
        <v>9</v>
      </c>
      <c r="D6031" s="195">
        <v>60.4</v>
      </c>
      <c r="E6031" s="705">
        <f t="shared" si="190"/>
        <v>15.777777777777777</v>
      </c>
    </row>
    <row r="6032" spans="2:5">
      <c r="B6032" s="943">
        <v>45173</v>
      </c>
      <c r="C6032" s="195">
        <f t="shared" si="189"/>
        <v>9</v>
      </c>
      <c r="D6032" s="195">
        <v>60.3</v>
      </c>
      <c r="E6032" s="705">
        <f t="shared" si="190"/>
        <v>15.72222222222222</v>
      </c>
    </row>
    <row r="6033" spans="2:5">
      <c r="B6033" s="943">
        <v>45170</v>
      </c>
      <c r="C6033" s="195">
        <f t="shared" si="189"/>
        <v>9</v>
      </c>
      <c r="D6033" s="195">
        <v>66.7</v>
      </c>
      <c r="E6033" s="705">
        <f t="shared" si="190"/>
        <v>19.277777777777779</v>
      </c>
    </row>
    <row r="6034" spans="2:5">
      <c r="B6034" s="943">
        <v>45170</v>
      </c>
      <c r="C6034" s="195">
        <f t="shared" si="189"/>
        <v>9</v>
      </c>
      <c r="D6034" s="195">
        <v>66.599999999999994</v>
      </c>
      <c r="E6034" s="705">
        <f t="shared" si="190"/>
        <v>19.222222222222218</v>
      </c>
    </row>
    <row r="6035" spans="2:5">
      <c r="B6035" s="943">
        <v>45170</v>
      </c>
      <c r="C6035" s="195">
        <f t="shared" si="189"/>
        <v>9</v>
      </c>
      <c r="D6035" s="195">
        <v>64.2</v>
      </c>
      <c r="E6035" s="705">
        <f t="shared" si="190"/>
        <v>17.888888888888889</v>
      </c>
    </row>
    <row r="6036" spans="2:5">
      <c r="B6036" s="943">
        <v>45170</v>
      </c>
      <c r="C6036" s="195">
        <f t="shared" si="189"/>
        <v>9</v>
      </c>
      <c r="D6036" s="195">
        <v>63.3</v>
      </c>
      <c r="E6036" s="705">
        <f t="shared" si="190"/>
        <v>17.388888888888886</v>
      </c>
    </row>
    <row r="6037" spans="2:5">
      <c r="B6037" s="943">
        <v>45170</v>
      </c>
      <c r="C6037" s="195">
        <f t="shared" si="189"/>
        <v>9</v>
      </c>
      <c r="D6037" s="195">
        <v>62.6</v>
      </c>
      <c r="E6037" s="705">
        <f t="shared" si="190"/>
        <v>17</v>
      </c>
    </row>
    <row r="6038" spans="2:5">
      <c r="B6038" s="943">
        <v>45170</v>
      </c>
      <c r="C6038" s="195">
        <f t="shared" si="189"/>
        <v>9</v>
      </c>
      <c r="D6038" s="195">
        <v>61.9</v>
      </c>
      <c r="E6038" s="705">
        <f t="shared" si="190"/>
        <v>16.611111111111111</v>
      </c>
    </row>
    <row r="6039" spans="2:5">
      <c r="B6039" s="943">
        <v>45170</v>
      </c>
      <c r="C6039" s="195">
        <f t="shared" si="189"/>
        <v>9</v>
      </c>
      <c r="D6039" s="195">
        <v>61.9</v>
      </c>
      <c r="E6039" s="705">
        <f t="shared" si="190"/>
        <v>16.611111111111111</v>
      </c>
    </row>
    <row r="6040" spans="2:5">
      <c r="B6040" s="943">
        <v>45170</v>
      </c>
      <c r="C6040" s="195">
        <f t="shared" si="189"/>
        <v>9</v>
      </c>
      <c r="D6040" s="195">
        <v>62.4</v>
      </c>
      <c r="E6040" s="705">
        <f t="shared" si="190"/>
        <v>16.888888888888889</v>
      </c>
    </row>
    <row r="6041" spans="2:5">
      <c r="B6041" s="943">
        <v>45170</v>
      </c>
      <c r="C6041" s="195">
        <f t="shared" si="189"/>
        <v>9</v>
      </c>
      <c r="D6041" s="195">
        <v>62.4</v>
      </c>
      <c r="E6041" s="705">
        <f t="shared" si="190"/>
        <v>16.888888888888889</v>
      </c>
    </row>
    <row r="6042" spans="2:5">
      <c r="B6042" s="943">
        <v>45170</v>
      </c>
      <c r="C6042" s="195">
        <f t="shared" si="189"/>
        <v>9</v>
      </c>
      <c r="D6042" s="195" t="s">
        <v>1443</v>
      </c>
      <c r="E6042" s="705">
        <f t="shared" si="190"/>
        <v>17.222222222222221</v>
      </c>
    </row>
    <row r="6043" spans="2:5">
      <c r="B6043" s="943">
        <v>45170</v>
      </c>
      <c r="C6043" s="195">
        <f t="shared" si="189"/>
        <v>9</v>
      </c>
      <c r="D6043" s="195">
        <v>63.9</v>
      </c>
      <c r="E6043" s="705">
        <f t="shared" si="190"/>
        <v>17.722222222222221</v>
      </c>
    </row>
    <row r="6044" spans="2:5">
      <c r="B6044" s="943">
        <v>45170</v>
      </c>
      <c r="C6044" s="195">
        <f t="shared" si="189"/>
        <v>9</v>
      </c>
      <c r="D6044" s="195">
        <v>64.8</v>
      </c>
      <c r="E6044" s="705">
        <f t="shared" si="190"/>
        <v>18.222222222222221</v>
      </c>
    </row>
    <row r="6045" spans="2:5">
      <c r="B6045" s="943">
        <v>45170</v>
      </c>
      <c r="C6045" s="195">
        <f t="shared" si="189"/>
        <v>9</v>
      </c>
      <c r="D6045" s="195">
        <v>65.5</v>
      </c>
      <c r="E6045" s="705">
        <f t="shared" si="190"/>
        <v>18.611111111111111</v>
      </c>
    </row>
    <row r="6046" spans="2:5">
      <c r="B6046" s="943">
        <v>45170</v>
      </c>
      <c r="C6046" s="195">
        <f t="shared" si="189"/>
        <v>9</v>
      </c>
      <c r="D6046" s="195" t="s">
        <v>1445</v>
      </c>
      <c r="E6046" s="705">
        <f t="shared" si="190"/>
        <v>18.888888888888889</v>
      </c>
    </row>
    <row r="6047" spans="2:5">
      <c r="B6047" s="943">
        <v>45170</v>
      </c>
      <c r="C6047" s="195">
        <f t="shared" si="189"/>
        <v>9</v>
      </c>
      <c r="D6047" s="195">
        <v>65.7</v>
      </c>
      <c r="E6047" s="705">
        <f t="shared" si="190"/>
        <v>18.722222222222225</v>
      </c>
    </row>
    <row r="6048" spans="2:5">
      <c r="B6048" s="943">
        <v>45170</v>
      </c>
      <c r="C6048" s="195">
        <f t="shared" si="189"/>
        <v>9</v>
      </c>
      <c r="D6048" s="195">
        <v>64.2</v>
      </c>
      <c r="E6048" s="705">
        <f t="shared" si="190"/>
        <v>17.888888888888889</v>
      </c>
    </row>
    <row r="6049" spans="2:5">
      <c r="B6049" s="943">
        <v>45170</v>
      </c>
      <c r="C6049" s="195">
        <f t="shared" si="189"/>
        <v>9</v>
      </c>
      <c r="D6049" s="195">
        <v>63.3</v>
      </c>
      <c r="E6049" s="705">
        <f t="shared" si="190"/>
        <v>17.388888888888886</v>
      </c>
    </row>
    <row r="6050" spans="2:5">
      <c r="B6050" s="943">
        <v>45170</v>
      </c>
      <c r="C6050" s="195">
        <f t="shared" si="189"/>
        <v>9</v>
      </c>
      <c r="D6050" s="195">
        <v>63.3</v>
      </c>
      <c r="E6050" s="705">
        <f t="shared" si="190"/>
        <v>17.388888888888886</v>
      </c>
    </row>
    <row r="6051" spans="2:5">
      <c r="B6051" s="943">
        <v>45170</v>
      </c>
      <c r="C6051" s="195">
        <f t="shared" si="189"/>
        <v>9</v>
      </c>
      <c r="D6051" s="195">
        <v>63.3</v>
      </c>
      <c r="E6051" s="705">
        <f t="shared" si="190"/>
        <v>17.388888888888886</v>
      </c>
    </row>
    <row r="6052" spans="2:5">
      <c r="B6052" s="943">
        <v>45170</v>
      </c>
      <c r="C6052" s="195">
        <f t="shared" si="189"/>
        <v>9</v>
      </c>
      <c r="D6052" s="195">
        <v>63.7</v>
      </c>
      <c r="E6052" s="705">
        <f t="shared" si="190"/>
        <v>17.611111111111111</v>
      </c>
    </row>
    <row r="6053" spans="2:5">
      <c r="B6053" s="943">
        <v>45170</v>
      </c>
      <c r="C6053" s="195">
        <f t="shared" si="189"/>
        <v>9</v>
      </c>
      <c r="D6053" s="195" t="s">
        <v>1444</v>
      </c>
      <c r="E6053" s="705">
        <f t="shared" si="190"/>
        <v>17.777777777777779</v>
      </c>
    </row>
    <row r="6054" spans="2:5">
      <c r="B6054" s="943">
        <v>45170</v>
      </c>
      <c r="C6054" s="195">
        <f t="shared" si="189"/>
        <v>9</v>
      </c>
      <c r="D6054" s="195" t="s">
        <v>1444</v>
      </c>
      <c r="E6054" s="705">
        <f t="shared" si="190"/>
        <v>17.777777777777779</v>
      </c>
    </row>
    <row r="6055" spans="2:5">
      <c r="B6055" s="943">
        <v>45170</v>
      </c>
      <c r="C6055" s="195">
        <f t="shared" si="189"/>
        <v>9</v>
      </c>
      <c r="D6055" s="195">
        <v>64.900000000000006</v>
      </c>
      <c r="E6055" s="705">
        <f t="shared" si="190"/>
        <v>18.277777777777782</v>
      </c>
    </row>
    <row r="6056" spans="2:5">
      <c r="B6056" s="943">
        <v>45170</v>
      </c>
      <c r="C6056" s="195">
        <f t="shared" si="189"/>
        <v>9</v>
      </c>
      <c r="D6056" s="195">
        <v>65.5</v>
      </c>
      <c r="E6056" s="705">
        <f t="shared" si="190"/>
        <v>18.611111111111111</v>
      </c>
    </row>
    <row r="6057" spans="2:5">
      <c r="B6057" s="943">
        <v>45171</v>
      </c>
      <c r="C6057" s="195">
        <f t="shared" si="189"/>
        <v>9</v>
      </c>
      <c r="D6057" s="195">
        <v>66.2</v>
      </c>
      <c r="E6057" s="705">
        <f t="shared" si="190"/>
        <v>19</v>
      </c>
    </row>
    <row r="6058" spans="2:5">
      <c r="B6058" s="943">
        <v>45171</v>
      </c>
      <c r="C6058" s="195">
        <f t="shared" si="189"/>
        <v>9</v>
      </c>
      <c r="D6058" s="195">
        <v>66.7</v>
      </c>
      <c r="E6058" s="705">
        <f t="shared" si="190"/>
        <v>19.277777777777779</v>
      </c>
    </row>
    <row r="6059" spans="2:5">
      <c r="B6059" s="943">
        <v>45171</v>
      </c>
      <c r="C6059" s="195">
        <f t="shared" si="189"/>
        <v>9</v>
      </c>
      <c r="D6059" s="195">
        <v>66.599999999999994</v>
      </c>
      <c r="E6059" s="705">
        <f t="shared" si="190"/>
        <v>19.222222222222218</v>
      </c>
    </row>
    <row r="6060" spans="2:5">
      <c r="B6060" s="943">
        <v>45171</v>
      </c>
      <c r="C6060" s="195">
        <f t="shared" si="189"/>
        <v>9</v>
      </c>
      <c r="D6060" s="195">
        <v>65.7</v>
      </c>
      <c r="E6060" s="705">
        <f t="shared" si="190"/>
        <v>18.722222222222225</v>
      </c>
    </row>
    <row r="6061" spans="2:5">
      <c r="B6061" s="943">
        <v>45171</v>
      </c>
      <c r="C6061" s="195">
        <f t="shared" si="189"/>
        <v>9</v>
      </c>
      <c r="D6061" s="195">
        <v>64.599999999999994</v>
      </c>
      <c r="E6061" s="705">
        <f t="shared" si="190"/>
        <v>18.111111111111107</v>
      </c>
    </row>
    <row r="6062" spans="2:5">
      <c r="B6062" s="943">
        <v>45171</v>
      </c>
      <c r="C6062" s="195">
        <f t="shared" si="189"/>
        <v>9</v>
      </c>
      <c r="D6062" s="195">
        <v>63.5</v>
      </c>
      <c r="E6062" s="705">
        <f t="shared" si="190"/>
        <v>17.5</v>
      </c>
    </row>
    <row r="6063" spans="2:5">
      <c r="B6063" s="943">
        <v>45171</v>
      </c>
      <c r="C6063" s="195">
        <f t="shared" si="189"/>
        <v>9</v>
      </c>
      <c r="D6063" s="195">
        <v>62.8</v>
      </c>
      <c r="E6063" s="705">
        <f t="shared" si="190"/>
        <v>17.111111111111111</v>
      </c>
    </row>
    <row r="6064" spans="2:5">
      <c r="B6064" s="943">
        <v>45171</v>
      </c>
      <c r="C6064" s="195">
        <f t="shared" si="189"/>
        <v>9</v>
      </c>
      <c r="D6064" s="195">
        <v>62.8</v>
      </c>
      <c r="E6064" s="705">
        <f t="shared" si="190"/>
        <v>17.111111111111111</v>
      </c>
    </row>
    <row r="6065" spans="2:5">
      <c r="B6065" s="943">
        <v>45171</v>
      </c>
      <c r="C6065" s="195">
        <f t="shared" si="189"/>
        <v>9</v>
      </c>
      <c r="D6065" s="195">
        <v>63.1</v>
      </c>
      <c r="E6065" s="705">
        <f t="shared" si="190"/>
        <v>17.277777777777779</v>
      </c>
    </row>
    <row r="6066" spans="2:5">
      <c r="B6066" s="943">
        <v>45171</v>
      </c>
      <c r="C6066" s="195">
        <f t="shared" si="189"/>
        <v>9</v>
      </c>
      <c r="D6066" s="195">
        <v>63.3</v>
      </c>
      <c r="E6066" s="705">
        <f t="shared" si="190"/>
        <v>17.388888888888886</v>
      </c>
    </row>
    <row r="6067" spans="2:5">
      <c r="B6067" s="943">
        <v>45171</v>
      </c>
      <c r="C6067" s="195">
        <f t="shared" si="189"/>
        <v>9</v>
      </c>
      <c r="D6067" s="195">
        <v>63.9</v>
      </c>
      <c r="E6067" s="705">
        <f t="shared" si="190"/>
        <v>17.722222222222221</v>
      </c>
    </row>
    <row r="6068" spans="2:5">
      <c r="B6068" s="943">
        <v>45171</v>
      </c>
      <c r="C6068" s="195">
        <f t="shared" si="189"/>
        <v>9</v>
      </c>
      <c r="D6068" s="195">
        <v>64.8</v>
      </c>
      <c r="E6068" s="705">
        <f t="shared" si="190"/>
        <v>18.222222222222221</v>
      </c>
    </row>
    <row r="6069" spans="2:5">
      <c r="B6069" s="943">
        <v>45171</v>
      </c>
      <c r="C6069" s="195">
        <f t="shared" si="189"/>
        <v>9</v>
      </c>
      <c r="D6069" s="195">
        <v>65.5</v>
      </c>
      <c r="E6069" s="705">
        <f t="shared" si="190"/>
        <v>18.611111111111111</v>
      </c>
    </row>
    <row r="6070" spans="2:5">
      <c r="B6070" s="943">
        <v>45171</v>
      </c>
      <c r="C6070" s="195">
        <f t="shared" si="189"/>
        <v>9</v>
      </c>
      <c r="D6070" s="195" t="s">
        <v>1445</v>
      </c>
      <c r="E6070" s="705">
        <f t="shared" si="190"/>
        <v>18.888888888888889</v>
      </c>
    </row>
    <row r="6071" spans="2:5">
      <c r="B6071" s="943">
        <v>45171</v>
      </c>
      <c r="C6071" s="195">
        <f t="shared" si="189"/>
        <v>9</v>
      </c>
      <c r="D6071" s="195">
        <v>66.599999999999994</v>
      </c>
      <c r="E6071" s="705">
        <f t="shared" si="190"/>
        <v>19.222222222222218</v>
      </c>
    </row>
    <row r="6072" spans="2:5">
      <c r="B6072" s="943">
        <v>45171</v>
      </c>
      <c r="C6072" s="195">
        <f t="shared" si="189"/>
        <v>9</v>
      </c>
      <c r="D6072" s="195">
        <v>65.8</v>
      </c>
      <c r="E6072" s="705">
        <f t="shared" si="190"/>
        <v>18.777777777777775</v>
      </c>
    </row>
    <row r="6073" spans="2:5">
      <c r="B6073" s="943">
        <v>45171</v>
      </c>
      <c r="C6073" s="195">
        <f t="shared" si="189"/>
        <v>9</v>
      </c>
      <c r="D6073" s="195">
        <v>64.599999999999994</v>
      </c>
      <c r="E6073" s="705">
        <f t="shared" si="190"/>
        <v>18.111111111111107</v>
      </c>
    </row>
    <row r="6074" spans="2:5">
      <c r="B6074" s="943">
        <v>45171</v>
      </c>
      <c r="C6074" s="195">
        <f t="shared" si="189"/>
        <v>9</v>
      </c>
      <c r="D6074" s="195">
        <v>62.6</v>
      </c>
      <c r="E6074" s="705">
        <f t="shared" si="190"/>
        <v>17</v>
      </c>
    </row>
    <row r="6075" spans="2:5">
      <c r="B6075" s="943">
        <v>45171</v>
      </c>
      <c r="C6075" s="195">
        <f t="shared" si="189"/>
        <v>9</v>
      </c>
      <c r="D6075" s="195">
        <v>61.3</v>
      </c>
      <c r="E6075" s="705">
        <f t="shared" si="190"/>
        <v>16.277777777777775</v>
      </c>
    </row>
    <row r="6076" spans="2:5">
      <c r="B6076" s="943">
        <v>45171</v>
      </c>
      <c r="C6076" s="195">
        <f t="shared" si="189"/>
        <v>9</v>
      </c>
      <c r="D6076" s="195">
        <v>61.2</v>
      </c>
      <c r="E6076" s="705">
        <f t="shared" si="190"/>
        <v>16.222222222222225</v>
      </c>
    </row>
    <row r="6077" spans="2:5">
      <c r="B6077" s="943">
        <v>45171</v>
      </c>
      <c r="C6077" s="195">
        <f t="shared" si="189"/>
        <v>9</v>
      </c>
      <c r="D6077" s="195">
        <v>61.5</v>
      </c>
      <c r="E6077" s="705">
        <f t="shared" si="190"/>
        <v>16.388888888888889</v>
      </c>
    </row>
    <row r="6078" spans="2:5">
      <c r="B6078" s="943">
        <v>45171</v>
      </c>
      <c r="C6078" s="195">
        <f t="shared" si="189"/>
        <v>9</v>
      </c>
      <c r="D6078" s="195">
        <v>61.9</v>
      </c>
      <c r="E6078" s="705">
        <f t="shared" si="190"/>
        <v>16.611111111111111</v>
      </c>
    </row>
    <row r="6079" spans="2:5">
      <c r="B6079" s="943">
        <v>45171</v>
      </c>
      <c r="C6079" s="195">
        <f t="shared" si="189"/>
        <v>9</v>
      </c>
      <c r="D6079" s="195">
        <v>62.6</v>
      </c>
      <c r="E6079" s="705">
        <f t="shared" si="190"/>
        <v>17</v>
      </c>
    </row>
    <row r="6080" spans="2:5">
      <c r="B6080" s="943">
        <v>45171</v>
      </c>
      <c r="C6080" s="195">
        <f t="shared" si="189"/>
        <v>9</v>
      </c>
      <c r="D6080" s="195">
        <v>64.2</v>
      </c>
      <c r="E6080" s="705">
        <f t="shared" si="190"/>
        <v>17.888888888888889</v>
      </c>
    </row>
    <row r="6081" spans="2:5">
      <c r="B6081" s="943">
        <v>45172</v>
      </c>
      <c r="C6081" s="195">
        <f t="shared" si="189"/>
        <v>9</v>
      </c>
      <c r="D6081" s="195">
        <v>65.3</v>
      </c>
      <c r="E6081" s="705">
        <f t="shared" si="190"/>
        <v>18.499999999999996</v>
      </c>
    </row>
    <row r="6082" spans="2:5">
      <c r="B6082" s="943">
        <v>45172</v>
      </c>
      <c r="C6082" s="195">
        <f t="shared" si="189"/>
        <v>9</v>
      </c>
      <c r="D6082" s="195">
        <v>66.2</v>
      </c>
      <c r="E6082" s="705">
        <f t="shared" si="190"/>
        <v>19</v>
      </c>
    </row>
    <row r="6083" spans="2:5">
      <c r="B6083" s="943">
        <v>45172</v>
      </c>
      <c r="C6083" s="195">
        <f t="shared" si="189"/>
        <v>9</v>
      </c>
      <c r="D6083" s="195">
        <v>66.7</v>
      </c>
      <c r="E6083" s="705">
        <f t="shared" si="190"/>
        <v>19.277777777777779</v>
      </c>
    </row>
    <row r="6084" spans="2:5">
      <c r="B6084" s="943">
        <v>45172</v>
      </c>
      <c r="C6084" s="195">
        <f t="shared" si="189"/>
        <v>9</v>
      </c>
      <c r="D6084" s="195">
        <v>66.599999999999994</v>
      </c>
      <c r="E6084" s="705">
        <f t="shared" si="190"/>
        <v>19.222222222222218</v>
      </c>
    </row>
    <row r="6085" spans="2:5">
      <c r="B6085" s="943">
        <v>45172</v>
      </c>
      <c r="C6085" s="195">
        <f t="shared" si="189"/>
        <v>9</v>
      </c>
      <c r="D6085" s="195">
        <v>64.900000000000006</v>
      </c>
      <c r="E6085" s="705">
        <f t="shared" si="190"/>
        <v>18.277777777777782</v>
      </c>
    </row>
    <row r="6086" spans="2:5">
      <c r="B6086" s="943">
        <v>45172</v>
      </c>
      <c r="C6086" s="195">
        <f t="shared" si="189"/>
        <v>9</v>
      </c>
      <c r="D6086" s="195">
        <v>63.9</v>
      </c>
      <c r="E6086" s="705">
        <f t="shared" si="190"/>
        <v>17.722222222222221</v>
      </c>
    </row>
    <row r="6087" spans="2:5">
      <c r="B6087" s="943">
        <v>45172</v>
      </c>
      <c r="C6087" s="195">
        <f t="shared" si="189"/>
        <v>9</v>
      </c>
      <c r="D6087" s="195">
        <v>61.7</v>
      </c>
      <c r="E6087" s="705">
        <f t="shared" si="190"/>
        <v>16.5</v>
      </c>
    </row>
    <row r="6088" spans="2:5">
      <c r="B6088" s="943">
        <v>45172</v>
      </c>
      <c r="C6088" s="195">
        <f t="shared" si="189"/>
        <v>9</v>
      </c>
      <c r="D6088" s="195">
        <v>60.8</v>
      </c>
      <c r="E6088" s="705">
        <f t="shared" si="190"/>
        <v>15.999999999999998</v>
      </c>
    </row>
    <row r="6089" spans="2:5">
      <c r="B6089" s="943">
        <v>45172</v>
      </c>
      <c r="C6089" s="195">
        <f t="shared" si="189"/>
        <v>9</v>
      </c>
      <c r="D6089" s="195">
        <v>60.6</v>
      </c>
      <c r="E6089" s="705">
        <f t="shared" si="190"/>
        <v>15.888888888888889</v>
      </c>
    </row>
    <row r="6090" spans="2:5">
      <c r="B6090" s="943">
        <v>45172</v>
      </c>
      <c r="C6090" s="195">
        <f t="shared" ref="C6090:C6153" si="191">MONTH(B6090)</f>
        <v>9</v>
      </c>
      <c r="D6090" s="195" t="s">
        <v>1442</v>
      </c>
      <c r="E6090" s="705">
        <f t="shared" ref="E6090:E6153" si="192">CONVERT(D6090,"F","C")</f>
        <v>16.111111111111111</v>
      </c>
    </row>
    <row r="6091" spans="2:5">
      <c r="B6091" s="943">
        <v>45172</v>
      </c>
      <c r="C6091" s="195">
        <f t="shared" si="191"/>
        <v>9</v>
      </c>
      <c r="D6091" s="195">
        <v>61.5</v>
      </c>
      <c r="E6091" s="705">
        <f t="shared" si="192"/>
        <v>16.388888888888889</v>
      </c>
    </row>
    <row r="6092" spans="2:5">
      <c r="B6092" s="943">
        <v>45172</v>
      </c>
      <c r="C6092" s="195">
        <f t="shared" si="191"/>
        <v>9</v>
      </c>
      <c r="D6092" s="195">
        <v>62.8</v>
      </c>
      <c r="E6092" s="705">
        <f t="shared" si="192"/>
        <v>17.111111111111111</v>
      </c>
    </row>
    <row r="6093" spans="2:5">
      <c r="B6093" s="943">
        <v>45172</v>
      </c>
      <c r="C6093" s="195">
        <f t="shared" si="191"/>
        <v>9</v>
      </c>
      <c r="D6093" s="195">
        <v>64.400000000000006</v>
      </c>
      <c r="E6093" s="705">
        <f t="shared" si="192"/>
        <v>18.000000000000004</v>
      </c>
    </row>
    <row r="6094" spans="2:5">
      <c r="B6094" s="943">
        <v>45172</v>
      </c>
      <c r="C6094" s="195">
        <f t="shared" si="191"/>
        <v>9</v>
      </c>
      <c r="D6094" s="195">
        <v>65.3</v>
      </c>
      <c r="E6094" s="705">
        <f t="shared" si="192"/>
        <v>18.499999999999996</v>
      </c>
    </row>
    <row r="6095" spans="2:5">
      <c r="B6095" s="943">
        <v>45172</v>
      </c>
      <c r="C6095" s="195">
        <f t="shared" si="191"/>
        <v>9</v>
      </c>
      <c r="D6095" s="195" t="s">
        <v>1445</v>
      </c>
      <c r="E6095" s="705">
        <f t="shared" si="192"/>
        <v>18.888888888888889</v>
      </c>
    </row>
    <row r="6096" spans="2:5">
      <c r="B6096" s="943">
        <v>45172</v>
      </c>
      <c r="C6096" s="195">
        <f t="shared" si="191"/>
        <v>9</v>
      </c>
      <c r="D6096" s="195">
        <v>66.400000000000006</v>
      </c>
      <c r="E6096" s="705">
        <f t="shared" si="192"/>
        <v>19.111111111111114</v>
      </c>
    </row>
    <row r="6097" spans="2:5">
      <c r="B6097" s="943">
        <v>45172</v>
      </c>
      <c r="C6097" s="195">
        <f t="shared" si="191"/>
        <v>9</v>
      </c>
      <c r="D6097" s="195">
        <v>64.8</v>
      </c>
      <c r="E6097" s="705">
        <f t="shared" si="192"/>
        <v>18.222222222222221</v>
      </c>
    </row>
    <row r="6098" spans="2:5">
      <c r="B6098" s="943">
        <v>45172</v>
      </c>
      <c r="C6098" s="195">
        <f t="shared" si="191"/>
        <v>9</v>
      </c>
      <c r="D6098" s="195">
        <v>62.8</v>
      </c>
      <c r="E6098" s="705">
        <f t="shared" si="192"/>
        <v>17.111111111111111</v>
      </c>
    </row>
    <row r="6099" spans="2:5">
      <c r="B6099" s="943">
        <v>45172</v>
      </c>
      <c r="C6099" s="195">
        <f t="shared" si="191"/>
        <v>9</v>
      </c>
      <c r="D6099" s="195">
        <v>60.1</v>
      </c>
      <c r="E6099" s="705">
        <f t="shared" si="192"/>
        <v>15.611111111111111</v>
      </c>
    </row>
    <row r="6100" spans="2:5">
      <c r="B6100" s="943">
        <v>45172</v>
      </c>
      <c r="C6100" s="195">
        <f t="shared" si="191"/>
        <v>9</v>
      </c>
      <c r="D6100" s="195" t="s">
        <v>1441</v>
      </c>
      <c r="E6100" s="705">
        <f t="shared" si="192"/>
        <v>15</v>
      </c>
    </row>
    <row r="6101" spans="2:5">
      <c r="B6101" s="943">
        <v>45172</v>
      </c>
      <c r="C6101" s="195">
        <f t="shared" si="191"/>
        <v>9</v>
      </c>
      <c r="D6101" s="195">
        <v>58.8</v>
      </c>
      <c r="E6101" s="705">
        <f t="shared" si="192"/>
        <v>14.888888888888888</v>
      </c>
    </row>
    <row r="6102" spans="2:5">
      <c r="B6102" s="943">
        <v>45172</v>
      </c>
      <c r="C6102" s="195">
        <f t="shared" si="191"/>
        <v>9</v>
      </c>
      <c r="D6102" s="195">
        <v>60.3</v>
      </c>
      <c r="E6102" s="705">
        <f t="shared" si="192"/>
        <v>15.72222222222222</v>
      </c>
    </row>
    <row r="6103" spans="2:5">
      <c r="B6103" s="943">
        <v>45172</v>
      </c>
      <c r="C6103" s="195">
        <f t="shared" si="191"/>
        <v>9</v>
      </c>
      <c r="D6103" s="195">
        <v>59.7</v>
      </c>
      <c r="E6103" s="705">
        <f t="shared" si="192"/>
        <v>15.388888888888889</v>
      </c>
    </row>
    <row r="6104" spans="2:5">
      <c r="B6104" s="943">
        <v>45172</v>
      </c>
      <c r="C6104" s="195">
        <f t="shared" si="191"/>
        <v>9</v>
      </c>
      <c r="D6104" s="195">
        <v>61.2</v>
      </c>
      <c r="E6104" s="705">
        <f t="shared" si="192"/>
        <v>16.222222222222225</v>
      </c>
    </row>
    <row r="6105" spans="2:5">
      <c r="B6105" s="943">
        <v>45173</v>
      </c>
      <c r="C6105" s="195">
        <f t="shared" si="191"/>
        <v>9</v>
      </c>
      <c r="D6105" s="195">
        <v>63.3</v>
      </c>
      <c r="E6105" s="705">
        <f t="shared" si="192"/>
        <v>17.388888888888886</v>
      </c>
    </row>
    <row r="6106" spans="2:5">
      <c r="B6106" s="943">
        <v>45173</v>
      </c>
      <c r="C6106" s="195">
        <f t="shared" si="191"/>
        <v>9</v>
      </c>
      <c r="D6106" s="195">
        <v>64.8</v>
      </c>
      <c r="E6106" s="705">
        <f t="shared" si="192"/>
        <v>18.222222222222221</v>
      </c>
    </row>
    <row r="6107" spans="2:5">
      <c r="B6107" s="943">
        <v>45173</v>
      </c>
      <c r="C6107" s="195">
        <f t="shared" si="191"/>
        <v>9</v>
      </c>
      <c r="D6107" s="195" t="s">
        <v>1445</v>
      </c>
      <c r="E6107" s="705">
        <f t="shared" si="192"/>
        <v>18.888888888888889</v>
      </c>
    </row>
    <row r="6108" spans="2:5">
      <c r="B6108" s="943">
        <v>45173</v>
      </c>
      <c r="C6108" s="195">
        <f t="shared" si="191"/>
        <v>9</v>
      </c>
      <c r="D6108" s="195">
        <v>66.599999999999994</v>
      </c>
      <c r="E6108" s="705">
        <f t="shared" si="192"/>
        <v>19.222222222222218</v>
      </c>
    </row>
    <row r="6109" spans="2:5">
      <c r="B6109" s="943">
        <v>45173</v>
      </c>
      <c r="C6109" s="195">
        <f t="shared" si="191"/>
        <v>9</v>
      </c>
      <c r="D6109" s="195">
        <v>66.2</v>
      </c>
      <c r="E6109" s="705">
        <f t="shared" si="192"/>
        <v>19</v>
      </c>
    </row>
    <row r="6110" spans="2:5">
      <c r="B6110" s="943">
        <v>45173</v>
      </c>
      <c r="C6110" s="195">
        <f t="shared" si="191"/>
        <v>9</v>
      </c>
      <c r="D6110" s="195" t="s">
        <v>1444</v>
      </c>
      <c r="E6110" s="705">
        <f t="shared" si="192"/>
        <v>17.777777777777779</v>
      </c>
    </row>
    <row r="6111" spans="2:5">
      <c r="B6111" s="943">
        <v>45173</v>
      </c>
      <c r="C6111" s="195">
        <f t="shared" si="191"/>
        <v>9</v>
      </c>
      <c r="D6111" s="195">
        <v>62.4</v>
      </c>
      <c r="E6111" s="705">
        <f t="shared" si="192"/>
        <v>16.888888888888889</v>
      </c>
    </row>
    <row r="6112" spans="2:5">
      <c r="B6112" s="943">
        <v>45173</v>
      </c>
      <c r="C6112" s="195">
        <f t="shared" si="191"/>
        <v>9</v>
      </c>
      <c r="D6112" s="195">
        <v>60.4</v>
      </c>
      <c r="E6112" s="705">
        <f t="shared" si="192"/>
        <v>15.777777777777777</v>
      </c>
    </row>
    <row r="6113" spans="2:5">
      <c r="B6113" s="943">
        <v>45173</v>
      </c>
      <c r="C6113" s="195">
        <f t="shared" si="191"/>
        <v>9</v>
      </c>
      <c r="D6113" s="195">
        <v>59.5</v>
      </c>
      <c r="E6113" s="705">
        <f t="shared" si="192"/>
        <v>15.277777777777777</v>
      </c>
    </row>
    <row r="6114" spans="2:5">
      <c r="B6114" s="943">
        <v>45173</v>
      </c>
      <c r="C6114" s="195">
        <f t="shared" si="191"/>
        <v>9</v>
      </c>
      <c r="D6114" s="195">
        <v>59.4</v>
      </c>
      <c r="E6114" s="705">
        <f t="shared" si="192"/>
        <v>15.222222222222221</v>
      </c>
    </row>
    <row r="6115" spans="2:5">
      <c r="B6115" s="943">
        <v>45173</v>
      </c>
      <c r="C6115" s="195">
        <f t="shared" si="191"/>
        <v>9</v>
      </c>
      <c r="D6115" s="195">
        <v>59.4</v>
      </c>
      <c r="E6115" s="705">
        <f t="shared" si="192"/>
        <v>15.222222222222221</v>
      </c>
    </row>
    <row r="6116" spans="2:5">
      <c r="B6116" s="943">
        <v>45173</v>
      </c>
      <c r="C6116" s="195">
        <f t="shared" si="191"/>
        <v>9</v>
      </c>
      <c r="D6116" s="195">
        <v>60.6</v>
      </c>
      <c r="E6116" s="705">
        <f t="shared" si="192"/>
        <v>15.888888888888889</v>
      </c>
    </row>
    <row r="6117" spans="2:5">
      <c r="B6117" s="943">
        <v>45173</v>
      </c>
      <c r="C6117" s="195">
        <f t="shared" si="191"/>
        <v>9</v>
      </c>
      <c r="D6117" s="195">
        <v>62.2</v>
      </c>
      <c r="E6117" s="705">
        <f t="shared" si="192"/>
        <v>16.777777777777779</v>
      </c>
    </row>
    <row r="6118" spans="2:5">
      <c r="B6118" s="943">
        <v>45173</v>
      </c>
      <c r="C6118" s="195">
        <f t="shared" si="191"/>
        <v>9</v>
      </c>
      <c r="D6118" s="195">
        <v>63.9</v>
      </c>
      <c r="E6118" s="705">
        <f t="shared" si="192"/>
        <v>17.722222222222221</v>
      </c>
    </row>
    <row r="6119" spans="2:5">
      <c r="B6119" s="943">
        <v>45173</v>
      </c>
      <c r="C6119" s="195">
        <f t="shared" si="191"/>
        <v>9</v>
      </c>
      <c r="D6119" s="195">
        <v>65.099999999999994</v>
      </c>
      <c r="E6119" s="705">
        <f t="shared" si="192"/>
        <v>18.388888888888886</v>
      </c>
    </row>
    <row r="6120" spans="2:5">
      <c r="B6120" s="943">
        <v>45173</v>
      </c>
      <c r="C6120" s="195">
        <f t="shared" si="191"/>
        <v>9</v>
      </c>
      <c r="D6120" s="195">
        <v>65.8</v>
      </c>
      <c r="E6120" s="705">
        <f t="shared" si="192"/>
        <v>18.777777777777775</v>
      </c>
    </row>
    <row r="6121" spans="2:5">
      <c r="B6121" s="943">
        <v>45173</v>
      </c>
      <c r="C6121" s="195">
        <f t="shared" si="191"/>
        <v>9</v>
      </c>
      <c r="D6121" s="195">
        <v>65.8</v>
      </c>
      <c r="E6121" s="705">
        <f t="shared" si="192"/>
        <v>18.777777777777775</v>
      </c>
    </row>
    <row r="6122" spans="2:5">
      <c r="B6122" s="943">
        <v>45173</v>
      </c>
      <c r="C6122" s="195">
        <f t="shared" si="191"/>
        <v>9</v>
      </c>
      <c r="D6122" s="195">
        <v>63.5</v>
      </c>
      <c r="E6122" s="705">
        <f t="shared" si="192"/>
        <v>17.5</v>
      </c>
    </row>
    <row r="6123" spans="2:5">
      <c r="B6123" s="943">
        <v>45173</v>
      </c>
      <c r="C6123" s="195">
        <f t="shared" si="191"/>
        <v>9</v>
      </c>
      <c r="D6123" s="195">
        <v>61.7</v>
      </c>
      <c r="E6123" s="705">
        <f t="shared" si="192"/>
        <v>16.5</v>
      </c>
    </row>
    <row r="6124" spans="2:5">
      <c r="B6124" s="943">
        <v>45173</v>
      </c>
      <c r="C6124" s="195">
        <f t="shared" si="191"/>
        <v>9</v>
      </c>
      <c r="D6124" s="195">
        <v>60.3</v>
      </c>
      <c r="E6124" s="705">
        <f t="shared" si="192"/>
        <v>15.72222222222222</v>
      </c>
    </row>
    <row r="6125" spans="2:5">
      <c r="B6125" s="943">
        <v>45173</v>
      </c>
      <c r="C6125" s="195">
        <f t="shared" si="191"/>
        <v>9</v>
      </c>
      <c r="D6125" s="195">
        <v>59.4</v>
      </c>
      <c r="E6125" s="705">
        <f t="shared" si="192"/>
        <v>15.222222222222221</v>
      </c>
    </row>
    <row r="6126" spans="2:5">
      <c r="B6126" s="943">
        <v>45173</v>
      </c>
      <c r="C6126" s="195">
        <f t="shared" si="191"/>
        <v>9</v>
      </c>
      <c r="D6126" s="195">
        <v>59.4</v>
      </c>
      <c r="E6126" s="705">
        <f t="shared" si="192"/>
        <v>15.222222222222221</v>
      </c>
    </row>
    <row r="6127" spans="2:5">
      <c r="B6127" s="943">
        <v>45173</v>
      </c>
      <c r="C6127" s="195">
        <f t="shared" si="191"/>
        <v>9</v>
      </c>
      <c r="D6127" s="195">
        <v>60.4</v>
      </c>
      <c r="E6127" s="705">
        <f t="shared" si="192"/>
        <v>15.777777777777777</v>
      </c>
    </row>
    <row r="6128" spans="2:5">
      <c r="B6128" s="943">
        <v>45173</v>
      </c>
      <c r="C6128" s="195">
        <f t="shared" si="191"/>
        <v>9</v>
      </c>
      <c r="D6128" s="195">
        <v>60.3</v>
      </c>
      <c r="E6128" s="705">
        <f t="shared" si="192"/>
        <v>15.72222222222222</v>
      </c>
    </row>
    <row r="6129" spans="2:5">
      <c r="B6129" s="943">
        <v>45174</v>
      </c>
      <c r="C6129" s="195">
        <f t="shared" si="191"/>
        <v>9</v>
      </c>
      <c r="D6129" s="195">
        <v>61.5</v>
      </c>
      <c r="E6129" s="705">
        <f t="shared" si="192"/>
        <v>16.388888888888889</v>
      </c>
    </row>
    <row r="6130" spans="2:5">
      <c r="B6130" s="943">
        <v>45174</v>
      </c>
      <c r="C6130" s="195">
        <f t="shared" si="191"/>
        <v>9</v>
      </c>
      <c r="D6130" s="195">
        <v>63.5</v>
      </c>
      <c r="E6130" s="705">
        <f t="shared" si="192"/>
        <v>17.5</v>
      </c>
    </row>
    <row r="6131" spans="2:5">
      <c r="B6131" s="943">
        <v>45174</v>
      </c>
      <c r="C6131" s="195">
        <f t="shared" si="191"/>
        <v>9</v>
      </c>
      <c r="D6131" s="195">
        <v>64.900000000000006</v>
      </c>
      <c r="E6131" s="705">
        <f t="shared" si="192"/>
        <v>18.277777777777782</v>
      </c>
    </row>
    <row r="6132" spans="2:5">
      <c r="B6132" s="943">
        <v>45174</v>
      </c>
      <c r="C6132" s="195">
        <f t="shared" si="191"/>
        <v>9</v>
      </c>
      <c r="D6132" s="195" t="s">
        <v>1445</v>
      </c>
      <c r="E6132" s="705">
        <f t="shared" si="192"/>
        <v>18.888888888888889</v>
      </c>
    </row>
    <row r="6133" spans="2:5">
      <c r="B6133" s="943">
        <v>45174</v>
      </c>
      <c r="C6133" s="195">
        <f t="shared" si="191"/>
        <v>9</v>
      </c>
      <c r="D6133" s="195">
        <v>66.599999999999994</v>
      </c>
      <c r="E6133" s="705">
        <f t="shared" si="192"/>
        <v>19.222222222222218</v>
      </c>
    </row>
    <row r="6134" spans="2:5">
      <c r="B6134" s="943">
        <v>45174</v>
      </c>
      <c r="C6134" s="195">
        <f t="shared" si="191"/>
        <v>9</v>
      </c>
      <c r="D6134" s="195" t="s">
        <v>1445</v>
      </c>
      <c r="E6134" s="705">
        <f t="shared" si="192"/>
        <v>18.888888888888889</v>
      </c>
    </row>
    <row r="6135" spans="2:5">
      <c r="B6135" s="943">
        <v>45174</v>
      </c>
      <c r="C6135" s="195">
        <f t="shared" si="191"/>
        <v>9</v>
      </c>
      <c r="D6135" s="195">
        <v>63.7</v>
      </c>
      <c r="E6135" s="705">
        <f t="shared" si="192"/>
        <v>17.611111111111111</v>
      </c>
    </row>
    <row r="6136" spans="2:5">
      <c r="B6136" s="943">
        <v>45174</v>
      </c>
      <c r="C6136" s="195">
        <f t="shared" si="191"/>
        <v>9</v>
      </c>
      <c r="D6136" s="195">
        <v>61.9</v>
      </c>
      <c r="E6136" s="705">
        <f t="shared" si="192"/>
        <v>16.611111111111111</v>
      </c>
    </row>
    <row r="6137" spans="2:5">
      <c r="B6137" s="943">
        <v>45174</v>
      </c>
      <c r="C6137" s="195">
        <f t="shared" si="191"/>
        <v>9</v>
      </c>
      <c r="D6137" s="195">
        <v>59.9</v>
      </c>
      <c r="E6137" s="705">
        <f t="shared" si="192"/>
        <v>15.499999999999998</v>
      </c>
    </row>
    <row r="6138" spans="2:5">
      <c r="B6138" s="943">
        <v>45174</v>
      </c>
      <c r="C6138" s="195">
        <f t="shared" si="191"/>
        <v>9</v>
      </c>
      <c r="D6138" s="195">
        <v>59.5</v>
      </c>
      <c r="E6138" s="705">
        <f t="shared" si="192"/>
        <v>15.277777777777777</v>
      </c>
    </row>
    <row r="6139" spans="2:5">
      <c r="B6139" s="943">
        <v>45174</v>
      </c>
      <c r="C6139" s="195">
        <f t="shared" si="191"/>
        <v>9</v>
      </c>
      <c r="D6139" s="195">
        <v>59.4</v>
      </c>
      <c r="E6139" s="705">
        <f t="shared" si="192"/>
        <v>15.222222222222221</v>
      </c>
    </row>
    <row r="6140" spans="2:5">
      <c r="B6140" s="943">
        <v>45174</v>
      </c>
      <c r="C6140" s="195">
        <f t="shared" si="191"/>
        <v>9</v>
      </c>
      <c r="D6140" s="195">
        <v>59.7</v>
      </c>
      <c r="E6140" s="705">
        <f t="shared" si="192"/>
        <v>15.388888888888889</v>
      </c>
    </row>
    <row r="6141" spans="2:5">
      <c r="B6141" s="943">
        <v>45174</v>
      </c>
      <c r="C6141" s="195">
        <f t="shared" si="191"/>
        <v>9</v>
      </c>
      <c r="D6141" s="195">
        <v>60.6</v>
      </c>
      <c r="E6141" s="705">
        <f t="shared" si="192"/>
        <v>15.888888888888889</v>
      </c>
    </row>
    <row r="6142" spans="2:5">
      <c r="B6142" s="943">
        <v>45174</v>
      </c>
      <c r="C6142" s="195">
        <f t="shared" si="191"/>
        <v>9</v>
      </c>
      <c r="D6142" s="195">
        <v>62.4</v>
      </c>
      <c r="E6142" s="705">
        <f t="shared" si="192"/>
        <v>16.888888888888889</v>
      </c>
    </row>
    <row r="6143" spans="2:5">
      <c r="B6143" s="943">
        <v>45174</v>
      </c>
      <c r="C6143" s="195">
        <f t="shared" si="191"/>
        <v>9</v>
      </c>
      <c r="D6143" s="195">
        <v>64.2</v>
      </c>
      <c r="E6143" s="705">
        <f t="shared" si="192"/>
        <v>17.888888888888889</v>
      </c>
    </row>
    <row r="6144" spans="2:5">
      <c r="B6144" s="943">
        <v>45174</v>
      </c>
      <c r="C6144" s="195">
        <f t="shared" si="191"/>
        <v>9</v>
      </c>
      <c r="D6144" s="195">
        <v>65.3</v>
      </c>
      <c r="E6144" s="705">
        <f t="shared" si="192"/>
        <v>18.499999999999996</v>
      </c>
    </row>
    <row r="6145" spans="2:5">
      <c r="B6145" s="943">
        <v>45174</v>
      </c>
      <c r="C6145" s="195">
        <f t="shared" si="191"/>
        <v>9</v>
      </c>
      <c r="D6145" s="195">
        <v>66.2</v>
      </c>
      <c r="E6145" s="705">
        <f t="shared" si="192"/>
        <v>19</v>
      </c>
    </row>
    <row r="6146" spans="2:5">
      <c r="B6146" s="943">
        <v>45174</v>
      </c>
      <c r="C6146" s="195">
        <f t="shared" si="191"/>
        <v>9</v>
      </c>
      <c r="D6146" s="195">
        <v>65.5</v>
      </c>
      <c r="E6146" s="705">
        <f t="shared" si="192"/>
        <v>18.611111111111111</v>
      </c>
    </row>
    <row r="6147" spans="2:5">
      <c r="B6147" s="943">
        <v>45174</v>
      </c>
      <c r="C6147" s="195">
        <f t="shared" si="191"/>
        <v>9</v>
      </c>
      <c r="D6147" s="195" t="s">
        <v>1443</v>
      </c>
      <c r="E6147" s="705">
        <f t="shared" si="192"/>
        <v>17.222222222222221</v>
      </c>
    </row>
    <row r="6148" spans="2:5">
      <c r="B6148" s="943">
        <v>45174</v>
      </c>
      <c r="C6148" s="195">
        <f t="shared" si="191"/>
        <v>9</v>
      </c>
      <c r="D6148" s="195">
        <v>62.1</v>
      </c>
      <c r="E6148" s="705">
        <f t="shared" si="192"/>
        <v>16.722222222222221</v>
      </c>
    </row>
    <row r="6149" spans="2:5">
      <c r="B6149" s="943">
        <v>45174</v>
      </c>
      <c r="C6149" s="195">
        <f t="shared" si="191"/>
        <v>9</v>
      </c>
      <c r="D6149" s="195">
        <v>61.5</v>
      </c>
      <c r="E6149" s="705">
        <f t="shared" si="192"/>
        <v>16.388888888888889</v>
      </c>
    </row>
    <row r="6150" spans="2:5">
      <c r="B6150" s="943">
        <v>45174</v>
      </c>
      <c r="C6150" s="195">
        <f t="shared" si="191"/>
        <v>9</v>
      </c>
      <c r="D6150" s="195">
        <v>60.6</v>
      </c>
      <c r="E6150" s="705">
        <f t="shared" si="192"/>
        <v>15.888888888888889</v>
      </c>
    </row>
    <row r="6151" spans="2:5">
      <c r="B6151" s="943">
        <v>45174</v>
      </c>
      <c r="C6151" s="195">
        <f t="shared" si="191"/>
        <v>9</v>
      </c>
      <c r="D6151" s="195">
        <v>60.8</v>
      </c>
      <c r="E6151" s="705">
        <f t="shared" si="192"/>
        <v>15.999999999999998</v>
      </c>
    </row>
    <row r="6152" spans="2:5">
      <c r="B6152" s="943">
        <v>45174</v>
      </c>
      <c r="C6152" s="195">
        <f t="shared" si="191"/>
        <v>9</v>
      </c>
      <c r="D6152" s="195" t="s">
        <v>1442</v>
      </c>
      <c r="E6152" s="705">
        <f t="shared" si="192"/>
        <v>16.111111111111111</v>
      </c>
    </row>
    <row r="6153" spans="2:5">
      <c r="B6153" s="943">
        <v>45175</v>
      </c>
      <c r="C6153" s="195">
        <f t="shared" si="191"/>
        <v>9</v>
      </c>
      <c r="D6153" s="195">
        <v>61.7</v>
      </c>
      <c r="E6153" s="705">
        <f t="shared" si="192"/>
        <v>16.5</v>
      </c>
    </row>
    <row r="6154" spans="2:5">
      <c r="B6154" s="943">
        <v>45175</v>
      </c>
      <c r="C6154" s="195">
        <f t="shared" ref="C6154:C6217" si="193">MONTH(B6154)</f>
        <v>9</v>
      </c>
      <c r="D6154" s="195">
        <v>62.8</v>
      </c>
      <c r="E6154" s="705">
        <f t="shared" ref="E6154:E6217" si="194">CONVERT(D6154,"F","C")</f>
        <v>17.111111111111111</v>
      </c>
    </row>
    <row r="6155" spans="2:5">
      <c r="B6155" s="943">
        <v>45175</v>
      </c>
      <c r="C6155" s="195">
        <f t="shared" si="193"/>
        <v>9</v>
      </c>
      <c r="D6155" s="195">
        <v>64.2</v>
      </c>
      <c r="E6155" s="705">
        <f t="shared" si="194"/>
        <v>17.888888888888889</v>
      </c>
    </row>
    <row r="6156" spans="2:5">
      <c r="B6156" s="943">
        <v>45175</v>
      </c>
      <c r="C6156" s="195">
        <f t="shared" si="193"/>
        <v>9</v>
      </c>
      <c r="D6156" s="195">
        <v>65.3</v>
      </c>
      <c r="E6156" s="705">
        <f t="shared" si="194"/>
        <v>18.499999999999996</v>
      </c>
    </row>
    <row r="6157" spans="2:5">
      <c r="B6157" s="943">
        <v>45175</v>
      </c>
      <c r="C6157" s="195">
        <f t="shared" si="193"/>
        <v>9</v>
      </c>
      <c r="D6157" s="195">
        <v>66.400000000000006</v>
      </c>
      <c r="E6157" s="705">
        <f t="shared" si="194"/>
        <v>19.111111111111114</v>
      </c>
    </row>
    <row r="6158" spans="2:5">
      <c r="B6158" s="943">
        <v>45175</v>
      </c>
      <c r="C6158" s="195">
        <f t="shared" si="193"/>
        <v>9</v>
      </c>
      <c r="D6158" s="195">
        <v>66.900000000000006</v>
      </c>
      <c r="E6158" s="705">
        <f t="shared" si="194"/>
        <v>19.388888888888893</v>
      </c>
    </row>
    <row r="6159" spans="2:5">
      <c r="B6159" s="943">
        <v>45175</v>
      </c>
      <c r="C6159" s="195">
        <f t="shared" si="193"/>
        <v>9</v>
      </c>
      <c r="D6159" s="195">
        <v>66.400000000000006</v>
      </c>
      <c r="E6159" s="705">
        <f t="shared" si="194"/>
        <v>19.111111111111114</v>
      </c>
    </row>
    <row r="6160" spans="2:5">
      <c r="B6160" s="943">
        <v>45175</v>
      </c>
      <c r="C6160" s="195">
        <f t="shared" si="193"/>
        <v>9</v>
      </c>
      <c r="D6160" s="195">
        <v>64.400000000000006</v>
      </c>
      <c r="E6160" s="705">
        <f t="shared" si="194"/>
        <v>18.000000000000004</v>
      </c>
    </row>
    <row r="6161" spans="2:5">
      <c r="B6161" s="943">
        <v>45175</v>
      </c>
      <c r="C6161" s="195">
        <f t="shared" si="193"/>
        <v>9</v>
      </c>
      <c r="D6161" s="195">
        <v>63.5</v>
      </c>
      <c r="E6161" s="705">
        <f t="shared" si="194"/>
        <v>17.5</v>
      </c>
    </row>
    <row r="6162" spans="2:5">
      <c r="B6162" s="943">
        <v>45175</v>
      </c>
      <c r="C6162" s="195">
        <f t="shared" si="193"/>
        <v>9</v>
      </c>
      <c r="D6162" s="195">
        <v>62.4</v>
      </c>
      <c r="E6162" s="705">
        <f t="shared" si="194"/>
        <v>16.888888888888889</v>
      </c>
    </row>
    <row r="6163" spans="2:5">
      <c r="B6163" s="943">
        <v>45175</v>
      </c>
      <c r="C6163" s="195">
        <f t="shared" si="193"/>
        <v>9</v>
      </c>
      <c r="D6163" s="195">
        <v>62.1</v>
      </c>
      <c r="E6163" s="705">
        <f t="shared" si="194"/>
        <v>16.722222222222221</v>
      </c>
    </row>
    <row r="6164" spans="2:5">
      <c r="B6164" s="943">
        <v>45175</v>
      </c>
      <c r="C6164" s="195">
        <f t="shared" si="193"/>
        <v>9</v>
      </c>
      <c r="D6164" s="195">
        <v>61.9</v>
      </c>
      <c r="E6164" s="705">
        <f t="shared" si="194"/>
        <v>16.611111111111111</v>
      </c>
    </row>
    <row r="6165" spans="2:5">
      <c r="B6165" s="943">
        <v>45175</v>
      </c>
      <c r="C6165" s="195">
        <f t="shared" si="193"/>
        <v>9</v>
      </c>
      <c r="D6165" s="195">
        <v>61.9</v>
      </c>
      <c r="E6165" s="705">
        <f t="shared" si="194"/>
        <v>16.611111111111111</v>
      </c>
    </row>
    <row r="6166" spans="2:5">
      <c r="B6166" s="943">
        <v>45175</v>
      </c>
      <c r="C6166" s="195">
        <f t="shared" si="193"/>
        <v>9</v>
      </c>
      <c r="D6166" s="195" t="s">
        <v>1443</v>
      </c>
      <c r="E6166" s="705">
        <f t="shared" si="194"/>
        <v>17.222222222222221</v>
      </c>
    </row>
    <row r="6167" spans="2:5">
      <c r="B6167" s="943">
        <v>45175</v>
      </c>
      <c r="C6167" s="195">
        <f t="shared" si="193"/>
        <v>9</v>
      </c>
      <c r="D6167" s="195">
        <v>64.2</v>
      </c>
      <c r="E6167" s="705">
        <f t="shared" si="194"/>
        <v>17.888888888888889</v>
      </c>
    </row>
    <row r="6168" spans="2:5">
      <c r="B6168" s="943">
        <v>45175</v>
      </c>
      <c r="C6168" s="195">
        <f t="shared" si="193"/>
        <v>9</v>
      </c>
      <c r="D6168" s="195">
        <v>65.7</v>
      </c>
      <c r="E6168" s="705">
        <f t="shared" si="194"/>
        <v>18.722222222222225</v>
      </c>
    </row>
    <row r="6169" spans="2:5">
      <c r="B6169" s="943">
        <v>45175</v>
      </c>
      <c r="C6169" s="195">
        <f t="shared" si="193"/>
        <v>9</v>
      </c>
      <c r="D6169" s="195">
        <v>66.400000000000006</v>
      </c>
      <c r="E6169" s="705">
        <f t="shared" si="194"/>
        <v>19.111111111111114</v>
      </c>
    </row>
    <row r="6170" spans="2:5">
      <c r="B6170" s="943">
        <v>45175</v>
      </c>
      <c r="C6170" s="195">
        <f t="shared" si="193"/>
        <v>9</v>
      </c>
      <c r="D6170" s="195">
        <v>67.099999999999994</v>
      </c>
      <c r="E6170" s="705">
        <f t="shared" si="194"/>
        <v>19.499999999999996</v>
      </c>
    </row>
    <row r="6171" spans="2:5">
      <c r="B6171" s="943">
        <v>45175</v>
      </c>
      <c r="C6171" s="195">
        <f t="shared" si="193"/>
        <v>9</v>
      </c>
      <c r="D6171" s="195">
        <v>66.400000000000006</v>
      </c>
      <c r="E6171" s="705">
        <f t="shared" si="194"/>
        <v>19.111111111111114</v>
      </c>
    </row>
    <row r="6172" spans="2:5">
      <c r="B6172" s="943">
        <v>45175</v>
      </c>
      <c r="C6172" s="195">
        <f t="shared" si="193"/>
        <v>9</v>
      </c>
      <c r="D6172" s="195">
        <v>64.2</v>
      </c>
      <c r="E6172" s="705">
        <f t="shared" si="194"/>
        <v>17.888888888888889</v>
      </c>
    </row>
    <row r="6173" spans="2:5">
      <c r="B6173" s="943">
        <v>45175</v>
      </c>
      <c r="C6173" s="195">
        <f t="shared" si="193"/>
        <v>9</v>
      </c>
      <c r="D6173" s="195" t="s">
        <v>1444</v>
      </c>
      <c r="E6173" s="705">
        <f t="shared" si="194"/>
        <v>17.777777777777779</v>
      </c>
    </row>
    <row r="6174" spans="2:5">
      <c r="B6174" s="943">
        <v>45175</v>
      </c>
      <c r="C6174" s="195">
        <f t="shared" si="193"/>
        <v>9</v>
      </c>
      <c r="D6174" s="195">
        <v>63.3</v>
      </c>
      <c r="E6174" s="705">
        <f t="shared" si="194"/>
        <v>17.388888888888886</v>
      </c>
    </row>
    <row r="6175" spans="2:5">
      <c r="B6175" s="943">
        <v>45175</v>
      </c>
      <c r="C6175" s="195">
        <f t="shared" si="193"/>
        <v>9</v>
      </c>
      <c r="D6175" s="195">
        <v>62.6</v>
      </c>
      <c r="E6175" s="705">
        <f t="shared" si="194"/>
        <v>17</v>
      </c>
    </row>
    <row r="6176" spans="2:5">
      <c r="B6176" s="943">
        <v>45175</v>
      </c>
      <c r="C6176" s="195">
        <f t="shared" si="193"/>
        <v>9</v>
      </c>
      <c r="D6176" s="195" t="s">
        <v>1443</v>
      </c>
      <c r="E6176" s="705">
        <f t="shared" si="194"/>
        <v>17.222222222222221</v>
      </c>
    </row>
    <row r="6177" spans="2:5">
      <c r="B6177" s="943">
        <v>45176</v>
      </c>
      <c r="C6177" s="195">
        <f t="shared" si="193"/>
        <v>9</v>
      </c>
      <c r="D6177" s="195">
        <v>63.3</v>
      </c>
      <c r="E6177" s="705">
        <f t="shared" si="194"/>
        <v>17.388888888888886</v>
      </c>
    </row>
    <row r="6178" spans="2:5">
      <c r="B6178" s="943">
        <v>45176</v>
      </c>
      <c r="C6178" s="195">
        <f t="shared" si="193"/>
        <v>9</v>
      </c>
      <c r="D6178" s="195">
        <v>63.7</v>
      </c>
      <c r="E6178" s="705">
        <f t="shared" si="194"/>
        <v>17.611111111111111</v>
      </c>
    </row>
    <row r="6179" spans="2:5">
      <c r="B6179" s="943">
        <v>45176</v>
      </c>
      <c r="C6179" s="195">
        <f t="shared" si="193"/>
        <v>9</v>
      </c>
      <c r="D6179" s="195">
        <v>64.599999999999994</v>
      </c>
      <c r="E6179" s="705">
        <f t="shared" si="194"/>
        <v>18.111111111111107</v>
      </c>
    </row>
    <row r="6180" spans="2:5">
      <c r="B6180" s="943">
        <v>45176</v>
      </c>
      <c r="C6180" s="195">
        <f t="shared" si="193"/>
        <v>9</v>
      </c>
      <c r="D6180" s="195">
        <v>65.8</v>
      </c>
      <c r="E6180" s="705">
        <f t="shared" si="194"/>
        <v>18.777777777777775</v>
      </c>
    </row>
    <row r="6181" spans="2:5">
      <c r="B6181" s="943">
        <v>45176</v>
      </c>
      <c r="C6181" s="195">
        <f t="shared" si="193"/>
        <v>9</v>
      </c>
      <c r="D6181" s="195">
        <v>66.7</v>
      </c>
      <c r="E6181" s="705">
        <f t="shared" si="194"/>
        <v>19.277777777777779</v>
      </c>
    </row>
    <row r="6182" spans="2:5">
      <c r="B6182" s="943">
        <v>45176</v>
      </c>
      <c r="C6182" s="195">
        <f t="shared" si="193"/>
        <v>9</v>
      </c>
      <c r="D6182" s="195">
        <v>67.5</v>
      </c>
      <c r="E6182" s="705">
        <f t="shared" si="194"/>
        <v>19.722222222222221</v>
      </c>
    </row>
    <row r="6183" spans="2:5">
      <c r="B6183" s="943">
        <v>45176</v>
      </c>
      <c r="C6183" s="195">
        <f t="shared" si="193"/>
        <v>9</v>
      </c>
      <c r="D6183" s="195">
        <v>67.599999999999994</v>
      </c>
      <c r="E6183" s="705">
        <f t="shared" si="194"/>
        <v>19.777777777777775</v>
      </c>
    </row>
    <row r="6184" spans="2:5">
      <c r="B6184" s="943">
        <v>45176</v>
      </c>
      <c r="C6184" s="195">
        <f t="shared" si="193"/>
        <v>9</v>
      </c>
      <c r="D6184" s="195">
        <v>67.3</v>
      </c>
      <c r="E6184" s="705">
        <f t="shared" si="194"/>
        <v>19.611111111111111</v>
      </c>
    </row>
    <row r="6185" spans="2:5">
      <c r="B6185" s="943">
        <v>45176</v>
      </c>
      <c r="C6185" s="195">
        <f t="shared" si="193"/>
        <v>9</v>
      </c>
      <c r="D6185" s="195">
        <v>65.8</v>
      </c>
      <c r="E6185" s="705">
        <f t="shared" si="194"/>
        <v>18.777777777777775</v>
      </c>
    </row>
    <row r="6186" spans="2:5">
      <c r="B6186" s="943">
        <v>45176</v>
      </c>
      <c r="C6186" s="195">
        <f t="shared" si="193"/>
        <v>9</v>
      </c>
      <c r="D6186" s="195">
        <v>64.8</v>
      </c>
      <c r="E6186" s="705">
        <f t="shared" si="194"/>
        <v>18.222222222222221</v>
      </c>
    </row>
    <row r="6187" spans="2:5">
      <c r="B6187" s="943">
        <v>45176</v>
      </c>
      <c r="C6187" s="195">
        <f t="shared" si="193"/>
        <v>9</v>
      </c>
      <c r="D6187" s="195">
        <v>63.7</v>
      </c>
      <c r="E6187" s="705">
        <f t="shared" si="194"/>
        <v>17.611111111111111</v>
      </c>
    </row>
    <row r="6188" spans="2:5">
      <c r="B6188" s="943">
        <v>45176</v>
      </c>
      <c r="C6188" s="195">
        <f t="shared" si="193"/>
        <v>9</v>
      </c>
      <c r="D6188" s="195">
        <v>62.6</v>
      </c>
      <c r="E6188" s="705">
        <f t="shared" si="194"/>
        <v>17</v>
      </c>
    </row>
    <row r="6189" spans="2:5">
      <c r="B6189" s="943">
        <v>45176</v>
      </c>
      <c r="C6189" s="195">
        <f t="shared" si="193"/>
        <v>9</v>
      </c>
      <c r="D6189" s="195">
        <v>61.9</v>
      </c>
      <c r="E6189" s="705">
        <f t="shared" si="194"/>
        <v>16.611111111111111</v>
      </c>
    </row>
    <row r="6190" spans="2:5">
      <c r="B6190" s="943">
        <v>45176</v>
      </c>
      <c r="C6190" s="195">
        <f t="shared" si="193"/>
        <v>9</v>
      </c>
      <c r="D6190" s="195">
        <v>62.4</v>
      </c>
      <c r="E6190" s="705">
        <f t="shared" si="194"/>
        <v>16.888888888888889</v>
      </c>
    </row>
    <row r="6191" spans="2:5">
      <c r="B6191" s="943">
        <v>45176</v>
      </c>
      <c r="C6191" s="195">
        <f t="shared" si="193"/>
        <v>9</v>
      </c>
      <c r="D6191" s="195">
        <v>63.9</v>
      </c>
      <c r="E6191" s="705">
        <f t="shared" si="194"/>
        <v>17.722222222222221</v>
      </c>
    </row>
    <row r="6192" spans="2:5">
      <c r="B6192" s="943">
        <v>45176</v>
      </c>
      <c r="C6192" s="195">
        <f t="shared" si="193"/>
        <v>9</v>
      </c>
      <c r="D6192" s="195">
        <v>65.3</v>
      </c>
      <c r="E6192" s="705">
        <f t="shared" si="194"/>
        <v>18.499999999999996</v>
      </c>
    </row>
    <row r="6193" spans="2:5">
      <c r="B6193" s="943">
        <v>45176</v>
      </c>
      <c r="C6193" s="195">
        <f t="shared" si="193"/>
        <v>9</v>
      </c>
      <c r="D6193" s="195">
        <v>66.7</v>
      </c>
      <c r="E6193" s="705">
        <f t="shared" si="194"/>
        <v>19.277777777777779</v>
      </c>
    </row>
    <row r="6194" spans="2:5">
      <c r="B6194" s="943">
        <v>45176</v>
      </c>
      <c r="C6194" s="195">
        <f t="shared" si="193"/>
        <v>9</v>
      </c>
      <c r="D6194" s="195">
        <v>67.599999999999994</v>
      </c>
      <c r="E6194" s="705">
        <f t="shared" si="194"/>
        <v>19.777777777777775</v>
      </c>
    </row>
    <row r="6195" spans="2:5">
      <c r="B6195" s="943">
        <v>45176</v>
      </c>
      <c r="C6195" s="195">
        <f t="shared" si="193"/>
        <v>9</v>
      </c>
      <c r="D6195" s="195">
        <v>68.2</v>
      </c>
      <c r="E6195" s="705">
        <f t="shared" si="194"/>
        <v>20.111111111111111</v>
      </c>
    </row>
    <row r="6196" spans="2:5">
      <c r="B6196" s="943">
        <v>45176</v>
      </c>
      <c r="C6196" s="195">
        <f t="shared" si="193"/>
        <v>9</v>
      </c>
      <c r="D6196" s="195">
        <v>67.5</v>
      </c>
      <c r="E6196" s="705">
        <f t="shared" si="194"/>
        <v>19.722222222222221</v>
      </c>
    </row>
    <row r="6197" spans="2:5">
      <c r="B6197" s="943">
        <v>45176</v>
      </c>
      <c r="C6197" s="195">
        <f t="shared" si="193"/>
        <v>9</v>
      </c>
      <c r="D6197" s="195">
        <v>65.3</v>
      </c>
      <c r="E6197" s="705">
        <f t="shared" si="194"/>
        <v>18.499999999999996</v>
      </c>
    </row>
    <row r="6198" spans="2:5">
      <c r="B6198" s="943">
        <v>45176</v>
      </c>
      <c r="C6198" s="195">
        <f t="shared" si="193"/>
        <v>9</v>
      </c>
      <c r="D6198" s="195">
        <v>64.400000000000006</v>
      </c>
      <c r="E6198" s="705">
        <f t="shared" si="194"/>
        <v>18.000000000000004</v>
      </c>
    </row>
    <row r="6199" spans="2:5">
      <c r="B6199" s="943">
        <v>45176</v>
      </c>
      <c r="C6199" s="195">
        <f t="shared" si="193"/>
        <v>9</v>
      </c>
      <c r="D6199" s="195">
        <v>63.9</v>
      </c>
      <c r="E6199" s="705">
        <f t="shared" si="194"/>
        <v>17.722222222222221</v>
      </c>
    </row>
    <row r="6200" spans="2:5">
      <c r="B6200" s="943">
        <v>45176</v>
      </c>
      <c r="C6200" s="195">
        <f t="shared" si="193"/>
        <v>9</v>
      </c>
      <c r="D6200" s="195">
        <v>63.5</v>
      </c>
      <c r="E6200" s="705">
        <f t="shared" si="194"/>
        <v>17.5</v>
      </c>
    </row>
    <row r="6201" spans="2:5">
      <c r="B6201" s="943">
        <v>45177</v>
      </c>
      <c r="C6201" s="195">
        <f t="shared" si="193"/>
        <v>9</v>
      </c>
      <c r="D6201" s="195">
        <v>63.1</v>
      </c>
      <c r="E6201" s="705">
        <f t="shared" si="194"/>
        <v>17.277777777777779</v>
      </c>
    </row>
    <row r="6202" spans="2:5">
      <c r="B6202" s="943">
        <v>45177</v>
      </c>
      <c r="C6202" s="195">
        <f t="shared" si="193"/>
        <v>9</v>
      </c>
      <c r="D6202" s="195">
        <v>63.5</v>
      </c>
      <c r="E6202" s="705">
        <f t="shared" si="194"/>
        <v>17.5</v>
      </c>
    </row>
    <row r="6203" spans="2:5">
      <c r="B6203" s="943">
        <v>45177</v>
      </c>
      <c r="C6203" s="195">
        <f t="shared" si="193"/>
        <v>9</v>
      </c>
      <c r="D6203" s="195">
        <v>64.400000000000006</v>
      </c>
      <c r="E6203" s="705">
        <f t="shared" si="194"/>
        <v>18.000000000000004</v>
      </c>
    </row>
    <row r="6204" spans="2:5">
      <c r="B6204" s="943">
        <v>45177</v>
      </c>
      <c r="C6204" s="195">
        <f t="shared" si="193"/>
        <v>9</v>
      </c>
      <c r="D6204" s="195">
        <v>65.3</v>
      </c>
      <c r="E6204" s="705">
        <f t="shared" si="194"/>
        <v>18.499999999999996</v>
      </c>
    </row>
    <row r="6205" spans="2:5">
      <c r="B6205" s="943">
        <v>45177</v>
      </c>
      <c r="C6205" s="195">
        <f t="shared" si="193"/>
        <v>9</v>
      </c>
      <c r="D6205" s="195">
        <v>66.7</v>
      </c>
      <c r="E6205" s="705">
        <f t="shared" si="194"/>
        <v>19.277777777777779</v>
      </c>
    </row>
    <row r="6206" spans="2:5">
      <c r="B6206" s="943">
        <v>45177</v>
      </c>
      <c r="C6206" s="195">
        <f t="shared" si="193"/>
        <v>9</v>
      </c>
      <c r="D6206" s="195">
        <v>67.599999999999994</v>
      </c>
      <c r="E6206" s="705">
        <f t="shared" si="194"/>
        <v>19.777777777777775</v>
      </c>
    </row>
    <row r="6207" spans="2:5">
      <c r="B6207" s="943">
        <v>45177</v>
      </c>
      <c r="C6207" s="195">
        <f t="shared" si="193"/>
        <v>9</v>
      </c>
      <c r="D6207" s="195">
        <v>68.5</v>
      </c>
      <c r="E6207" s="705">
        <f t="shared" si="194"/>
        <v>20.277777777777779</v>
      </c>
    </row>
    <row r="6208" spans="2:5">
      <c r="B6208" s="943">
        <v>45177</v>
      </c>
      <c r="C6208" s="195">
        <f t="shared" si="193"/>
        <v>9</v>
      </c>
      <c r="D6208" s="195">
        <v>68.7</v>
      </c>
      <c r="E6208" s="705">
        <f t="shared" si="194"/>
        <v>20.388888888888889</v>
      </c>
    </row>
    <row r="6209" spans="2:5">
      <c r="B6209" s="943">
        <v>45177</v>
      </c>
      <c r="C6209" s="195">
        <f t="shared" si="193"/>
        <v>9</v>
      </c>
      <c r="D6209" s="195">
        <v>68.400000000000006</v>
      </c>
      <c r="E6209" s="705">
        <f t="shared" si="194"/>
        <v>20.222222222222225</v>
      </c>
    </row>
    <row r="6210" spans="2:5">
      <c r="B6210" s="943">
        <v>45177</v>
      </c>
      <c r="C6210" s="195">
        <f t="shared" si="193"/>
        <v>9</v>
      </c>
      <c r="D6210" s="195">
        <v>66.900000000000006</v>
      </c>
      <c r="E6210" s="705">
        <f t="shared" si="194"/>
        <v>19.388888888888893</v>
      </c>
    </row>
    <row r="6211" spans="2:5">
      <c r="B6211" s="943">
        <v>45177</v>
      </c>
      <c r="C6211" s="195">
        <f t="shared" si="193"/>
        <v>9</v>
      </c>
      <c r="D6211" s="195">
        <v>65.5</v>
      </c>
      <c r="E6211" s="705">
        <f t="shared" si="194"/>
        <v>18.611111111111111</v>
      </c>
    </row>
    <row r="6212" spans="2:5">
      <c r="B6212" s="943">
        <v>45177</v>
      </c>
      <c r="C6212" s="195">
        <f t="shared" si="193"/>
        <v>9</v>
      </c>
      <c r="D6212" s="195">
        <v>64.400000000000006</v>
      </c>
      <c r="E6212" s="705">
        <f t="shared" si="194"/>
        <v>18.000000000000004</v>
      </c>
    </row>
    <row r="6213" spans="2:5">
      <c r="B6213" s="943">
        <v>45177</v>
      </c>
      <c r="C6213" s="195">
        <f t="shared" si="193"/>
        <v>9</v>
      </c>
      <c r="D6213" s="195">
        <v>63.5</v>
      </c>
      <c r="E6213" s="705">
        <f t="shared" si="194"/>
        <v>17.5</v>
      </c>
    </row>
    <row r="6214" spans="2:5">
      <c r="B6214" s="943">
        <v>45177</v>
      </c>
      <c r="C6214" s="195">
        <f t="shared" si="193"/>
        <v>9</v>
      </c>
      <c r="D6214" s="195">
        <v>62.8</v>
      </c>
      <c r="E6214" s="705">
        <f t="shared" si="194"/>
        <v>17.111111111111111</v>
      </c>
    </row>
    <row r="6215" spans="2:5">
      <c r="B6215" s="943">
        <v>45177</v>
      </c>
      <c r="C6215" s="195">
        <f t="shared" si="193"/>
        <v>9</v>
      </c>
      <c r="D6215" s="195">
        <v>63.1</v>
      </c>
      <c r="E6215" s="705">
        <f t="shared" si="194"/>
        <v>17.277777777777779</v>
      </c>
    </row>
    <row r="6216" spans="2:5">
      <c r="B6216" s="943">
        <v>45177</v>
      </c>
      <c r="C6216" s="195">
        <f t="shared" si="193"/>
        <v>9</v>
      </c>
      <c r="D6216" s="195">
        <v>64.599999999999994</v>
      </c>
      <c r="E6216" s="705">
        <f t="shared" si="194"/>
        <v>18.111111111111107</v>
      </c>
    </row>
    <row r="6217" spans="2:5">
      <c r="B6217" s="943">
        <v>45177</v>
      </c>
      <c r="C6217" s="195">
        <f t="shared" si="193"/>
        <v>9</v>
      </c>
      <c r="D6217" s="195" t="s">
        <v>1445</v>
      </c>
      <c r="E6217" s="705">
        <f t="shared" si="194"/>
        <v>18.888888888888889</v>
      </c>
    </row>
    <row r="6218" spans="2:5">
      <c r="B6218" s="943">
        <v>45177</v>
      </c>
      <c r="C6218" s="195">
        <f t="shared" ref="C6218:C6281" si="195">MONTH(B6218)</f>
        <v>9</v>
      </c>
      <c r="D6218" s="195">
        <v>67.599999999999994</v>
      </c>
      <c r="E6218" s="705">
        <f t="shared" ref="E6218:E6281" si="196">CONVERT(D6218,"F","C")</f>
        <v>19.777777777777775</v>
      </c>
    </row>
    <row r="6219" spans="2:5">
      <c r="B6219" s="943">
        <v>45177</v>
      </c>
      <c r="C6219" s="195">
        <f t="shared" si="195"/>
        <v>9</v>
      </c>
      <c r="D6219" s="195">
        <v>68.5</v>
      </c>
      <c r="E6219" s="705">
        <f t="shared" si="196"/>
        <v>20.277777777777779</v>
      </c>
    </row>
    <row r="6220" spans="2:5">
      <c r="B6220" s="943">
        <v>45177</v>
      </c>
      <c r="C6220" s="195">
        <f t="shared" si="195"/>
        <v>9</v>
      </c>
      <c r="D6220" s="195">
        <v>68.900000000000006</v>
      </c>
      <c r="E6220" s="705">
        <f t="shared" si="196"/>
        <v>20.500000000000004</v>
      </c>
    </row>
    <row r="6221" spans="2:5">
      <c r="B6221" s="943">
        <v>45177</v>
      </c>
      <c r="C6221" s="195">
        <f t="shared" si="195"/>
        <v>9</v>
      </c>
      <c r="D6221" s="195" t="s">
        <v>1446</v>
      </c>
      <c r="E6221" s="705">
        <f t="shared" si="196"/>
        <v>20</v>
      </c>
    </row>
    <row r="6222" spans="2:5">
      <c r="B6222" s="943">
        <v>45177</v>
      </c>
      <c r="C6222" s="195">
        <f t="shared" si="195"/>
        <v>9</v>
      </c>
      <c r="D6222" s="195">
        <v>66.2</v>
      </c>
      <c r="E6222" s="705">
        <f t="shared" si="196"/>
        <v>19</v>
      </c>
    </row>
    <row r="6223" spans="2:5">
      <c r="B6223" s="943">
        <v>45177</v>
      </c>
      <c r="C6223" s="195">
        <f t="shared" si="195"/>
        <v>9</v>
      </c>
      <c r="D6223" s="195">
        <v>65.5</v>
      </c>
      <c r="E6223" s="705">
        <f t="shared" si="196"/>
        <v>18.611111111111111</v>
      </c>
    </row>
    <row r="6224" spans="2:5">
      <c r="B6224" s="943">
        <v>45177</v>
      </c>
      <c r="C6224" s="195">
        <f t="shared" si="195"/>
        <v>9</v>
      </c>
      <c r="D6224" s="195">
        <v>64.2</v>
      </c>
      <c r="E6224" s="705">
        <f t="shared" si="196"/>
        <v>17.888888888888889</v>
      </c>
    </row>
    <row r="6225" spans="2:5">
      <c r="B6225" s="943">
        <v>45178</v>
      </c>
      <c r="C6225" s="195">
        <f t="shared" si="195"/>
        <v>9</v>
      </c>
      <c r="D6225" s="195">
        <v>63.5</v>
      </c>
      <c r="E6225" s="705">
        <f t="shared" si="196"/>
        <v>17.5</v>
      </c>
    </row>
    <row r="6226" spans="2:5">
      <c r="B6226" s="943">
        <v>45178</v>
      </c>
      <c r="C6226" s="195">
        <f t="shared" si="195"/>
        <v>9</v>
      </c>
      <c r="D6226" s="195">
        <v>62.2</v>
      </c>
      <c r="E6226" s="705">
        <f t="shared" si="196"/>
        <v>16.777777777777779</v>
      </c>
    </row>
    <row r="6227" spans="2:5">
      <c r="B6227" s="943">
        <v>45178</v>
      </c>
      <c r="C6227" s="195">
        <f t="shared" si="195"/>
        <v>9</v>
      </c>
      <c r="D6227" s="195" t="s">
        <v>1443</v>
      </c>
      <c r="E6227" s="705">
        <f t="shared" si="196"/>
        <v>17.222222222222221</v>
      </c>
    </row>
    <row r="6228" spans="2:5">
      <c r="B6228" s="943">
        <v>45178</v>
      </c>
      <c r="C6228" s="195">
        <f t="shared" si="195"/>
        <v>9</v>
      </c>
      <c r="D6228" s="195">
        <v>64.2</v>
      </c>
      <c r="E6228" s="705">
        <f t="shared" si="196"/>
        <v>17.888888888888889</v>
      </c>
    </row>
    <row r="6229" spans="2:5">
      <c r="B6229" s="943">
        <v>45178</v>
      </c>
      <c r="C6229" s="195">
        <f t="shared" si="195"/>
        <v>9</v>
      </c>
      <c r="D6229" s="195">
        <v>65.5</v>
      </c>
      <c r="E6229" s="705">
        <f t="shared" si="196"/>
        <v>18.611111111111111</v>
      </c>
    </row>
    <row r="6230" spans="2:5">
      <c r="B6230" s="943">
        <v>45178</v>
      </c>
      <c r="C6230" s="195">
        <f t="shared" si="195"/>
        <v>9</v>
      </c>
      <c r="D6230" s="195">
        <v>67.099999999999994</v>
      </c>
      <c r="E6230" s="705">
        <f t="shared" si="196"/>
        <v>19.499999999999996</v>
      </c>
    </row>
    <row r="6231" spans="2:5">
      <c r="B6231" s="943">
        <v>45178</v>
      </c>
      <c r="C6231" s="195">
        <f t="shared" si="195"/>
        <v>9</v>
      </c>
      <c r="D6231" s="195">
        <v>68.2</v>
      </c>
      <c r="E6231" s="705">
        <f t="shared" si="196"/>
        <v>20.111111111111111</v>
      </c>
    </row>
    <row r="6232" spans="2:5">
      <c r="B6232" s="943">
        <v>45178</v>
      </c>
      <c r="C6232" s="195">
        <f t="shared" si="195"/>
        <v>9</v>
      </c>
      <c r="D6232" s="195">
        <v>68.900000000000006</v>
      </c>
      <c r="E6232" s="705">
        <f t="shared" si="196"/>
        <v>20.500000000000004</v>
      </c>
    </row>
    <row r="6233" spans="2:5">
      <c r="B6233" s="943">
        <v>45178</v>
      </c>
      <c r="C6233" s="195">
        <f t="shared" si="195"/>
        <v>9</v>
      </c>
      <c r="D6233" s="195">
        <v>69.3</v>
      </c>
      <c r="E6233" s="705">
        <f t="shared" si="196"/>
        <v>20.722222222222221</v>
      </c>
    </row>
    <row r="6234" spans="2:5">
      <c r="B6234" s="943">
        <v>45178</v>
      </c>
      <c r="C6234" s="195">
        <f t="shared" si="195"/>
        <v>9</v>
      </c>
      <c r="D6234" s="195">
        <v>68.7</v>
      </c>
      <c r="E6234" s="705">
        <f t="shared" si="196"/>
        <v>20.388888888888889</v>
      </c>
    </row>
    <row r="6235" spans="2:5">
      <c r="B6235" s="943">
        <v>45178</v>
      </c>
      <c r="C6235" s="195">
        <f t="shared" si="195"/>
        <v>9</v>
      </c>
      <c r="D6235" s="195">
        <v>67.099999999999994</v>
      </c>
      <c r="E6235" s="705">
        <f t="shared" si="196"/>
        <v>19.499999999999996</v>
      </c>
    </row>
    <row r="6236" spans="2:5">
      <c r="B6236" s="943">
        <v>45178</v>
      </c>
      <c r="C6236" s="195">
        <f t="shared" si="195"/>
        <v>9</v>
      </c>
      <c r="D6236" s="195">
        <v>65.8</v>
      </c>
      <c r="E6236" s="705">
        <f t="shared" si="196"/>
        <v>18.777777777777775</v>
      </c>
    </row>
    <row r="6237" spans="2:5">
      <c r="B6237" s="943">
        <v>45178</v>
      </c>
      <c r="C6237" s="195">
        <f t="shared" si="195"/>
        <v>9</v>
      </c>
      <c r="D6237" s="195">
        <v>63.5</v>
      </c>
      <c r="E6237" s="705">
        <f t="shared" si="196"/>
        <v>17.5</v>
      </c>
    </row>
    <row r="6238" spans="2:5">
      <c r="B6238" s="943">
        <v>45178</v>
      </c>
      <c r="C6238" s="195">
        <f t="shared" si="195"/>
        <v>9</v>
      </c>
      <c r="D6238" s="195">
        <v>62.1</v>
      </c>
      <c r="E6238" s="705">
        <f t="shared" si="196"/>
        <v>16.722222222222221</v>
      </c>
    </row>
    <row r="6239" spans="2:5">
      <c r="B6239" s="943">
        <v>45178</v>
      </c>
      <c r="C6239" s="195">
        <f t="shared" si="195"/>
        <v>9</v>
      </c>
      <c r="D6239" s="195">
        <v>61.7</v>
      </c>
      <c r="E6239" s="705">
        <f t="shared" si="196"/>
        <v>16.5</v>
      </c>
    </row>
    <row r="6240" spans="2:5">
      <c r="B6240" s="943">
        <v>45178</v>
      </c>
      <c r="C6240" s="195">
        <f t="shared" si="195"/>
        <v>9</v>
      </c>
      <c r="D6240" s="195">
        <v>62.2</v>
      </c>
      <c r="E6240" s="705">
        <f t="shared" si="196"/>
        <v>16.777777777777779</v>
      </c>
    </row>
    <row r="6241" spans="2:5">
      <c r="B6241" s="943">
        <v>45178</v>
      </c>
      <c r="C6241" s="195">
        <f t="shared" si="195"/>
        <v>9</v>
      </c>
      <c r="D6241" s="195">
        <v>63.9</v>
      </c>
      <c r="E6241" s="705">
        <f t="shared" si="196"/>
        <v>17.722222222222221</v>
      </c>
    </row>
    <row r="6242" spans="2:5">
      <c r="B6242" s="943">
        <v>45178</v>
      </c>
      <c r="C6242" s="195">
        <f t="shared" si="195"/>
        <v>9</v>
      </c>
      <c r="D6242" s="195">
        <v>65.7</v>
      </c>
      <c r="E6242" s="705">
        <f t="shared" si="196"/>
        <v>18.722222222222225</v>
      </c>
    </row>
    <row r="6243" spans="2:5">
      <c r="B6243" s="943">
        <v>45178</v>
      </c>
      <c r="C6243" s="195">
        <f t="shared" si="195"/>
        <v>9</v>
      </c>
      <c r="D6243" s="195">
        <v>67.599999999999994</v>
      </c>
      <c r="E6243" s="705">
        <f t="shared" si="196"/>
        <v>19.777777777777775</v>
      </c>
    </row>
    <row r="6244" spans="2:5">
      <c r="B6244" s="943">
        <v>45178</v>
      </c>
      <c r="C6244" s="195">
        <f t="shared" si="195"/>
        <v>9</v>
      </c>
      <c r="D6244" s="195">
        <v>69.099999999999994</v>
      </c>
      <c r="E6244" s="705">
        <f t="shared" si="196"/>
        <v>20.611111111111107</v>
      </c>
    </row>
    <row r="6245" spans="2:5">
      <c r="B6245" s="943">
        <v>45178</v>
      </c>
      <c r="C6245" s="195">
        <f t="shared" si="195"/>
        <v>9</v>
      </c>
      <c r="D6245" s="195">
        <v>69.400000000000006</v>
      </c>
      <c r="E6245" s="705">
        <f t="shared" si="196"/>
        <v>20.777777777777782</v>
      </c>
    </row>
    <row r="6246" spans="2:5">
      <c r="B6246" s="943">
        <v>45178</v>
      </c>
      <c r="C6246" s="195">
        <f t="shared" si="195"/>
        <v>9</v>
      </c>
      <c r="D6246" s="195">
        <v>68.2</v>
      </c>
      <c r="E6246" s="705">
        <f t="shared" si="196"/>
        <v>20.111111111111111</v>
      </c>
    </row>
    <row r="6247" spans="2:5">
      <c r="B6247" s="943">
        <v>45178</v>
      </c>
      <c r="C6247" s="195">
        <f t="shared" si="195"/>
        <v>9</v>
      </c>
      <c r="D6247" s="195">
        <v>65.7</v>
      </c>
      <c r="E6247" s="705">
        <f t="shared" si="196"/>
        <v>18.722222222222225</v>
      </c>
    </row>
    <row r="6248" spans="2:5">
      <c r="B6248" s="943">
        <v>45178</v>
      </c>
      <c r="C6248" s="195">
        <f t="shared" si="195"/>
        <v>9</v>
      </c>
      <c r="D6248" s="195">
        <v>64.599999999999994</v>
      </c>
      <c r="E6248" s="705">
        <f t="shared" si="196"/>
        <v>18.111111111111107</v>
      </c>
    </row>
    <row r="6249" spans="2:5">
      <c r="B6249" s="943">
        <v>45179</v>
      </c>
      <c r="C6249" s="195">
        <f t="shared" si="195"/>
        <v>9</v>
      </c>
      <c r="D6249" s="195">
        <v>62.4</v>
      </c>
      <c r="E6249" s="705">
        <f t="shared" si="196"/>
        <v>16.888888888888889</v>
      </c>
    </row>
    <row r="6250" spans="2:5">
      <c r="B6250" s="943">
        <v>45179</v>
      </c>
      <c r="C6250" s="195">
        <f t="shared" si="195"/>
        <v>9</v>
      </c>
      <c r="D6250" s="195">
        <v>61.7</v>
      </c>
      <c r="E6250" s="705">
        <f t="shared" si="196"/>
        <v>16.5</v>
      </c>
    </row>
    <row r="6251" spans="2:5">
      <c r="B6251" s="943">
        <v>45179</v>
      </c>
      <c r="C6251" s="195">
        <f t="shared" si="195"/>
        <v>9</v>
      </c>
      <c r="D6251" s="195">
        <v>60.6</v>
      </c>
      <c r="E6251" s="705">
        <f t="shared" si="196"/>
        <v>15.888888888888889</v>
      </c>
    </row>
    <row r="6252" spans="2:5">
      <c r="B6252" s="943">
        <v>45179</v>
      </c>
      <c r="C6252" s="195">
        <f t="shared" si="195"/>
        <v>9</v>
      </c>
      <c r="D6252" s="195">
        <v>61.3</v>
      </c>
      <c r="E6252" s="705">
        <f t="shared" si="196"/>
        <v>16.277777777777775</v>
      </c>
    </row>
    <row r="6253" spans="2:5">
      <c r="B6253" s="943">
        <v>45179</v>
      </c>
      <c r="C6253" s="195">
        <f t="shared" si="195"/>
        <v>9</v>
      </c>
      <c r="D6253" s="195">
        <v>62.2</v>
      </c>
      <c r="E6253" s="705">
        <f t="shared" si="196"/>
        <v>16.777777777777779</v>
      </c>
    </row>
    <row r="6254" spans="2:5">
      <c r="B6254" s="943">
        <v>45179</v>
      </c>
      <c r="C6254" s="195">
        <f t="shared" si="195"/>
        <v>9</v>
      </c>
      <c r="D6254" s="195" t="s">
        <v>1444</v>
      </c>
      <c r="E6254" s="705">
        <f t="shared" si="196"/>
        <v>17.777777777777779</v>
      </c>
    </row>
    <row r="6255" spans="2:5">
      <c r="B6255" s="943">
        <v>45179</v>
      </c>
      <c r="C6255" s="195">
        <f t="shared" si="195"/>
        <v>9</v>
      </c>
      <c r="D6255" s="195">
        <v>66.2</v>
      </c>
      <c r="E6255" s="705">
        <f t="shared" si="196"/>
        <v>19</v>
      </c>
    </row>
    <row r="6256" spans="2:5">
      <c r="B6256" s="943">
        <v>45179</v>
      </c>
      <c r="C6256" s="195">
        <f t="shared" si="195"/>
        <v>9</v>
      </c>
      <c r="D6256" s="195">
        <v>67.8</v>
      </c>
      <c r="E6256" s="705">
        <f t="shared" si="196"/>
        <v>19.888888888888886</v>
      </c>
    </row>
    <row r="6257" spans="2:5">
      <c r="B6257" s="943">
        <v>45179</v>
      </c>
      <c r="C6257" s="195">
        <f t="shared" si="195"/>
        <v>9</v>
      </c>
      <c r="D6257" s="195">
        <v>68.900000000000006</v>
      </c>
      <c r="E6257" s="705">
        <f t="shared" si="196"/>
        <v>20.500000000000004</v>
      </c>
    </row>
    <row r="6258" spans="2:5">
      <c r="B6258" s="943">
        <v>45179</v>
      </c>
      <c r="C6258" s="195">
        <f t="shared" si="195"/>
        <v>9</v>
      </c>
      <c r="D6258" s="195">
        <v>69.400000000000006</v>
      </c>
      <c r="E6258" s="705">
        <f t="shared" si="196"/>
        <v>20.777777777777782</v>
      </c>
    </row>
    <row r="6259" spans="2:5">
      <c r="B6259" s="943">
        <v>45179</v>
      </c>
      <c r="C6259" s="195">
        <f t="shared" si="195"/>
        <v>9</v>
      </c>
      <c r="D6259" s="195">
        <v>68.5</v>
      </c>
      <c r="E6259" s="705">
        <f t="shared" si="196"/>
        <v>20.277777777777779</v>
      </c>
    </row>
    <row r="6260" spans="2:5">
      <c r="B6260" s="943">
        <v>45179</v>
      </c>
      <c r="C6260" s="195">
        <f t="shared" si="195"/>
        <v>9</v>
      </c>
      <c r="D6260" s="195" t="s">
        <v>1445</v>
      </c>
      <c r="E6260" s="705">
        <f t="shared" si="196"/>
        <v>18.888888888888889</v>
      </c>
    </row>
    <row r="6261" spans="2:5">
      <c r="B6261" s="943">
        <v>45179</v>
      </c>
      <c r="C6261" s="195">
        <f t="shared" si="195"/>
        <v>9</v>
      </c>
      <c r="D6261" s="195">
        <v>64.900000000000006</v>
      </c>
      <c r="E6261" s="705">
        <f t="shared" si="196"/>
        <v>18.277777777777782</v>
      </c>
    </row>
    <row r="6262" spans="2:5">
      <c r="B6262" s="943">
        <v>45179</v>
      </c>
      <c r="C6262" s="195">
        <f t="shared" si="195"/>
        <v>9</v>
      </c>
      <c r="D6262" s="195" t="s">
        <v>1443</v>
      </c>
      <c r="E6262" s="705">
        <f t="shared" si="196"/>
        <v>17.222222222222221</v>
      </c>
    </row>
    <row r="6263" spans="2:5">
      <c r="B6263" s="943">
        <v>45179</v>
      </c>
      <c r="C6263" s="195">
        <f t="shared" si="195"/>
        <v>9</v>
      </c>
      <c r="D6263" s="195" t="s">
        <v>1442</v>
      </c>
      <c r="E6263" s="705">
        <f t="shared" si="196"/>
        <v>16.111111111111111</v>
      </c>
    </row>
    <row r="6264" spans="2:5">
      <c r="B6264" s="943">
        <v>45179</v>
      </c>
      <c r="C6264" s="195">
        <f t="shared" si="195"/>
        <v>9</v>
      </c>
      <c r="D6264" s="195">
        <v>60.1</v>
      </c>
      <c r="E6264" s="705">
        <f t="shared" si="196"/>
        <v>15.611111111111111</v>
      </c>
    </row>
    <row r="6265" spans="2:5">
      <c r="B6265" s="943">
        <v>45179</v>
      </c>
      <c r="C6265" s="195">
        <f t="shared" si="195"/>
        <v>9</v>
      </c>
      <c r="D6265" s="195">
        <v>61.2</v>
      </c>
      <c r="E6265" s="705">
        <f t="shared" si="196"/>
        <v>16.222222222222225</v>
      </c>
    </row>
    <row r="6266" spans="2:5">
      <c r="B6266" s="943">
        <v>45179</v>
      </c>
      <c r="C6266" s="195">
        <f t="shared" si="195"/>
        <v>9</v>
      </c>
      <c r="D6266" s="195">
        <v>62.8</v>
      </c>
      <c r="E6266" s="705">
        <f t="shared" si="196"/>
        <v>17.111111111111111</v>
      </c>
    </row>
    <row r="6267" spans="2:5">
      <c r="B6267" s="943">
        <v>45179</v>
      </c>
      <c r="C6267" s="195">
        <f t="shared" si="195"/>
        <v>9</v>
      </c>
      <c r="D6267" s="195">
        <v>64.400000000000006</v>
      </c>
      <c r="E6267" s="705">
        <f t="shared" si="196"/>
        <v>18.000000000000004</v>
      </c>
    </row>
    <row r="6268" spans="2:5">
      <c r="B6268" s="943">
        <v>45179</v>
      </c>
      <c r="C6268" s="195">
        <f t="shared" si="195"/>
        <v>9</v>
      </c>
      <c r="D6268" s="195">
        <v>66.7</v>
      </c>
      <c r="E6268" s="705">
        <f t="shared" si="196"/>
        <v>19.277777777777779</v>
      </c>
    </row>
    <row r="6269" spans="2:5">
      <c r="B6269" s="943">
        <v>45179</v>
      </c>
      <c r="C6269" s="195">
        <f t="shared" si="195"/>
        <v>9</v>
      </c>
      <c r="D6269" s="195">
        <v>68.2</v>
      </c>
      <c r="E6269" s="705">
        <f t="shared" si="196"/>
        <v>20.111111111111111</v>
      </c>
    </row>
    <row r="6270" spans="2:5">
      <c r="B6270" s="943">
        <v>45179</v>
      </c>
      <c r="C6270" s="195">
        <f t="shared" si="195"/>
        <v>9</v>
      </c>
      <c r="D6270" s="195">
        <v>68.7</v>
      </c>
      <c r="E6270" s="705">
        <f t="shared" si="196"/>
        <v>20.388888888888889</v>
      </c>
    </row>
    <row r="6271" spans="2:5">
      <c r="B6271" s="943">
        <v>45179</v>
      </c>
      <c r="C6271" s="195">
        <f t="shared" si="195"/>
        <v>9</v>
      </c>
      <c r="D6271" s="195">
        <v>67.099999999999994</v>
      </c>
      <c r="E6271" s="705">
        <f t="shared" si="196"/>
        <v>19.499999999999996</v>
      </c>
    </row>
    <row r="6272" spans="2:5">
      <c r="B6272" s="943">
        <v>45179</v>
      </c>
      <c r="C6272" s="195">
        <f t="shared" si="195"/>
        <v>9</v>
      </c>
      <c r="D6272" s="195">
        <v>64.900000000000006</v>
      </c>
      <c r="E6272" s="705">
        <f t="shared" si="196"/>
        <v>18.277777777777782</v>
      </c>
    </row>
    <row r="6273" spans="2:5">
      <c r="B6273" s="943">
        <v>45180</v>
      </c>
      <c r="C6273" s="195">
        <f t="shared" si="195"/>
        <v>9</v>
      </c>
      <c r="D6273" s="195">
        <v>63.3</v>
      </c>
      <c r="E6273" s="705">
        <f t="shared" si="196"/>
        <v>17.388888888888886</v>
      </c>
    </row>
    <row r="6274" spans="2:5">
      <c r="B6274" s="943">
        <v>45180</v>
      </c>
      <c r="C6274" s="195">
        <f t="shared" si="195"/>
        <v>9</v>
      </c>
      <c r="D6274" s="195">
        <v>63.1</v>
      </c>
      <c r="E6274" s="705">
        <f t="shared" si="196"/>
        <v>17.277777777777779</v>
      </c>
    </row>
    <row r="6275" spans="2:5">
      <c r="B6275" s="943">
        <v>45180</v>
      </c>
      <c r="C6275" s="195">
        <f t="shared" si="195"/>
        <v>9</v>
      </c>
      <c r="D6275" s="195">
        <v>63.9</v>
      </c>
      <c r="E6275" s="705">
        <f t="shared" si="196"/>
        <v>17.722222222222221</v>
      </c>
    </row>
    <row r="6276" spans="2:5">
      <c r="B6276" s="943">
        <v>45180</v>
      </c>
      <c r="C6276" s="195">
        <f t="shared" si="195"/>
        <v>9</v>
      </c>
      <c r="D6276" s="195" t="s">
        <v>1444</v>
      </c>
      <c r="E6276" s="705">
        <f t="shared" si="196"/>
        <v>17.777777777777779</v>
      </c>
    </row>
    <row r="6277" spans="2:5">
      <c r="B6277" s="943">
        <v>45180</v>
      </c>
      <c r="C6277" s="195">
        <f t="shared" si="195"/>
        <v>9</v>
      </c>
      <c r="D6277" s="195" t="s">
        <v>1444</v>
      </c>
      <c r="E6277" s="705">
        <f t="shared" si="196"/>
        <v>17.777777777777779</v>
      </c>
    </row>
    <row r="6278" spans="2:5">
      <c r="B6278" s="943">
        <v>45180</v>
      </c>
      <c r="C6278" s="195">
        <f t="shared" si="195"/>
        <v>9</v>
      </c>
      <c r="D6278" s="195" t="s">
        <v>1444</v>
      </c>
      <c r="E6278" s="705">
        <f t="shared" si="196"/>
        <v>17.777777777777779</v>
      </c>
    </row>
    <row r="6279" spans="2:5">
      <c r="B6279" s="943">
        <v>45180</v>
      </c>
      <c r="C6279" s="195">
        <f t="shared" si="195"/>
        <v>9</v>
      </c>
      <c r="D6279" s="195">
        <v>64.400000000000006</v>
      </c>
      <c r="E6279" s="705">
        <f t="shared" si="196"/>
        <v>18.000000000000004</v>
      </c>
    </row>
    <row r="6280" spans="2:5">
      <c r="B6280" s="943">
        <v>45180</v>
      </c>
      <c r="C6280" s="195">
        <f t="shared" si="195"/>
        <v>9</v>
      </c>
      <c r="D6280" s="195">
        <v>65.8</v>
      </c>
      <c r="E6280" s="705">
        <f t="shared" si="196"/>
        <v>18.777777777777775</v>
      </c>
    </row>
    <row r="6281" spans="2:5">
      <c r="B6281" s="943">
        <v>45180</v>
      </c>
      <c r="C6281" s="195">
        <f t="shared" si="195"/>
        <v>9</v>
      </c>
      <c r="D6281" s="195">
        <v>67.099999999999994</v>
      </c>
      <c r="E6281" s="705">
        <f t="shared" si="196"/>
        <v>19.499999999999996</v>
      </c>
    </row>
    <row r="6282" spans="2:5">
      <c r="B6282" s="943">
        <v>45180</v>
      </c>
      <c r="C6282" s="195">
        <f t="shared" ref="C6282:C6345" si="197">MONTH(B6282)</f>
        <v>9</v>
      </c>
      <c r="D6282" s="195">
        <v>68.2</v>
      </c>
      <c r="E6282" s="705">
        <f t="shared" ref="E6282:E6345" si="198">CONVERT(D6282,"F","C")</f>
        <v>20.111111111111111</v>
      </c>
    </row>
    <row r="6283" spans="2:5">
      <c r="B6283" s="943">
        <v>45180</v>
      </c>
      <c r="C6283" s="195">
        <f t="shared" si="197"/>
        <v>9</v>
      </c>
      <c r="D6283" s="195">
        <v>68.5</v>
      </c>
      <c r="E6283" s="705">
        <f t="shared" si="198"/>
        <v>20.277777777777779</v>
      </c>
    </row>
    <row r="6284" spans="2:5">
      <c r="B6284" s="943">
        <v>45180</v>
      </c>
      <c r="C6284" s="195">
        <f t="shared" si="197"/>
        <v>9</v>
      </c>
      <c r="D6284" s="195">
        <v>67.8</v>
      </c>
      <c r="E6284" s="705">
        <f t="shared" si="198"/>
        <v>19.888888888888886</v>
      </c>
    </row>
    <row r="6285" spans="2:5">
      <c r="B6285" s="943">
        <v>45180</v>
      </c>
      <c r="C6285" s="195">
        <f t="shared" si="197"/>
        <v>9</v>
      </c>
      <c r="D6285" s="195" t="s">
        <v>1445</v>
      </c>
      <c r="E6285" s="705">
        <f t="shared" si="198"/>
        <v>18.888888888888889</v>
      </c>
    </row>
    <row r="6286" spans="2:5">
      <c r="B6286" s="943">
        <v>45180</v>
      </c>
      <c r="C6286" s="195">
        <f t="shared" si="197"/>
        <v>9</v>
      </c>
      <c r="D6286" s="195">
        <v>65.3</v>
      </c>
      <c r="E6286" s="705">
        <f t="shared" si="198"/>
        <v>18.499999999999996</v>
      </c>
    </row>
    <row r="6287" spans="2:5">
      <c r="B6287" s="943">
        <v>45180</v>
      </c>
      <c r="C6287" s="195">
        <f t="shared" si="197"/>
        <v>9</v>
      </c>
      <c r="D6287" s="195">
        <v>64.599999999999994</v>
      </c>
      <c r="E6287" s="705">
        <f t="shared" si="198"/>
        <v>18.111111111111107</v>
      </c>
    </row>
    <row r="6288" spans="2:5">
      <c r="B6288" s="943">
        <v>45180</v>
      </c>
      <c r="C6288" s="195">
        <f t="shared" si="197"/>
        <v>9</v>
      </c>
      <c r="D6288" s="195" t="s">
        <v>1444</v>
      </c>
      <c r="E6288" s="705">
        <f t="shared" si="198"/>
        <v>17.777777777777779</v>
      </c>
    </row>
    <row r="6289" spans="2:5">
      <c r="B6289" s="943">
        <v>45180</v>
      </c>
      <c r="C6289" s="195">
        <f t="shared" si="197"/>
        <v>9</v>
      </c>
      <c r="D6289" s="195">
        <v>63.9</v>
      </c>
      <c r="E6289" s="705">
        <f t="shared" si="198"/>
        <v>17.722222222222221</v>
      </c>
    </row>
    <row r="6290" spans="2:5">
      <c r="B6290" s="943">
        <v>45180</v>
      </c>
      <c r="C6290" s="195">
        <f t="shared" si="197"/>
        <v>9</v>
      </c>
      <c r="D6290" s="195" t="s">
        <v>1444</v>
      </c>
      <c r="E6290" s="705">
        <f t="shared" si="198"/>
        <v>17.777777777777779</v>
      </c>
    </row>
    <row r="6291" spans="2:5">
      <c r="B6291" s="943">
        <v>45180</v>
      </c>
      <c r="C6291" s="195">
        <f t="shared" si="197"/>
        <v>9</v>
      </c>
      <c r="D6291" s="195">
        <v>64.900000000000006</v>
      </c>
      <c r="E6291" s="705">
        <f t="shared" si="198"/>
        <v>18.277777777777782</v>
      </c>
    </row>
    <row r="6292" spans="2:5">
      <c r="B6292" s="943">
        <v>45180</v>
      </c>
      <c r="C6292" s="195">
        <f t="shared" si="197"/>
        <v>9</v>
      </c>
      <c r="D6292" s="195">
        <v>65.8</v>
      </c>
      <c r="E6292" s="705">
        <f t="shared" si="198"/>
        <v>18.777777777777775</v>
      </c>
    </row>
    <row r="6293" spans="2:5">
      <c r="B6293" s="943">
        <v>45180</v>
      </c>
      <c r="C6293" s="195">
        <f t="shared" si="197"/>
        <v>9</v>
      </c>
      <c r="D6293" s="195">
        <v>67.3</v>
      </c>
      <c r="E6293" s="705">
        <f t="shared" si="198"/>
        <v>19.611111111111111</v>
      </c>
    </row>
    <row r="6294" spans="2:5">
      <c r="B6294" s="943">
        <v>45180</v>
      </c>
      <c r="C6294" s="195">
        <f t="shared" si="197"/>
        <v>9</v>
      </c>
      <c r="D6294" s="195">
        <v>68.2</v>
      </c>
      <c r="E6294" s="705">
        <f t="shared" si="198"/>
        <v>20.111111111111111</v>
      </c>
    </row>
    <row r="6295" spans="2:5">
      <c r="B6295" s="943">
        <v>45180</v>
      </c>
      <c r="C6295" s="195">
        <f t="shared" si="197"/>
        <v>9</v>
      </c>
      <c r="D6295" s="195">
        <v>68.5</v>
      </c>
      <c r="E6295" s="705">
        <f t="shared" si="198"/>
        <v>20.277777777777779</v>
      </c>
    </row>
    <row r="6296" spans="2:5">
      <c r="B6296" s="943">
        <v>45180</v>
      </c>
      <c r="C6296" s="195">
        <f t="shared" si="197"/>
        <v>9</v>
      </c>
      <c r="D6296" s="195">
        <v>67.8</v>
      </c>
      <c r="E6296" s="705">
        <f t="shared" si="198"/>
        <v>19.888888888888886</v>
      </c>
    </row>
    <row r="6297" spans="2:5">
      <c r="B6297" s="943">
        <v>45181</v>
      </c>
      <c r="C6297" s="195">
        <f t="shared" si="197"/>
        <v>9</v>
      </c>
      <c r="D6297" s="195" t="s">
        <v>1445</v>
      </c>
      <c r="E6297" s="705">
        <f t="shared" si="198"/>
        <v>18.888888888888889</v>
      </c>
    </row>
    <row r="6298" spans="2:5">
      <c r="B6298" s="943">
        <v>45181</v>
      </c>
      <c r="C6298" s="195">
        <f t="shared" si="197"/>
        <v>9</v>
      </c>
      <c r="D6298" s="195">
        <v>65.3</v>
      </c>
      <c r="E6298" s="705">
        <f t="shared" si="198"/>
        <v>18.499999999999996</v>
      </c>
    </row>
    <row r="6299" spans="2:5">
      <c r="B6299" s="943">
        <v>45181</v>
      </c>
      <c r="C6299" s="195">
        <f t="shared" si="197"/>
        <v>9</v>
      </c>
      <c r="D6299" s="195">
        <v>64.599999999999994</v>
      </c>
      <c r="E6299" s="705">
        <f t="shared" si="198"/>
        <v>18.111111111111107</v>
      </c>
    </row>
    <row r="6300" spans="2:5">
      <c r="B6300" s="943">
        <v>45181</v>
      </c>
      <c r="C6300" s="195">
        <f t="shared" si="197"/>
        <v>9</v>
      </c>
      <c r="D6300" s="195" t="s">
        <v>1444</v>
      </c>
      <c r="E6300" s="705">
        <f t="shared" si="198"/>
        <v>17.777777777777779</v>
      </c>
    </row>
    <row r="6301" spans="2:5">
      <c r="B6301" s="943">
        <v>45181</v>
      </c>
      <c r="C6301" s="195">
        <f t="shared" si="197"/>
        <v>9</v>
      </c>
      <c r="D6301" s="195" t="s">
        <v>1444</v>
      </c>
      <c r="E6301" s="705">
        <f t="shared" si="198"/>
        <v>17.777777777777779</v>
      </c>
    </row>
    <row r="6302" spans="2:5">
      <c r="B6302" s="943">
        <v>45181</v>
      </c>
      <c r="C6302" s="195">
        <f t="shared" si="197"/>
        <v>9</v>
      </c>
      <c r="D6302" s="195" t="s">
        <v>1444</v>
      </c>
      <c r="E6302" s="705">
        <f t="shared" si="198"/>
        <v>17.777777777777779</v>
      </c>
    </row>
    <row r="6303" spans="2:5">
      <c r="B6303" s="943">
        <v>45181</v>
      </c>
      <c r="C6303" s="195">
        <f t="shared" si="197"/>
        <v>9</v>
      </c>
      <c r="D6303" s="195">
        <v>64.8</v>
      </c>
      <c r="E6303" s="705">
        <f t="shared" si="198"/>
        <v>18.222222222222221</v>
      </c>
    </row>
    <row r="6304" spans="2:5">
      <c r="B6304" s="943">
        <v>45181</v>
      </c>
      <c r="C6304" s="195">
        <f t="shared" si="197"/>
        <v>9</v>
      </c>
      <c r="D6304" s="195">
        <v>65.8</v>
      </c>
      <c r="E6304" s="705">
        <f t="shared" si="198"/>
        <v>18.777777777777775</v>
      </c>
    </row>
    <row r="6305" spans="2:5">
      <c r="B6305" s="943">
        <v>45181</v>
      </c>
      <c r="C6305" s="195">
        <f t="shared" si="197"/>
        <v>9</v>
      </c>
      <c r="D6305" s="195">
        <v>67.099999999999994</v>
      </c>
      <c r="E6305" s="705">
        <f t="shared" si="198"/>
        <v>19.499999999999996</v>
      </c>
    </row>
    <row r="6306" spans="2:5">
      <c r="B6306" s="943">
        <v>45181</v>
      </c>
      <c r="C6306" s="195">
        <f t="shared" si="197"/>
        <v>9</v>
      </c>
      <c r="D6306" s="195" t="s">
        <v>1446</v>
      </c>
      <c r="E6306" s="705">
        <f t="shared" si="198"/>
        <v>20</v>
      </c>
    </row>
    <row r="6307" spans="2:5">
      <c r="B6307" s="943">
        <v>45181</v>
      </c>
      <c r="C6307" s="195">
        <f t="shared" si="197"/>
        <v>9</v>
      </c>
      <c r="D6307" s="195">
        <v>68.5</v>
      </c>
      <c r="E6307" s="705">
        <f t="shared" si="198"/>
        <v>20.277777777777779</v>
      </c>
    </row>
    <row r="6308" spans="2:5">
      <c r="B6308" s="943">
        <v>45181</v>
      </c>
      <c r="C6308" s="195">
        <f t="shared" si="197"/>
        <v>9</v>
      </c>
      <c r="D6308" s="195">
        <v>68.900000000000006</v>
      </c>
      <c r="E6308" s="705">
        <f t="shared" si="198"/>
        <v>20.500000000000004</v>
      </c>
    </row>
    <row r="6309" spans="2:5">
      <c r="B6309" s="943">
        <v>45181</v>
      </c>
      <c r="C6309" s="195">
        <f t="shared" si="197"/>
        <v>9</v>
      </c>
      <c r="D6309" s="195">
        <v>68.400000000000006</v>
      </c>
      <c r="E6309" s="705">
        <f t="shared" si="198"/>
        <v>20.222222222222225</v>
      </c>
    </row>
    <row r="6310" spans="2:5">
      <c r="B6310" s="943">
        <v>45181</v>
      </c>
      <c r="C6310" s="195">
        <f t="shared" si="197"/>
        <v>9</v>
      </c>
      <c r="D6310" s="195">
        <v>66.599999999999994</v>
      </c>
      <c r="E6310" s="705">
        <f t="shared" si="198"/>
        <v>19.222222222222218</v>
      </c>
    </row>
    <row r="6311" spans="2:5">
      <c r="B6311" s="943">
        <v>45181</v>
      </c>
      <c r="C6311" s="195">
        <f t="shared" si="197"/>
        <v>9</v>
      </c>
      <c r="D6311" s="195" t="s">
        <v>1445</v>
      </c>
      <c r="E6311" s="705">
        <f t="shared" si="198"/>
        <v>18.888888888888889</v>
      </c>
    </row>
    <row r="6312" spans="2:5">
      <c r="B6312" s="943">
        <v>45181</v>
      </c>
      <c r="C6312" s="195">
        <f t="shared" si="197"/>
        <v>9</v>
      </c>
      <c r="D6312" s="195">
        <v>65.8</v>
      </c>
      <c r="E6312" s="705">
        <f t="shared" si="198"/>
        <v>18.777777777777775</v>
      </c>
    </row>
    <row r="6313" spans="2:5">
      <c r="B6313" s="943">
        <v>45181</v>
      </c>
      <c r="C6313" s="195">
        <f t="shared" si="197"/>
        <v>9</v>
      </c>
      <c r="D6313" s="195">
        <v>65.5</v>
      </c>
      <c r="E6313" s="705">
        <f t="shared" si="198"/>
        <v>18.611111111111111</v>
      </c>
    </row>
    <row r="6314" spans="2:5">
      <c r="B6314" s="943">
        <v>45181</v>
      </c>
      <c r="C6314" s="195">
        <f t="shared" si="197"/>
        <v>9</v>
      </c>
      <c r="D6314" s="195">
        <v>65.3</v>
      </c>
      <c r="E6314" s="705">
        <f t="shared" si="198"/>
        <v>18.499999999999996</v>
      </c>
    </row>
    <row r="6315" spans="2:5">
      <c r="B6315" s="943">
        <v>45181</v>
      </c>
      <c r="C6315" s="195">
        <f t="shared" si="197"/>
        <v>9</v>
      </c>
      <c r="D6315" s="195">
        <v>65.7</v>
      </c>
      <c r="E6315" s="705">
        <f t="shared" si="198"/>
        <v>18.722222222222225</v>
      </c>
    </row>
    <row r="6316" spans="2:5">
      <c r="B6316" s="943">
        <v>45181</v>
      </c>
      <c r="C6316" s="195">
        <f t="shared" si="197"/>
        <v>9</v>
      </c>
      <c r="D6316" s="195">
        <v>66.400000000000006</v>
      </c>
      <c r="E6316" s="705">
        <f t="shared" si="198"/>
        <v>19.111111111111114</v>
      </c>
    </row>
    <row r="6317" spans="2:5">
      <c r="B6317" s="943">
        <v>45181</v>
      </c>
      <c r="C6317" s="195">
        <f t="shared" si="197"/>
        <v>9</v>
      </c>
      <c r="D6317" s="195">
        <v>67.3</v>
      </c>
      <c r="E6317" s="705">
        <f t="shared" si="198"/>
        <v>19.611111111111111</v>
      </c>
    </row>
    <row r="6318" spans="2:5">
      <c r="B6318" s="943">
        <v>45181</v>
      </c>
      <c r="C6318" s="195">
        <f t="shared" si="197"/>
        <v>9</v>
      </c>
      <c r="D6318" s="195">
        <v>68.5</v>
      </c>
      <c r="E6318" s="705">
        <f t="shared" si="198"/>
        <v>20.277777777777779</v>
      </c>
    </row>
    <row r="6319" spans="2:5">
      <c r="B6319" s="943">
        <v>45181</v>
      </c>
      <c r="C6319" s="195">
        <f t="shared" si="197"/>
        <v>9</v>
      </c>
      <c r="D6319" s="195">
        <v>69.099999999999994</v>
      </c>
      <c r="E6319" s="705">
        <f t="shared" si="198"/>
        <v>20.611111111111107</v>
      </c>
    </row>
    <row r="6320" spans="2:5">
      <c r="B6320" s="943">
        <v>45181</v>
      </c>
      <c r="C6320" s="195">
        <f t="shared" si="197"/>
        <v>9</v>
      </c>
      <c r="D6320" s="195">
        <v>69.3</v>
      </c>
      <c r="E6320" s="705">
        <f t="shared" si="198"/>
        <v>20.722222222222221</v>
      </c>
    </row>
    <row r="6321" spans="2:5">
      <c r="B6321" s="943">
        <v>45182</v>
      </c>
      <c r="C6321" s="195">
        <f t="shared" si="197"/>
        <v>9</v>
      </c>
      <c r="D6321" s="195">
        <v>68.7</v>
      </c>
      <c r="E6321" s="705">
        <f t="shared" si="198"/>
        <v>20.388888888888889</v>
      </c>
    </row>
    <row r="6322" spans="2:5">
      <c r="B6322" s="943">
        <v>45182</v>
      </c>
      <c r="C6322" s="195">
        <f t="shared" si="197"/>
        <v>9</v>
      </c>
      <c r="D6322" s="195">
        <v>67.3</v>
      </c>
      <c r="E6322" s="705">
        <f t="shared" si="198"/>
        <v>19.611111111111111</v>
      </c>
    </row>
    <row r="6323" spans="2:5">
      <c r="B6323" s="943">
        <v>45182</v>
      </c>
      <c r="C6323" s="195">
        <f t="shared" si="197"/>
        <v>9</v>
      </c>
      <c r="D6323" s="195">
        <v>67.099999999999994</v>
      </c>
      <c r="E6323" s="705">
        <f t="shared" si="198"/>
        <v>19.499999999999996</v>
      </c>
    </row>
    <row r="6324" spans="2:5">
      <c r="B6324" s="943">
        <v>45182</v>
      </c>
      <c r="C6324" s="195">
        <f t="shared" si="197"/>
        <v>9</v>
      </c>
      <c r="D6324" s="195">
        <v>67.3</v>
      </c>
      <c r="E6324" s="705">
        <f t="shared" si="198"/>
        <v>19.611111111111111</v>
      </c>
    </row>
    <row r="6325" spans="2:5">
      <c r="B6325" s="943">
        <v>45182</v>
      </c>
      <c r="C6325" s="195">
        <f t="shared" si="197"/>
        <v>9</v>
      </c>
      <c r="D6325" s="195">
        <v>66.900000000000006</v>
      </c>
      <c r="E6325" s="705">
        <f t="shared" si="198"/>
        <v>19.388888888888893</v>
      </c>
    </row>
    <row r="6326" spans="2:5">
      <c r="B6326" s="943">
        <v>45182</v>
      </c>
      <c r="C6326" s="195">
        <f t="shared" si="197"/>
        <v>9</v>
      </c>
      <c r="D6326" s="195">
        <v>66.7</v>
      </c>
      <c r="E6326" s="705">
        <f t="shared" si="198"/>
        <v>19.277777777777779</v>
      </c>
    </row>
    <row r="6327" spans="2:5">
      <c r="B6327" s="943">
        <v>45182</v>
      </c>
      <c r="C6327" s="195">
        <f t="shared" si="197"/>
        <v>9</v>
      </c>
      <c r="D6327" s="195">
        <v>66.900000000000006</v>
      </c>
      <c r="E6327" s="705">
        <f t="shared" si="198"/>
        <v>19.388888888888893</v>
      </c>
    </row>
    <row r="6328" spans="2:5">
      <c r="B6328" s="943">
        <v>45182</v>
      </c>
      <c r="C6328" s="195">
        <f t="shared" si="197"/>
        <v>9</v>
      </c>
      <c r="D6328" s="195">
        <v>67.099999999999994</v>
      </c>
      <c r="E6328" s="705">
        <f t="shared" si="198"/>
        <v>19.499999999999996</v>
      </c>
    </row>
    <row r="6329" spans="2:5">
      <c r="B6329" s="943">
        <v>45182</v>
      </c>
      <c r="C6329" s="195">
        <f t="shared" si="197"/>
        <v>9</v>
      </c>
      <c r="D6329" s="195">
        <v>67.8</v>
      </c>
      <c r="E6329" s="705">
        <f t="shared" si="198"/>
        <v>19.888888888888886</v>
      </c>
    </row>
    <row r="6330" spans="2:5">
      <c r="B6330" s="943">
        <v>45182</v>
      </c>
      <c r="C6330" s="195">
        <f t="shared" si="197"/>
        <v>9</v>
      </c>
      <c r="D6330" s="195">
        <v>68.5</v>
      </c>
      <c r="E6330" s="705">
        <f t="shared" si="198"/>
        <v>20.277777777777779</v>
      </c>
    </row>
    <row r="6331" spans="2:5">
      <c r="B6331" s="943">
        <v>45182</v>
      </c>
      <c r="C6331" s="195">
        <f t="shared" si="197"/>
        <v>9</v>
      </c>
      <c r="D6331" s="195">
        <v>69.099999999999994</v>
      </c>
      <c r="E6331" s="705">
        <f t="shared" si="198"/>
        <v>20.611111111111107</v>
      </c>
    </row>
    <row r="6332" spans="2:5">
      <c r="B6332" s="943">
        <v>45182</v>
      </c>
      <c r="C6332" s="195">
        <f t="shared" si="197"/>
        <v>9</v>
      </c>
      <c r="D6332" s="195">
        <v>69.400000000000006</v>
      </c>
      <c r="E6332" s="705">
        <f t="shared" si="198"/>
        <v>20.777777777777782</v>
      </c>
    </row>
    <row r="6333" spans="2:5">
      <c r="B6333" s="943">
        <v>45182</v>
      </c>
      <c r="C6333" s="195">
        <f t="shared" si="197"/>
        <v>9</v>
      </c>
      <c r="D6333" s="195">
        <v>69.599999999999994</v>
      </c>
      <c r="E6333" s="705">
        <f t="shared" si="198"/>
        <v>20.888888888888886</v>
      </c>
    </row>
    <row r="6334" spans="2:5">
      <c r="B6334" s="943">
        <v>45182</v>
      </c>
      <c r="C6334" s="195">
        <f t="shared" si="197"/>
        <v>9</v>
      </c>
      <c r="D6334" s="195">
        <v>68.5</v>
      </c>
      <c r="E6334" s="705">
        <f t="shared" si="198"/>
        <v>20.277777777777779</v>
      </c>
    </row>
    <row r="6335" spans="2:5">
      <c r="B6335" s="943">
        <v>45182</v>
      </c>
      <c r="C6335" s="195">
        <f t="shared" si="197"/>
        <v>9</v>
      </c>
      <c r="D6335" s="195" t="s">
        <v>1446</v>
      </c>
      <c r="E6335" s="705">
        <f t="shared" si="198"/>
        <v>20</v>
      </c>
    </row>
    <row r="6336" spans="2:5">
      <c r="B6336" s="943">
        <v>45182</v>
      </c>
      <c r="C6336" s="195">
        <f t="shared" si="197"/>
        <v>9</v>
      </c>
      <c r="D6336" s="195">
        <v>67.8</v>
      </c>
      <c r="E6336" s="705">
        <f t="shared" si="198"/>
        <v>19.888888888888886</v>
      </c>
    </row>
    <row r="6337" spans="2:5">
      <c r="B6337" s="943">
        <v>45182</v>
      </c>
      <c r="C6337" s="195">
        <f t="shared" si="197"/>
        <v>9</v>
      </c>
      <c r="D6337" s="195">
        <v>67.5</v>
      </c>
      <c r="E6337" s="705">
        <f t="shared" si="198"/>
        <v>19.722222222222221</v>
      </c>
    </row>
    <row r="6338" spans="2:5">
      <c r="B6338" s="943">
        <v>45182</v>
      </c>
      <c r="C6338" s="195">
        <f t="shared" si="197"/>
        <v>9</v>
      </c>
      <c r="D6338" s="195">
        <v>67.3</v>
      </c>
      <c r="E6338" s="705">
        <f t="shared" si="198"/>
        <v>19.611111111111111</v>
      </c>
    </row>
    <row r="6339" spans="2:5">
      <c r="B6339" s="943">
        <v>45182</v>
      </c>
      <c r="C6339" s="195">
        <f t="shared" si="197"/>
        <v>9</v>
      </c>
      <c r="D6339" s="195">
        <v>67.5</v>
      </c>
      <c r="E6339" s="705">
        <f t="shared" si="198"/>
        <v>19.722222222222221</v>
      </c>
    </row>
    <row r="6340" spans="2:5">
      <c r="B6340" s="943">
        <v>45182</v>
      </c>
      <c r="C6340" s="195">
        <f t="shared" si="197"/>
        <v>9</v>
      </c>
      <c r="D6340" s="195">
        <v>67.599999999999994</v>
      </c>
      <c r="E6340" s="705">
        <f t="shared" si="198"/>
        <v>19.777777777777775</v>
      </c>
    </row>
    <row r="6341" spans="2:5">
      <c r="B6341" s="943">
        <v>45182</v>
      </c>
      <c r="C6341" s="195">
        <f t="shared" si="197"/>
        <v>9</v>
      </c>
      <c r="D6341" s="195">
        <v>68.2</v>
      </c>
      <c r="E6341" s="705">
        <f t="shared" si="198"/>
        <v>20.111111111111111</v>
      </c>
    </row>
    <row r="6342" spans="2:5">
      <c r="B6342" s="943">
        <v>45182</v>
      </c>
      <c r="C6342" s="195">
        <f t="shared" si="197"/>
        <v>9</v>
      </c>
      <c r="D6342" s="195">
        <v>69.099999999999994</v>
      </c>
      <c r="E6342" s="705">
        <f t="shared" si="198"/>
        <v>20.611111111111107</v>
      </c>
    </row>
    <row r="6343" spans="2:5">
      <c r="B6343" s="943">
        <v>45182</v>
      </c>
      <c r="C6343" s="195">
        <f t="shared" si="197"/>
        <v>9</v>
      </c>
      <c r="D6343" s="195">
        <v>69.599999999999994</v>
      </c>
      <c r="E6343" s="705">
        <f t="shared" si="198"/>
        <v>20.888888888888886</v>
      </c>
    </row>
    <row r="6344" spans="2:5">
      <c r="B6344" s="943">
        <v>45182</v>
      </c>
      <c r="C6344" s="195">
        <f t="shared" si="197"/>
        <v>9</v>
      </c>
      <c r="D6344" s="195" t="s">
        <v>1447</v>
      </c>
      <c r="E6344" s="705">
        <f t="shared" si="198"/>
        <v>21.111111111111111</v>
      </c>
    </row>
    <row r="6345" spans="2:5">
      <c r="B6345" s="943">
        <v>45183</v>
      </c>
      <c r="C6345" s="195">
        <f t="shared" si="197"/>
        <v>9</v>
      </c>
      <c r="D6345" s="195" t="s">
        <v>1447</v>
      </c>
      <c r="E6345" s="705">
        <f t="shared" si="198"/>
        <v>21.111111111111111</v>
      </c>
    </row>
    <row r="6346" spans="2:5">
      <c r="B6346" s="943">
        <v>45183</v>
      </c>
      <c r="C6346" s="195">
        <f t="shared" ref="C6346:C6409" si="199">MONTH(B6346)</f>
        <v>9</v>
      </c>
      <c r="D6346" s="195">
        <v>68.900000000000006</v>
      </c>
      <c r="E6346" s="705">
        <f t="shared" ref="E6346:E6409" si="200">CONVERT(D6346,"F","C")</f>
        <v>20.500000000000004</v>
      </c>
    </row>
    <row r="6347" spans="2:5">
      <c r="B6347" s="943">
        <v>45183</v>
      </c>
      <c r="C6347" s="195">
        <f t="shared" si="199"/>
        <v>9</v>
      </c>
      <c r="D6347" s="195">
        <v>68.400000000000006</v>
      </c>
      <c r="E6347" s="705">
        <f t="shared" si="200"/>
        <v>20.222222222222225</v>
      </c>
    </row>
    <row r="6348" spans="2:5">
      <c r="B6348" s="943">
        <v>45183</v>
      </c>
      <c r="C6348" s="195">
        <f t="shared" si="199"/>
        <v>9</v>
      </c>
      <c r="D6348" s="195" t="s">
        <v>1446</v>
      </c>
      <c r="E6348" s="705">
        <f t="shared" si="200"/>
        <v>20</v>
      </c>
    </row>
    <row r="6349" spans="2:5">
      <c r="B6349" s="943">
        <v>45183</v>
      </c>
      <c r="C6349" s="195">
        <f t="shared" si="199"/>
        <v>9</v>
      </c>
      <c r="D6349" s="195">
        <v>67.099999999999994</v>
      </c>
      <c r="E6349" s="705">
        <f t="shared" si="200"/>
        <v>19.499999999999996</v>
      </c>
    </row>
    <row r="6350" spans="2:5">
      <c r="B6350" s="943">
        <v>45183</v>
      </c>
      <c r="C6350" s="195">
        <f t="shared" si="199"/>
        <v>9</v>
      </c>
      <c r="D6350" s="195">
        <v>66.400000000000006</v>
      </c>
      <c r="E6350" s="705">
        <f t="shared" si="200"/>
        <v>19.111111111111114</v>
      </c>
    </row>
    <row r="6351" spans="2:5">
      <c r="B6351" s="943">
        <v>45183</v>
      </c>
      <c r="C6351" s="195">
        <f t="shared" si="199"/>
        <v>9</v>
      </c>
      <c r="D6351" s="195">
        <v>66.400000000000006</v>
      </c>
      <c r="E6351" s="705">
        <f t="shared" si="200"/>
        <v>19.111111111111114</v>
      </c>
    </row>
    <row r="6352" spans="2:5">
      <c r="B6352" s="943">
        <v>45183</v>
      </c>
      <c r="C6352" s="195">
        <f t="shared" si="199"/>
        <v>9</v>
      </c>
      <c r="D6352" s="195">
        <v>66.599999999999994</v>
      </c>
      <c r="E6352" s="705">
        <f t="shared" si="200"/>
        <v>19.222222222222218</v>
      </c>
    </row>
    <row r="6353" spans="2:5">
      <c r="B6353" s="943">
        <v>45183</v>
      </c>
      <c r="C6353" s="195">
        <f t="shared" si="199"/>
        <v>9</v>
      </c>
      <c r="D6353" s="195">
        <v>67.599999999999994</v>
      </c>
      <c r="E6353" s="705">
        <f t="shared" si="200"/>
        <v>19.777777777777775</v>
      </c>
    </row>
    <row r="6354" spans="2:5">
      <c r="B6354" s="943">
        <v>45183</v>
      </c>
      <c r="C6354" s="195">
        <f t="shared" si="199"/>
        <v>9</v>
      </c>
      <c r="D6354" s="195">
        <v>68.7</v>
      </c>
      <c r="E6354" s="705">
        <f t="shared" si="200"/>
        <v>20.388888888888889</v>
      </c>
    </row>
    <row r="6355" spans="2:5">
      <c r="B6355" s="943">
        <v>45183</v>
      </c>
      <c r="C6355" s="195">
        <f t="shared" si="199"/>
        <v>9</v>
      </c>
      <c r="D6355" s="195">
        <v>69.400000000000006</v>
      </c>
      <c r="E6355" s="705">
        <f t="shared" si="200"/>
        <v>20.777777777777782</v>
      </c>
    </row>
    <row r="6356" spans="2:5">
      <c r="B6356" s="943">
        <v>45183</v>
      </c>
      <c r="C6356" s="195">
        <f t="shared" si="199"/>
        <v>9</v>
      </c>
      <c r="D6356" s="195">
        <v>69.8</v>
      </c>
      <c r="E6356" s="705">
        <f t="shared" si="200"/>
        <v>20.999999999999996</v>
      </c>
    </row>
    <row r="6357" spans="2:5">
      <c r="B6357" s="943">
        <v>45183</v>
      </c>
      <c r="C6357" s="195">
        <f t="shared" si="199"/>
        <v>9</v>
      </c>
      <c r="D6357" s="195">
        <v>70.2</v>
      </c>
      <c r="E6357" s="705">
        <f t="shared" si="200"/>
        <v>21.222222222222225</v>
      </c>
    </row>
    <row r="6358" spans="2:5">
      <c r="B6358" s="943">
        <v>45183</v>
      </c>
      <c r="C6358" s="195">
        <f t="shared" si="199"/>
        <v>9</v>
      </c>
      <c r="D6358" s="195">
        <v>69.8</v>
      </c>
      <c r="E6358" s="705">
        <f t="shared" si="200"/>
        <v>20.999999999999996</v>
      </c>
    </row>
    <row r="6359" spans="2:5">
      <c r="B6359" s="943">
        <v>45183</v>
      </c>
      <c r="C6359" s="195">
        <f t="shared" si="199"/>
        <v>9</v>
      </c>
      <c r="D6359" s="195">
        <v>68.7</v>
      </c>
      <c r="E6359" s="705">
        <f t="shared" si="200"/>
        <v>20.388888888888889</v>
      </c>
    </row>
    <row r="6360" spans="2:5">
      <c r="B6360" s="943">
        <v>45183</v>
      </c>
      <c r="C6360" s="195">
        <f t="shared" si="199"/>
        <v>9</v>
      </c>
      <c r="D6360" s="195">
        <v>67.8</v>
      </c>
      <c r="E6360" s="705">
        <f t="shared" si="200"/>
        <v>19.888888888888886</v>
      </c>
    </row>
    <row r="6361" spans="2:5">
      <c r="B6361" s="943">
        <v>45183</v>
      </c>
      <c r="C6361" s="195">
        <f t="shared" si="199"/>
        <v>9</v>
      </c>
      <c r="D6361" s="195">
        <v>66.900000000000006</v>
      </c>
      <c r="E6361" s="705">
        <f t="shared" si="200"/>
        <v>19.388888888888893</v>
      </c>
    </row>
    <row r="6362" spans="2:5">
      <c r="B6362" s="943">
        <v>45183</v>
      </c>
      <c r="C6362" s="195">
        <f t="shared" si="199"/>
        <v>9</v>
      </c>
      <c r="D6362" s="195">
        <v>65.5</v>
      </c>
      <c r="E6362" s="705">
        <f t="shared" si="200"/>
        <v>18.611111111111111</v>
      </c>
    </row>
    <row r="6363" spans="2:5">
      <c r="B6363" s="943">
        <v>45183</v>
      </c>
      <c r="C6363" s="195">
        <f t="shared" si="199"/>
        <v>9</v>
      </c>
      <c r="D6363" s="195">
        <v>64.900000000000006</v>
      </c>
      <c r="E6363" s="705">
        <f t="shared" si="200"/>
        <v>18.277777777777782</v>
      </c>
    </row>
    <row r="6364" spans="2:5">
      <c r="B6364" s="943">
        <v>45183</v>
      </c>
      <c r="C6364" s="195">
        <f t="shared" si="199"/>
        <v>9</v>
      </c>
      <c r="D6364" s="195">
        <v>65.3</v>
      </c>
      <c r="E6364" s="705">
        <f t="shared" si="200"/>
        <v>18.499999999999996</v>
      </c>
    </row>
    <row r="6365" spans="2:5">
      <c r="B6365" s="943">
        <v>45183</v>
      </c>
      <c r="C6365" s="195">
        <f t="shared" si="199"/>
        <v>9</v>
      </c>
      <c r="D6365" s="195">
        <v>66.900000000000006</v>
      </c>
      <c r="E6365" s="705">
        <f t="shared" si="200"/>
        <v>19.388888888888893</v>
      </c>
    </row>
    <row r="6366" spans="2:5">
      <c r="B6366" s="943">
        <v>45183</v>
      </c>
      <c r="C6366" s="195">
        <f t="shared" si="199"/>
        <v>9</v>
      </c>
      <c r="D6366" s="195">
        <v>68.5</v>
      </c>
      <c r="E6366" s="705">
        <f t="shared" si="200"/>
        <v>20.277777777777779</v>
      </c>
    </row>
    <row r="6367" spans="2:5">
      <c r="B6367" s="943">
        <v>45183</v>
      </c>
      <c r="C6367" s="195">
        <f t="shared" si="199"/>
        <v>9</v>
      </c>
      <c r="D6367" s="195">
        <v>69.8</v>
      </c>
      <c r="E6367" s="705">
        <f t="shared" si="200"/>
        <v>20.999999999999996</v>
      </c>
    </row>
    <row r="6368" spans="2:5">
      <c r="B6368" s="943">
        <v>45183</v>
      </c>
      <c r="C6368" s="195">
        <f t="shared" si="199"/>
        <v>9</v>
      </c>
      <c r="D6368" s="195">
        <v>70.3</v>
      </c>
      <c r="E6368" s="705">
        <f t="shared" si="200"/>
        <v>21.277777777777775</v>
      </c>
    </row>
    <row r="6369" spans="2:5">
      <c r="B6369" s="943">
        <v>45184</v>
      </c>
      <c r="C6369" s="195">
        <f t="shared" si="199"/>
        <v>9</v>
      </c>
      <c r="D6369" s="195">
        <v>70.5</v>
      </c>
      <c r="E6369" s="705">
        <f t="shared" si="200"/>
        <v>21.388888888888889</v>
      </c>
    </row>
    <row r="6370" spans="2:5">
      <c r="B6370" s="943">
        <v>45184</v>
      </c>
      <c r="C6370" s="195">
        <f t="shared" si="199"/>
        <v>9</v>
      </c>
      <c r="D6370" s="195">
        <v>70.3</v>
      </c>
      <c r="E6370" s="705">
        <f t="shared" si="200"/>
        <v>21.277777777777775</v>
      </c>
    </row>
    <row r="6371" spans="2:5">
      <c r="B6371" s="943">
        <v>45184</v>
      </c>
      <c r="C6371" s="195">
        <f t="shared" si="199"/>
        <v>9</v>
      </c>
      <c r="D6371" s="195">
        <v>68.5</v>
      </c>
      <c r="E6371" s="705">
        <f t="shared" si="200"/>
        <v>20.277777777777779</v>
      </c>
    </row>
    <row r="6372" spans="2:5">
      <c r="B6372" s="943">
        <v>45184</v>
      </c>
      <c r="C6372" s="195">
        <f t="shared" si="199"/>
        <v>9</v>
      </c>
      <c r="D6372" s="195">
        <v>67.3</v>
      </c>
      <c r="E6372" s="705">
        <f t="shared" si="200"/>
        <v>19.611111111111111</v>
      </c>
    </row>
    <row r="6373" spans="2:5">
      <c r="B6373" s="943">
        <v>45184</v>
      </c>
      <c r="C6373" s="195">
        <f t="shared" si="199"/>
        <v>9</v>
      </c>
      <c r="D6373" s="195">
        <v>66.599999999999994</v>
      </c>
      <c r="E6373" s="705">
        <f t="shared" si="200"/>
        <v>19.222222222222218</v>
      </c>
    </row>
    <row r="6374" spans="2:5">
      <c r="B6374" s="943">
        <v>45184</v>
      </c>
      <c r="C6374" s="195">
        <f t="shared" si="199"/>
        <v>9</v>
      </c>
      <c r="D6374" s="195">
        <v>65.5</v>
      </c>
      <c r="E6374" s="705">
        <f t="shared" si="200"/>
        <v>18.611111111111111</v>
      </c>
    </row>
    <row r="6375" spans="2:5">
      <c r="B6375" s="943">
        <v>45184</v>
      </c>
      <c r="C6375" s="195">
        <f t="shared" si="199"/>
        <v>9</v>
      </c>
      <c r="D6375" s="195">
        <v>64.400000000000006</v>
      </c>
      <c r="E6375" s="705">
        <f t="shared" si="200"/>
        <v>18.000000000000004</v>
      </c>
    </row>
    <row r="6376" spans="2:5">
      <c r="B6376" s="943">
        <v>45184</v>
      </c>
      <c r="C6376" s="195">
        <f t="shared" si="199"/>
        <v>9</v>
      </c>
      <c r="D6376" s="195">
        <v>64.8</v>
      </c>
      <c r="E6376" s="705">
        <f t="shared" si="200"/>
        <v>18.222222222222221</v>
      </c>
    </row>
    <row r="6377" spans="2:5">
      <c r="B6377" s="943">
        <v>45184</v>
      </c>
      <c r="C6377" s="195">
        <f t="shared" si="199"/>
        <v>9</v>
      </c>
      <c r="D6377" s="195" t="s">
        <v>1445</v>
      </c>
      <c r="E6377" s="705">
        <f t="shared" si="200"/>
        <v>18.888888888888889</v>
      </c>
    </row>
    <row r="6378" spans="2:5">
      <c r="B6378" s="943">
        <v>45184</v>
      </c>
      <c r="C6378" s="195">
        <f t="shared" si="199"/>
        <v>9</v>
      </c>
      <c r="D6378" s="195">
        <v>67.099999999999994</v>
      </c>
      <c r="E6378" s="705">
        <f t="shared" si="200"/>
        <v>19.499999999999996</v>
      </c>
    </row>
    <row r="6379" spans="2:5">
      <c r="B6379" s="943">
        <v>45184</v>
      </c>
      <c r="C6379" s="195">
        <f t="shared" si="199"/>
        <v>9</v>
      </c>
      <c r="D6379" s="195">
        <v>68.5</v>
      </c>
      <c r="E6379" s="705">
        <f t="shared" si="200"/>
        <v>20.277777777777779</v>
      </c>
    </row>
    <row r="6380" spans="2:5">
      <c r="B6380" s="943">
        <v>45184</v>
      </c>
      <c r="C6380" s="195">
        <f t="shared" si="199"/>
        <v>9</v>
      </c>
      <c r="D6380" s="195">
        <v>69.3</v>
      </c>
      <c r="E6380" s="705">
        <f t="shared" si="200"/>
        <v>20.722222222222221</v>
      </c>
    </row>
    <row r="6381" spans="2:5">
      <c r="B6381" s="943">
        <v>45184</v>
      </c>
      <c r="C6381" s="195">
        <f t="shared" si="199"/>
        <v>9</v>
      </c>
      <c r="D6381" s="195">
        <v>69.599999999999994</v>
      </c>
      <c r="E6381" s="705">
        <f t="shared" si="200"/>
        <v>20.888888888888886</v>
      </c>
    </row>
    <row r="6382" spans="2:5">
      <c r="B6382" s="943">
        <v>45184</v>
      </c>
      <c r="C6382" s="195">
        <f t="shared" si="199"/>
        <v>9</v>
      </c>
      <c r="D6382" s="195">
        <v>69.8</v>
      </c>
      <c r="E6382" s="705">
        <f t="shared" si="200"/>
        <v>20.999999999999996</v>
      </c>
    </row>
    <row r="6383" spans="2:5">
      <c r="B6383" s="943">
        <v>45184</v>
      </c>
      <c r="C6383" s="195">
        <f t="shared" si="199"/>
        <v>9</v>
      </c>
      <c r="D6383" s="195">
        <v>67.8</v>
      </c>
      <c r="E6383" s="705">
        <f t="shared" si="200"/>
        <v>19.888888888888886</v>
      </c>
    </row>
    <row r="6384" spans="2:5">
      <c r="B6384" s="943">
        <v>45184</v>
      </c>
      <c r="C6384" s="195">
        <f t="shared" si="199"/>
        <v>9</v>
      </c>
      <c r="D6384" s="195">
        <v>67.5</v>
      </c>
      <c r="E6384" s="705">
        <f t="shared" si="200"/>
        <v>19.722222222222221</v>
      </c>
    </row>
    <row r="6385" spans="2:5">
      <c r="B6385" s="943">
        <v>45184</v>
      </c>
      <c r="C6385" s="195">
        <f t="shared" si="199"/>
        <v>9</v>
      </c>
      <c r="D6385" s="195" t="s">
        <v>1445</v>
      </c>
      <c r="E6385" s="705">
        <f t="shared" si="200"/>
        <v>18.888888888888889</v>
      </c>
    </row>
    <row r="6386" spans="2:5">
      <c r="B6386" s="943">
        <v>45184</v>
      </c>
      <c r="C6386" s="195">
        <f t="shared" si="199"/>
        <v>9</v>
      </c>
      <c r="D6386" s="195">
        <v>65.7</v>
      </c>
      <c r="E6386" s="705">
        <f t="shared" si="200"/>
        <v>18.722222222222225</v>
      </c>
    </row>
    <row r="6387" spans="2:5">
      <c r="B6387" s="943">
        <v>45184</v>
      </c>
      <c r="C6387" s="195">
        <f t="shared" si="199"/>
        <v>9</v>
      </c>
      <c r="D6387" s="195">
        <v>65.8</v>
      </c>
      <c r="E6387" s="705">
        <f t="shared" si="200"/>
        <v>18.777777777777775</v>
      </c>
    </row>
    <row r="6388" spans="2:5">
      <c r="B6388" s="943">
        <v>45184</v>
      </c>
      <c r="C6388" s="195">
        <f t="shared" si="199"/>
        <v>9</v>
      </c>
      <c r="D6388" s="195">
        <v>65.8</v>
      </c>
      <c r="E6388" s="705">
        <f t="shared" si="200"/>
        <v>18.777777777777775</v>
      </c>
    </row>
    <row r="6389" spans="2:5">
      <c r="B6389" s="943">
        <v>45184</v>
      </c>
      <c r="C6389" s="195">
        <f t="shared" si="199"/>
        <v>9</v>
      </c>
      <c r="D6389" s="195" t="s">
        <v>1445</v>
      </c>
      <c r="E6389" s="705">
        <f t="shared" si="200"/>
        <v>18.888888888888889</v>
      </c>
    </row>
    <row r="6390" spans="2:5">
      <c r="B6390" s="943">
        <v>45184</v>
      </c>
      <c r="C6390" s="195">
        <f t="shared" si="199"/>
        <v>9</v>
      </c>
      <c r="D6390" s="195">
        <v>66.7</v>
      </c>
      <c r="E6390" s="705">
        <f t="shared" si="200"/>
        <v>19.277777777777779</v>
      </c>
    </row>
    <row r="6391" spans="2:5">
      <c r="B6391" s="943">
        <v>45184</v>
      </c>
      <c r="C6391" s="195">
        <f t="shared" si="199"/>
        <v>9</v>
      </c>
      <c r="D6391" s="195">
        <v>67.8</v>
      </c>
      <c r="E6391" s="705">
        <f t="shared" si="200"/>
        <v>19.888888888888886</v>
      </c>
    </row>
    <row r="6392" spans="2:5">
      <c r="B6392" s="943">
        <v>45184</v>
      </c>
      <c r="C6392" s="195">
        <f t="shared" si="199"/>
        <v>9</v>
      </c>
      <c r="D6392" s="195">
        <v>68.900000000000006</v>
      </c>
      <c r="E6392" s="705">
        <f t="shared" si="200"/>
        <v>20.500000000000004</v>
      </c>
    </row>
    <row r="6393" spans="2:5">
      <c r="B6393" s="943">
        <v>45185</v>
      </c>
      <c r="C6393" s="195">
        <f t="shared" si="199"/>
        <v>9</v>
      </c>
      <c r="D6393" s="195">
        <v>69.3</v>
      </c>
      <c r="E6393" s="705">
        <f t="shared" si="200"/>
        <v>20.722222222222221</v>
      </c>
    </row>
    <row r="6394" spans="2:5">
      <c r="B6394" s="943">
        <v>45185</v>
      </c>
      <c r="C6394" s="195">
        <f t="shared" si="199"/>
        <v>9</v>
      </c>
      <c r="D6394" s="195">
        <v>69.3</v>
      </c>
      <c r="E6394" s="705">
        <f t="shared" si="200"/>
        <v>20.722222222222221</v>
      </c>
    </row>
    <row r="6395" spans="2:5">
      <c r="B6395" s="943">
        <v>45185</v>
      </c>
      <c r="C6395" s="195">
        <f t="shared" si="199"/>
        <v>9</v>
      </c>
      <c r="D6395" s="195" t="s">
        <v>1446</v>
      </c>
      <c r="E6395" s="705">
        <f t="shared" si="200"/>
        <v>20</v>
      </c>
    </row>
    <row r="6396" spans="2:5">
      <c r="B6396" s="943">
        <v>45185</v>
      </c>
      <c r="C6396" s="195">
        <f t="shared" si="199"/>
        <v>9</v>
      </c>
      <c r="D6396" s="195">
        <v>67.099999999999994</v>
      </c>
      <c r="E6396" s="705">
        <f t="shared" si="200"/>
        <v>19.499999999999996</v>
      </c>
    </row>
    <row r="6397" spans="2:5">
      <c r="B6397" s="943">
        <v>45185</v>
      </c>
      <c r="C6397" s="195">
        <f t="shared" si="199"/>
        <v>9</v>
      </c>
      <c r="D6397" s="195">
        <v>66.2</v>
      </c>
      <c r="E6397" s="705">
        <f t="shared" si="200"/>
        <v>19</v>
      </c>
    </row>
    <row r="6398" spans="2:5">
      <c r="B6398" s="943">
        <v>45185</v>
      </c>
      <c r="C6398" s="195">
        <f t="shared" si="199"/>
        <v>9</v>
      </c>
      <c r="D6398" s="195" t="s">
        <v>1445</v>
      </c>
      <c r="E6398" s="705">
        <f t="shared" si="200"/>
        <v>18.888888888888889</v>
      </c>
    </row>
    <row r="6399" spans="2:5">
      <c r="B6399" s="943">
        <v>45185</v>
      </c>
      <c r="C6399" s="195">
        <f t="shared" si="199"/>
        <v>9</v>
      </c>
      <c r="D6399" s="195">
        <v>65.7</v>
      </c>
      <c r="E6399" s="705">
        <f t="shared" si="200"/>
        <v>18.722222222222225</v>
      </c>
    </row>
    <row r="6400" spans="2:5">
      <c r="B6400" s="943">
        <v>45185</v>
      </c>
      <c r="C6400" s="195">
        <f t="shared" si="199"/>
        <v>9</v>
      </c>
      <c r="D6400" s="195">
        <v>65.7</v>
      </c>
      <c r="E6400" s="705">
        <f t="shared" si="200"/>
        <v>18.722222222222225</v>
      </c>
    </row>
    <row r="6401" spans="2:5">
      <c r="B6401" s="943">
        <v>45185</v>
      </c>
      <c r="C6401" s="195">
        <f t="shared" si="199"/>
        <v>9</v>
      </c>
      <c r="D6401" s="195">
        <v>65.7</v>
      </c>
      <c r="E6401" s="705">
        <f t="shared" si="200"/>
        <v>18.722222222222225</v>
      </c>
    </row>
    <row r="6402" spans="2:5">
      <c r="B6402" s="943">
        <v>45185</v>
      </c>
      <c r="C6402" s="195">
        <f t="shared" si="199"/>
        <v>9</v>
      </c>
      <c r="D6402" s="195" t="s">
        <v>1445</v>
      </c>
      <c r="E6402" s="705">
        <f t="shared" si="200"/>
        <v>18.888888888888889</v>
      </c>
    </row>
    <row r="6403" spans="2:5">
      <c r="B6403" s="943">
        <v>45185</v>
      </c>
      <c r="C6403" s="195">
        <f t="shared" si="199"/>
        <v>9</v>
      </c>
      <c r="D6403" s="195">
        <v>66.599999999999994</v>
      </c>
      <c r="E6403" s="705">
        <f t="shared" si="200"/>
        <v>19.222222222222218</v>
      </c>
    </row>
    <row r="6404" spans="2:5">
      <c r="B6404" s="943">
        <v>45185</v>
      </c>
      <c r="C6404" s="195">
        <f t="shared" si="199"/>
        <v>9</v>
      </c>
      <c r="D6404" s="195">
        <v>67.3</v>
      </c>
      <c r="E6404" s="705">
        <f t="shared" si="200"/>
        <v>19.611111111111111</v>
      </c>
    </row>
    <row r="6405" spans="2:5">
      <c r="B6405" s="943">
        <v>45185</v>
      </c>
      <c r="C6405" s="195">
        <f t="shared" si="199"/>
        <v>9</v>
      </c>
      <c r="D6405" s="195">
        <v>67.8</v>
      </c>
      <c r="E6405" s="705">
        <f t="shared" si="200"/>
        <v>19.888888888888886</v>
      </c>
    </row>
    <row r="6406" spans="2:5">
      <c r="B6406" s="943">
        <v>45185</v>
      </c>
      <c r="C6406" s="195">
        <f t="shared" si="199"/>
        <v>9</v>
      </c>
      <c r="D6406" s="195" t="s">
        <v>1446</v>
      </c>
      <c r="E6406" s="705">
        <f t="shared" si="200"/>
        <v>20</v>
      </c>
    </row>
    <row r="6407" spans="2:5">
      <c r="B6407" s="943">
        <v>45185</v>
      </c>
      <c r="C6407" s="195">
        <f t="shared" si="199"/>
        <v>9</v>
      </c>
      <c r="D6407" s="195">
        <v>67.8</v>
      </c>
      <c r="E6407" s="705">
        <f t="shared" si="200"/>
        <v>19.888888888888886</v>
      </c>
    </row>
    <row r="6408" spans="2:5">
      <c r="B6408" s="943">
        <v>45185</v>
      </c>
      <c r="C6408" s="195">
        <f t="shared" si="199"/>
        <v>9</v>
      </c>
      <c r="D6408" s="195">
        <v>66.7</v>
      </c>
      <c r="E6408" s="705">
        <f t="shared" si="200"/>
        <v>19.277777777777779</v>
      </c>
    </row>
    <row r="6409" spans="2:5">
      <c r="B6409" s="943">
        <v>45185</v>
      </c>
      <c r="C6409" s="195">
        <f t="shared" si="199"/>
        <v>9</v>
      </c>
      <c r="D6409" s="195">
        <v>66.400000000000006</v>
      </c>
      <c r="E6409" s="705">
        <f t="shared" si="200"/>
        <v>19.111111111111114</v>
      </c>
    </row>
    <row r="6410" spans="2:5">
      <c r="B6410" s="943">
        <v>45185</v>
      </c>
      <c r="C6410" s="195">
        <f t="shared" ref="C6410:C6473" si="201">MONTH(B6410)</f>
        <v>9</v>
      </c>
      <c r="D6410" s="195">
        <v>65.8</v>
      </c>
      <c r="E6410" s="705">
        <f t="shared" ref="E6410:E6473" si="202">CONVERT(D6410,"F","C")</f>
        <v>18.777777777777775</v>
      </c>
    </row>
    <row r="6411" spans="2:5">
      <c r="B6411" s="943">
        <v>45185</v>
      </c>
      <c r="C6411" s="195">
        <f t="shared" si="201"/>
        <v>9</v>
      </c>
      <c r="D6411" s="195">
        <v>65.5</v>
      </c>
      <c r="E6411" s="705">
        <f t="shared" si="202"/>
        <v>18.611111111111111</v>
      </c>
    </row>
    <row r="6412" spans="2:5">
      <c r="B6412" s="943">
        <v>45185</v>
      </c>
      <c r="C6412" s="195">
        <f t="shared" si="201"/>
        <v>9</v>
      </c>
      <c r="D6412" s="195">
        <v>65.099999999999994</v>
      </c>
      <c r="E6412" s="705">
        <f t="shared" si="202"/>
        <v>18.388888888888886</v>
      </c>
    </row>
    <row r="6413" spans="2:5">
      <c r="B6413" s="943">
        <v>45185</v>
      </c>
      <c r="C6413" s="195">
        <f t="shared" si="201"/>
        <v>9</v>
      </c>
      <c r="D6413" s="195">
        <v>65.3</v>
      </c>
      <c r="E6413" s="705">
        <f t="shared" si="202"/>
        <v>18.499999999999996</v>
      </c>
    </row>
    <row r="6414" spans="2:5">
      <c r="B6414" s="943">
        <v>45185</v>
      </c>
      <c r="C6414" s="195">
        <f t="shared" si="201"/>
        <v>9</v>
      </c>
      <c r="D6414" s="195" t="s">
        <v>1445</v>
      </c>
      <c r="E6414" s="705">
        <f t="shared" si="202"/>
        <v>18.888888888888889</v>
      </c>
    </row>
    <row r="6415" spans="2:5">
      <c r="B6415" s="943">
        <v>45185</v>
      </c>
      <c r="C6415" s="195">
        <f t="shared" si="201"/>
        <v>9</v>
      </c>
      <c r="D6415" s="195">
        <v>66.7</v>
      </c>
      <c r="E6415" s="705">
        <f t="shared" si="202"/>
        <v>19.277777777777779</v>
      </c>
    </row>
    <row r="6416" spans="2:5">
      <c r="B6416" s="943">
        <v>45185</v>
      </c>
      <c r="C6416" s="195">
        <f t="shared" si="201"/>
        <v>9</v>
      </c>
      <c r="D6416" s="195">
        <v>67.5</v>
      </c>
      <c r="E6416" s="705">
        <f t="shared" si="202"/>
        <v>19.722222222222221</v>
      </c>
    </row>
    <row r="6417" spans="2:5">
      <c r="B6417" s="943">
        <v>45186</v>
      </c>
      <c r="C6417" s="195">
        <f t="shared" si="201"/>
        <v>9</v>
      </c>
      <c r="D6417" s="195">
        <v>67.8</v>
      </c>
      <c r="E6417" s="705">
        <f t="shared" si="202"/>
        <v>19.888888888888886</v>
      </c>
    </row>
    <row r="6418" spans="2:5">
      <c r="B6418" s="943">
        <v>45186</v>
      </c>
      <c r="C6418" s="195">
        <f t="shared" si="201"/>
        <v>9</v>
      </c>
      <c r="D6418" s="195" t="s">
        <v>1446</v>
      </c>
      <c r="E6418" s="705">
        <f t="shared" si="202"/>
        <v>20</v>
      </c>
    </row>
    <row r="6419" spans="2:5">
      <c r="B6419" s="943">
        <v>45186</v>
      </c>
      <c r="C6419" s="195">
        <f t="shared" si="201"/>
        <v>9</v>
      </c>
      <c r="D6419" s="195" t="s">
        <v>1446</v>
      </c>
      <c r="E6419" s="705">
        <f t="shared" si="202"/>
        <v>20</v>
      </c>
    </row>
    <row r="6420" spans="2:5">
      <c r="B6420" s="943">
        <v>45186</v>
      </c>
      <c r="C6420" s="195">
        <f t="shared" si="201"/>
        <v>9</v>
      </c>
      <c r="D6420" s="195">
        <v>66.900000000000006</v>
      </c>
      <c r="E6420" s="705">
        <f t="shared" si="202"/>
        <v>19.388888888888893</v>
      </c>
    </row>
    <row r="6421" spans="2:5">
      <c r="B6421" s="943">
        <v>45186</v>
      </c>
      <c r="C6421" s="195">
        <f t="shared" si="201"/>
        <v>9</v>
      </c>
      <c r="D6421" s="195" t="s">
        <v>1445</v>
      </c>
      <c r="E6421" s="705">
        <f t="shared" si="202"/>
        <v>18.888888888888889</v>
      </c>
    </row>
    <row r="6422" spans="2:5">
      <c r="B6422" s="943">
        <v>45186</v>
      </c>
      <c r="C6422" s="195">
        <f t="shared" si="201"/>
        <v>9</v>
      </c>
      <c r="D6422" s="195">
        <v>64.2</v>
      </c>
      <c r="E6422" s="705">
        <f t="shared" si="202"/>
        <v>17.888888888888889</v>
      </c>
    </row>
    <row r="6423" spans="2:5">
      <c r="B6423" s="943">
        <v>45186</v>
      </c>
      <c r="C6423" s="195">
        <f t="shared" si="201"/>
        <v>9</v>
      </c>
      <c r="D6423" s="195">
        <v>63.1</v>
      </c>
      <c r="E6423" s="705">
        <f t="shared" si="202"/>
        <v>17.277777777777779</v>
      </c>
    </row>
    <row r="6424" spans="2:5">
      <c r="B6424" s="943">
        <v>45186</v>
      </c>
      <c r="C6424" s="195">
        <f t="shared" si="201"/>
        <v>9</v>
      </c>
      <c r="D6424" s="195">
        <v>62.8</v>
      </c>
      <c r="E6424" s="705">
        <f t="shared" si="202"/>
        <v>17.111111111111111</v>
      </c>
    </row>
    <row r="6425" spans="2:5">
      <c r="B6425" s="943">
        <v>45186</v>
      </c>
      <c r="C6425" s="195">
        <f t="shared" si="201"/>
        <v>9</v>
      </c>
      <c r="D6425" s="195" t="s">
        <v>1443</v>
      </c>
      <c r="E6425" s="705">
        <f t="shared" si="202"/>
        <v>17.222222222222221</v>
      </c>
    </row>
    <row r="6426" spans="2:5">
      <c r="B6426" s="943">
        <v>45186</v>
      </c>
      <c r="C6426" s="195">
        <f t="shared" si="201"/>
        <v>9</v>
      </c>
      <c r="D6426" s="195">
        <v>63.3</v>
      </c>
      <c r="E6426" s="705">
        <f t="shared" si="202"/>
        <v>17.388888888888886</v>
      </c>
    </row>
    <row r="6427" spans="2:5">
      <c r="B6427" s="943">
        <v>45186</v>
      </c>
      <c r="C6427" s="195">
        <f t="shared" si="201"/>
        <v>9</v>
      </c>
      <c r="D6427" s="195">
        <v>64.400000000000006</v>
      </c>
      <c r="E6427" s="705">
        <f t="shared" si="202"/>
        <v>18.000000000000004</v>
      </c>
    </row>
    <row r="6428" spans="2:5">
      <c r="B6428" s="943">
        <v>45186</v>
      </c>
      <c r="C6428" s="195">
        <f t="shared" si="201"/>
        <v>9</v>
      </c>
      <c r="D6428" s="195">
        <v>65.7</v>
      </c>
      <c r="E6428" s="705">
        <f t="shared" si="202"/>
        <v>18.722222222222225</v>
      </c>
    </row>
    <row r="6429" spans="2:5">
      <c r="B6429" s="943">
        <v>45186</v>
      </c>
      <c r="C6429" s="195">
        <f t="shared" si="201"/>
        <v>9</v>
      </c>
      <c r="D6429" s="195">
        <v>66.599999999999994</v>
      </c>
      <c r="E6429" s="705">
        <f t="shared" si="202"/>
        <v>19.222222222222218</v>
      </c>
    </row>
    <row r="6430" spans="2:5">
      <c r="B6430" s="943">
        <v>45186</v>
      </c>
      <c r="C6430" s="195">
        <f t="shared" si="201"/>
        <v>9</v>
      </c>
      <c r="D6430" s="195">
        <v>66.900000000000006</v>
      </c>
      <c r="E6430" s="705">
        <f t="shared" si="202"/>
        <v>19.388888888888893</v>
      </c>
    </row>
    <row r="6431" spans="2:5">
      <c r="B6431" s="943">
        <v>45186</v>
      </c>
      <c r="C6431" s="195">
        <f t="shared" si="201"/>
        <v>9</v>
      </c>
      <c r="D6431" s="195">
        <v>66.900000000000006</v>
      </c>
      <c r="E6431" s="705">
        <f t="shared" si="202"/>
        <v>19.388888888888893</v>
      </c>
    </row>
    <row r="6432" spans="2:5">
      <c r="B6432" s="943">
        <v>45186</v>
      </c>
      <c r="C6432" s="195">
        <f t="shared" si="201"/>
        <v>9</v>
      </c>
      <c r="D6432" s="195">
        <v>65.3</v>
      </c>
      <c r="E6432" s="705">
        <f t="shared" si="202"/>
        <v>18.499999999999996</v>
      </c>
    </row>
    <row r="6433" spans="2:5">
      <c r="B6433" s="943">
        <v>45186</v>
      </c>
      <c r="C6433" s="195">
        <f t="shared" si="201"/>
        <v>9</v>
      </c>
      <c r="D6433" s="195">
        <v>64.900000000000006</v>
      </c>
      <c r="E6433" s="705">
        <f t="shared" si="202"/>
        <v>18.277777777777782</v>
      </c>
    </row>
    <row r="6434" spans="2:5">
      <c r="B6434" s="943">
        <v>45186</v>
      </c>
      <c r="C6434" s="195">
        <f t="shared" si="201"/>
        <v>9</v>
      </c>
      <c r="D6434" s="195">
        <v>63.9</v>
      </c>
      <c r="E6434" s="705">
        <f t="shared" si="202"/>
        <v>17.722222222222221</v>
      </c>
    </row>
    <row r="6435" spans="2:5">
      <c r="B6435" s="943">
        <v>45186</v>
      </c>
      <c r="C6435" s="195">
        <f t="shared" si="201"/>
        <v>9</v>
      </c>
      <c r="D6435" s="195">
        <v>63.3</v>
      </c>
      <c r="E6435" s="705">
        <f t="shared" si="202"/>
        <v>17.388888888888886</v>
      </c>
    </row>
    <row r="6436" spans="2:5">
      <c r="B6436" s="943">
        <v>45186</v>
      </c>
      <c r="C6436" s="195">
        <f t="shared" si="201"/>
        <v>9</v>
      </c>
      <c r="D6436" s="195">
        <v>63.1</v>
      </c>
      <c r="E6436" s="705">
        <f t="shared" si="202"/>
        <v>17.277777777777779</v>
      </c>
    </row>
    <row r="6437" spans="2:5">
      <c r="B6437" s="943">
        <v>45186</v>
      </c>
      <c r="C6437" s="195">
        <f t="shared" si="201"/>
        <v>9</v>
      </c>
      <c r="D6437" s="195">
        <v>63.9</v>
      </c>
      <c r="E6437" s="705">
        <f t="shared" si="202"/>
        <v>17.722222222222221</v>
      </c>
    </row>
    <row r="6438" spans="2:5">
      <c r="B6438" s="943">
        <v>45186</v>
      </c>
      <c r="C6438" s="195">
        <f t="shared" si="201"/>
        <v>9</v>
      </c>
      <c r="D6438" s="195">
        <v>63.7</v>
      </c>
      <c r="E6438" s="705">
        <f t="shared" si="202"/>
        <v>17.611111111111111</v>
      </c>
    </row>
    <row r="6439" spans="2:5">
      <c r="B6439" s="943">
        <v>45186</v>
      </c>
      <c r="C6439" s="195">
        <f t="shared" si="201"/>
        <v>9</v>
      </c>
      <c r="D6439" s="195">
        <v>64.400000000000006</v>
      </c>
      <c r="E6439" s="705">
        <f t="shared" si="202"/>
        <v>18.000000000000004</v>
      </c>
    </row>
    <row r="6440" spans="2:5">
      <c r="B6440" s="943">
        <v>45186</v>
      </c>
      <c r="C6440" s="195">
        <f t="shared" si="201"/>
        <v>9</v>
      </c>
      <c r="D6440" s="195">
        <v>65.7</v>
      </c>
      <c r="E6440" s="705">
        <f t="shared" si="202"/>
        <v>18.722222222222225</v>
      </c>
    </row>
    <row r="6441" spans="2:5">
      <c r="B6441" s="943">
        <v>45187</v>
      </c>
      <c r="C6441" s="195">
        <f t="shared" si="201"/>
        <v>9</v>
      </c>
      <c r="D6441" s="195">
        <v>66.400000000000006</v>
      </c>
      <c r="E6441" s="705">
        <f t="shared" si="202"/>
        <v>19.111111111111114</v>
      </c>
    </row>
    <row r="6442" spans="2:5">
      <c r="B6442" s="943">
        <v>45187</v>
      </c>
      <c r="C6442" s="195">
        <f t="shared" si="201"/>
        <v>9</v>
      </c>
      <c r="D6442" s="195">
        <v>66.900000000000006</v>
      </c>
      <c r="E6442" s="705">
        <f t="shared" si="202"/>
        <v>19.388888888888893</v>
      </c>
    </row>
    <row r="6443" spans="2:5">
      <c r="B6443" s="943">
        <v>45187</v>
      </c>
      <c r="C6443" s="195">
        <f t="shared" si="201"/>
        <v>9</v>
      </c>
      <c r="D6443" s="195">
        <v>67.099999999999994</v>
      </c>
      <c r="E6443" s="705">
        <f t="shared" si="202"/>
        <v>19.499999999999996</v>
      </c>
    </row>
    <row r="6444" spans="2:5">
      <c r="B6444" s="943">
        <v>45187</v>
      </c>
      <c r="C6444" s="195">
        <f t="shared" si="201"/>
        <v>9</v>
      </c>
      <c r="D6444" s="195">
        <v>66.7</v>
      </c>
      <c r="E6444" s="705">
        <f t="shared" si="202"/>
        <v>19.277777777777779</v>
      </c>
    </row>
    <row r="6445" spans="2:5">
      <c r="B6445" s="943">
        <v>45187</v>
      </c>
      <c r="C6445" s="195">
        <f t="shared" si="201"/>
        <v>9</v>
      </c>
      <c r="D6445" s="195">
        <v>65.7</v>
      </c>
      <c r="E6445" s="705">
        <f t="shared" si="202"/>
        <v>18.722222222222225</v>
      </c>
    </row>
    <row r="6446" spans="2:5">
      <c r="B6446" s="943">
        <v>45187</v>
      </c>
      <c r="C6446" s="195">
        <f t="shared" si="201"/>
        <v>9</v>
      </c>
      <c r="D6446" s="195">
        <v>64.599999999999994</v>
      </c>
      <c r="E6446" s="705">
        <f t="shared" si="202"/>
        <v>18.111111111111107</v>
      </c>
    </row>
    <row r="6447" spans="2:5">
      <c r="B6447" s="943">
        <v>45187</v>
      </c>
      <c r="C6447" s="195">
        <f t="shared" si="201"/>
        <v>9</v>
      </c>
      <c r="D6447" s="195">
        <v>63.7</v>
      </c>
      <c r="E6447" s="705">
        <f t="shared" si="202"/>
        <v>17.611111111111111</v>
      </c>
    </row>
    <row r="6448" spans="2:5">
      <c r="B6448" s="943">
        <v>45187</v>
      </c>
      <c r="C6448" s="195">
        <f t="shared" si="201"/>
        <v>9</v>
      </c>
      <c r="D6448" s="195">
        <v>63.3</v>
      </c>
      <c r="E6448" s="705">
        <f t="shared" si="202"/>
        <v>17.388888888888886</v>
      </c>
    </row>
    <row r="6449" spans="2:5">
      <c r="B6449" s="943">
        <v>45187</v>
      </c>
      <c r="C6449" s="195">
        <f t="shared" si="201"/>
        <v>9</v>
      </c>
      <c r="D6449" s="195">
        <v>63.3</v>
      </c>
      <c r="E6449" s="705">
        <f t="shared" si="202"/>
        <v>17.388888888888886</v>
      </c>
    </row>
    <row r="6450" spans="2:5">
      <c r="B6450" s="943">
        <v>45187</v>
      </c>
      <c r="C6450" s="195">
        <f t="shared" si="201"/>
        <v>9</v>
      </c>
      <c r="D6450" s="195">
        <v>63.5</v>
      </c>
      <c r="E6450" s="705">
        <f t="shared" si="202"/>
        <v>17.5</v>
      </c>
    </row>
    <row r="6451" spans="2:5">
      <c r="B6451" s="943">
        <v>45187</v>
      </c>
      <c r="C6451" s="195">
        <f t="shared" si="201"/>
        <v>9</v>
      </c>
      <c r="D6451" s="195" t="s">
        <v>1444</v>
      </c>
      <c r="E6451" s="705">
        <f t="shared" si="202"/>
        <v>17.777777777777779</v>
      </c>
    </row>
    <row r="6452" spans="2:5">
      <c r="B6452" s="943">
        <v>45187</v>
      </c>
      <c r="C6452" s="195">
        <f t="shared" si="201"/>
        <v>9</v>
      </c>
      <c r="D6452" s="195">
        <v>64.8</v>
      </c>
      <c r="E6452" s="705">
        <f t="shared" si="202"/>
        <v>18.222222222222221</v>
      </c>
    </row>
    <row r="6453" spans="2:5">
      <c r="B6453" s="943">
        <v>45187</v>
      </c>
      <c r="C6453" s="195">
        <f t="shared" si="201"/>
        <v>9</v>
      </c>
      <c r="D6453" s="195">
        <v>65.8</v>
      </c>
      <c r="E6453" s="705">
        <f t="shared" si="202"/>
        <v>18.777777777777775</v>
      </c>
    </row>
    <row r="6454" spans="2:5">
      <c r="B6454" s="943">
        <v>45187</v>
      </c>
      <c r="C6454" s="195">
        <f t="shared" si="201"/>
        <v>9</v>
      </c>
      <c r="D6454" s="195">
        <v>66.400000000000006</v>
      </c>
      <c r="E6454" s="705">
        <f t="shared" si="202"/>
        <v>19.111111111111114</v>
      </c>
    </row>
    <row r="6455" spans="2:5">
      <c r="B6455" s="943">
        <v>45187</v>
      </c>
      <c r="C6455" s="195">
        <f t="shared" si="201"/>
        <v>9</v>
      </c>
      <c r="D6455" s="195">
        <v>66.599999999999994</v>
      </c>
      <c r="E6455" s="705">
        <f t="shared" si="202"/>
        <v>19.222222222222218</v>
      </c>
    </row>
    <row r="6456" spans="2:5">
      <c r="B6456" s="943">
        <v>45187</v>
      </c>
      <c r="C6456" s="195">
        <f t="shared" si="201"/>
        <v>9</v>
      </c>
      <c r="D6456" s="195">
        <v>66.2</v>
      </c>
      <c r="E6456" s="705">
        <f t="shared" si="202"/>
        <v>19</v>
      </c>
    </row>
    <row r="6457" spans="2:5">
      <c r="B6457" s="943">
        <v>45187</v>
      </c>
      <c r="C6457" s="195">
        <f t="shared" si="201"/>
        <v>9</v>
      </c>
      <c r="D6457" s="195">
        <v>64.8</v>
      </c>
      <c r="E6457" s="705">
        <f t="shared" si="202"/>
        <v>18.222222222222221</v>
      </c>
    </row>
    <row r="6458" spans="2:5">
      <c r="B6458" s="943">
        <v>45187</v>
      </c>
      <c r="C6458" s="195">
        <f t="shared" si="201"/>
        <v>9</v>
      </c>
      <c r="D6458" s="195">
        <v>63.7</v>
      </c>
      <c r="E6458" s="705">
        <f t="shared" si="202"/>
        <v>17.611111111111111</v>
      </c>
    </row>
    <row r="6459" spans="2:5">
      <c r="B6459" s="943">
        <v>45187</v>
      </c>
      <c r="C6459" s="195">
        <f t="shared" si="201"/>
        <v>9</v>
      </c>
      <c r="D6459" s="195">
        <v>63.1</v>
      </c>
      <c r="E6459" s="705">
        <f t="shared" si="202"/>
        <v>17.277777777777779</v>
      </c>
    </row>
    <row r="6460" spans="2:5">
      <c r="B6460" s="943">
        <v>45187</v>
      </c>
      <c r="C6460" s="195">
        <f t="shared" si="201"/>
        <v>9</v>
      </c>
      <c r="D6460" s="195" t="s">
        <v>1443</v>
      </c>
      <c r="E6460" s="705">
        <f t="shared" si="202"/>
        <v>17.222222222222221</v>
      </c>
    </row>
    <row r="6461" spans="2:5">
      <c r="B6461" s="943">
        <v>45187</v>
      </c>
      <c r="C6461" s="195">
        <f t="shared" si="201"/>
        <v>9</v>
      </c>
      <c r="D6461" s="195" t="s">
        <v>1443</v>
      </c>
      <c r="E6461" s="705">
        <f t="shared" si="202"/>
        <v>17.222222222222221</v>
      </c>
    </row>
    <row r="6462" spans="2:5">
      <c r="B6462" s="943">
        <v>45187</v>
      </c>
      <c r="C6462" s="195">
        <f t="shared" si="201"/>
        <v>9</v>
      </c>
      <c r="D6462" s="195">
        <v>63.1</v>
      </c>
      <c r="E6462" s="705">
        <f t="shared" si="202"/>
        <v>17.277777777777779</v>
      </c>
    </row>
    <row r="6463" spans="2:5">
      <c r="B6463" s="943">
        <v>45187</v>
      </c>
      <c r="C6463" s="195">
        <f t="shared" si="201"/>
        <v>9</v>
      </c>
      <c r="D6463" s="195">
        <v>63.3</v>
      </c>
      <c r="E6463" s="705">
        <f t="shared" si="202"/>
        <v>17.388888888888886</v>
      </c>
    </row>
    <row r="6464" spans="2:5">
      <c r="B6464" s="943">
        <v>45187</v>
      </c>
      <c r="C6464" s="195">
        <f t="shared" si="201"/>
        <v>9</v>
      </c>
      <c r="D6464" s="195" t="s">
        <v>1444</v>
      </c>
      <c r="E6464" s="705">
        <f t="shared" si="202"/>
        <v>17.777777777777779</v>
      </c>
    </row>
    <row r="6465" spans="2:5">
      <c r="B6465" s="943">
        <v>45188</v>
      </c>
      <c r="C6465" s="195">
        <f t="shared" si="201"/>
        <v>9</v>
      </c>
      <c r="D6465" s="195">
        <v>65.099999999999994</v>
      </c>
      <c r="E6465" s="705">
        <f t="shared" si="202"/>
        <v>18.388888888888886</v>
      </c>
    </row>
    <row r="6466" spans="2:5">
      <c r="B6466" s="943">
        <v>45188</v>
      </c>
      <c r="C6466" s="195">
        <f t="shared" si="201"/>
        <v>9</v>
      </c>
      <c r="D6466" s="195">
        <v>65.7</v>
      </c>
      <c r="E6466" s="705">
        <f t="shared" si="202"/>
        <v>18.722222222222225</v>
      </c>
    </row>
    <row r="6467" spans="2:5">
      <c r="B6467" s="943">
        <v>45188</v>
      </c>
      <c r="C6467" s="195">
        <f t="shared" si="201"/>
        <v>9</v>
      </c>
      <c r="D6467" s="195" t="s">
        <v>1445</v>
      </c>
      <c r="E6467" s="705">
        <f t="shared" si="202"/>
        <v>18.888888888888889</v>
      </c>
    </row>
    <row r="6468" spans="2:5">
      <c r="B6468" s="943">
        <v>45188</v>
      </c>
      <c r="C6468" s="195">
        <f t="shared" si="201"/>
        <v>9</v>
      </c>
      <c r="D6468" s="195">
        <v>66.2</v>
      </c>
      <c r="E6468" s="705">
        <f t="shared" si="202"/>
        <v>19</v>
      </c>
    </row>
    <row r="6469" spans="2:5">
      <c r="B6469" s="943">
        <v>45188</v>
      </c>
      <c r="C6469" s="195">
        <f t="shared" si="201"/>
        <v>9</v>
      </c>
      <c r="D6469" s="195">
        <v>65.099999999999994</v>
      </c>
      <c r="E6469" s="705">
        <f t="shared" si="202"/>
        <v>18.388888888888886</v>
      </c>
    </row>
    <row r="6470" spans="2:5">
      <c r="B6470" s="943">
        <v>45188</v>
      </c>
      <c r="C6470" s="195">
        <f t="shared" si="201"/>
        <v>9</v>
      </c>
      <c r="D6470" s="195">
        <v>64.599999999999994</v>
      </c>
      <c r="E6470" s="705">
        <f t="shared" si="202"/>
        <v>18.111111111111107</v>
      </c>
    </row>
    <row r="6471" spans="2:5">
      <c r="B6471" s="943">
        <v>45188</v>
      </c>
      <c r="C6471" s="195">
        <f t="shared" si="201"/>
        <v>9</v>
      </c>
      <c r="D6471" s="195" t="s">
        <v>1444</v>
      </c>
      <c r="E6471" s="705">
        <f t="shared" si="202"/>
        <v>17.777777777777779</v>
      </c>
    </row>
    <row r="6472" spans="2:5">
      <c r="B6472" s="943">
        <v>45188</v>
      </c>
      <c r="C6472" s="195">
        <f t="shared" si="201"/>
        <v>9</v>
      </c>
      <c r="D6472" s="195">
        <v>63.7</v>
      </c>
      <c r="E6472" s="705">
        <f t="shared" si="202"/>
        <v>17.611111111111111</v>
      </c>
    </row>
    <row r="6473" spans="2:5">
      <c r="B6473" s="943">
        <v>45188</v>
      </c>
      <c r="C6473" s="195">
        <f t="shared" si="201"/>
        <v>9</v>
      </c>
      <c r="D6473" s="195">
        <v>63.5</v>
      </c>
      <c r="E6473" s="705">
        <f t="shared" si="202"/>
        <v>17.5</v>
      </c>
    </row>
    <row r="6474" spans="2:5">
      <c r="B6474" s="943">
        <v>45188</v>
      </c>
      <c r="C6474" s="195">
        <f t="shared" ref="C6474:C6537" si="203">MONTH(B6474)</f>
        <v>9</v>
      </c>
      <c r="D6474" s="195">
        <v>63.5</v>
      </c>
      <c r="E6474" s="705">
        <f t="shared" ref="E6474:E6537" si="204">CONVERT(D6474,"F","C")</f>
        <v>17.5</v>
      </c>
    </row>
    <row r="6475" spans="2:5">
      <c r="B6475" s="943">
        <v>45188</v>
      </c>
      <c r="C6475" s="195">
        <f t="shared" si="203"/>
        <v>9</v>
      </c>
      <c r="D6475" s="195">
        <v>63.9</v>
      </c>
      <c r="E6475" s="705">
        <f t="shared" si="204"/>
        <v>17.722222222222221</v>
      </c>
    </row>
    <row r="6476" spans="2:5">
      <c r="B6476" s="943">
        <v>45188</v>
      </c>
      <c r="C6476" s="195">
        <f t="shared" si="203"/>
        <v>9</v>
      </c>
      <c r="D6476" s="195">
        <v>64.2</v>
      </c>
      <c r="E6476" s="705">
        <f t="shared" si="204"/>
        <v>17.888888888888889</v>
      </c>
    </row>
    <row r="6477" spans="2:5">
      <c r="B6477" s="943">
        <v>45188</v>
      </c>
      <c r="C6477" s="195">
        <f t="shared" si="203"/>
        <v>9</v>
      </c>
      <c r="D6477" s="195">
        <v>65.099999999999994</v>
      </c>
      <c r="E6477" s="705">
        <f t="shared" si="204"/>
        <v>18.388888888888886</v>
      </c>
    </row>
    <row r="6478" spans="2:5">
      <c r="B6478" s="943">
        <v>45188</v>
      </c>
      <c r="C6478" s="195">
        <f t="shared" si="203"/>
        <v>9</v>
      </c>
      <c r="D6478" s="195">
        <v>65.5</v>
      </c>
      <c r="E6478" s="705">
        <f t="shared" si="204"/>
        <v>18.611111111111111</v>
      </c>
    </row>
    <row r="6479" spans="2:5">
      <c r="B6479" s="943">
        <v>45188</v>
      </c>
      <c r="C6479" s="195">
        <f t="shared" si="203"/>
        <v>9</v>
      </c>
      <c r="D6479" s="195">
        <v>65.8</v>
      </c>
      <c r="E6479" s="705">
        <f t="shared" si="204"/>
        <v>18.777777777777775</v>
      </c>
    </row>
    <row r="6480" spans="2:5">
      <c r="B6480" s="943">
        <v>45188</v>
      </c>
      <c r="C6480" s="195">
        <f t="shared" si="203"/>
        <v>9</v>
      </c>
      <c r="D6480" s="195" t="s">
        <v>1445</v>
      </c>
      <c r="E6480" s="705">
        <f t="shared" si="204"/>
        <v>18.888888888888889</v>
      </c>
    </row>
    <row r="6481" spans="2:5">
      <c r="B6481" s="943">
        <v>45188</v>
      </c>
      <c r="C6481" s="195">
        <f t="shared" si="203"/>
        <v>9</v>
      </c>
      <c r="D6481" s="195">
        <v>65.7</v>
      </c>
      <c r="E6481" s="705">
        <f t="shared" si="204"/>
        <v>18.722222222222225</v>
      </c>
    </row>
    <row r="6482" spans="2:5">
      <c r="B6482" s="943">
        <v>45188</v>
      </c>
      <c r="C6482" s="195">
        <f t="shared" si="203"/>
        <v>9</v>
      </c>
      <c r="D6482" s="195">
        <v>64.900000000000006</v>
      </c>
      <c r="E6482" s="705">
        <f t="shared" si="204"/>
        <v>18.277777777777782</v>
      </c>
    </row>
    <row r="6483" spans="2:5">
      <c r="B6483" s="943">
        <v>45188</v>
      </c>
      <c r="C6483" s="195">
        <f t="shared" si="203"/>
        <v>9</v>
      </c>
      <c r="D6483" s="195">
        <v>64.400000000000006</v>
      </c>
      <c r="E6483" s="705">
        <f t="shared" si="204"/>
        <v>18.000000000000004</v>
      </c>
    </row>
    <row r="6484" spans="2:5">
      <c r="B6484" s="943">
        <v>45188</v>
      </c>
      <c r="C6484" s="195">
        <f t="shared" si="203"/>
        <v>9</v>
      </c>
      <c r="D6484" s="195">
        <v>63.7</v>
      </c>
      <c r="E6484" s="705">
        <f t="shared" si="204"/>
        <v>17.611111111111111</v>
      </c>
    </row>
    <row r="6485" spans="2:5">
      <c r="B6485" s="943">
        <v>45188</v>
      </c>
      <c r="C6485" s="195">
        <f t="shared" si="203"/>
        <v>9</v>
      </c>
      <c r="D6485" s="195">
        <v>63.5</v>
      </c>
      <c r="E6485" s="705">
        <f t="shared" si="204"/>
        <v>17.5</v>
      </c>
    </row>
    <row r="6486" spans="2:5">
      <c r="B6486" s="943">
        <v>45188</v>
      </c>
      <c r="C6486" s="195">
        <f t="shared" si="203"/>
        <v>9</v>
      </c>
      <c r="D6486" s="195">
        <v>63.7</v>
      </c>
      <c r="E6486" s="705">
        <f t="shared" si="204"/>
        <v>17.611111111111111</v>
      </c>
    </row>
    <row r="6487" spans="2:5">
      <c r="B6487" s="943">
        <v>45188</v>
      </c>
      <c r="C6487" s="195">
        <f t="shared" si="203"/>
        <v>9</v>
      </c>
      <c r="D6487" s="195">
        <v>63.7</v>
      </c>
      <c r="E6487" s="705">
        <f t="shared" si="204"/>
        <v>17.611111111111111</v>
      </c>
    </row>
    <row r="6488" spans="2:5">
      <c r="B6488" s="943">
        <v>45188</v>
      </c>
      <c r="C6488" s="195">
        <f t="shared" si="203"/>
        <v>9</v>
      </c>
      <c r="D6488" s="195">
        <v>64.400000000000006</v>
      </c>
      <c r="E6488" s="705">
        <f t="shared" si="204"/>
        <v>18.000000000000004</v>
      </c>
    </row>
    <row r="6489" spans="2:5">
      <c r="B6489" s="943">
        <v>45189</v>
      </c>
      <c r="C6489" s="195">
        <f t="shared" si="203"/>
        <v>9</v>
      </c>
      <c r="D6489" s="195">
        <v>65.3</v>
      </c>
      <c r="E6489" s="705">
        <f t="shared" si="204"/>
        <v>18.499999999999996</v>
      </c>
    </row>
    <row r="6490" spans="2:5">
      <c r="B6490" s="943">
        <v>45189</v>
      </c>
      <c r="C6490" s="195">
        <f t="shared" si="203"/>
        <v>9</v>
      </c>
      <c r="D6490" s="195">
        <v>65.8</v>
      </c>
      <c r="E6490" s="705">
        <f t="shared" si="204"/>
        <v>18.777777777777775</v>
      </c>
    </row>
    <row r="6491" spans="2:5">
      <c r="B6491" s="943">
        <v>45189</v>
      </c>
      <c r="C6491" s="195">
        <f t="shared" si="203"/>
        <v>9</v>
      </c>
      <c r="D6491" s="195">
        <v>66.2</v>
      </c>
      <c r="E6491" s="705">
        <f t="shared" si="204"/>
        <v>19</v>
      </c>
    </row>
    <row r="6492" spans="2:5">
      <c r="B6492" s="943">
        <v>45189</v>
      </c>
      <c r="C6492" s="195">
        <f t="shared" si="203"/>
        <v>9</v>
      </c>
      <c r="D6492" s="195">
        <v>66.2</v>
      </c>
      <c r="E6492" s="705">
        <f t="shared" si="204"/>
        <v>19</v>
      </c>
    </row>
    <row r="6493" spans="2:5">
      <c r="B6493" s="943">
        <v>45189</v>
      </c>
      <c r="C6493" s="195">
        <f t="shared" si="203"/>
        <v>9</v>
      </c>
      <c r="D6493" s="195">
        <v>66.2</v>
      </c>
      <c r="E6493" s="705">
        <f t="shared" si="204"/>
        <v>19</v>
      </c>
    </row>
    <row r="6494" spans="2:5">
      <c r="B6494" s="943">
        <v>45189</v>
      </c>
      <c r="C6494" s="195">
        <f t="shared" si="203"/>
        <v>9</v>
      </c>
      <c r="D6494" s="195">
        <v>65.5</v>
      </c>
      <c r="E6494" s="705">
        <f t="shared" si="204"/>
        <v>18.611111111111111</v>
      </c>
    </row>
    <row r="6495" spans="2:5">
      <c r="B6495" s="943">
        <v>45189</v>
      </c>
      <c r="C6495" s="195">
        <f t="shared" si="203"/>
        <v>9</v>
      </c>
      <c r="D6495" s="195">
        <v>63.3</v>
      </c>
      <c r="E6495" s="705">
        <f t="shared" si="204"/>
        <v>17.388888888888886</v>
      </c>
    </row>
    <row r="6496" spans="2:5">
      <c r="B6496" s="943">
        <v>45189</v>
      </c>
      <c r="C6496" s="195">
        <f t="shared" si="203"/>
        <v>9</v>
      </c>
      <c r="D6496" s="195">
        <v>62.8</v>
      </c>
      <c r="E6496" s="705">
        <f t="shared" si="204"/>
        <v>17.111111111111111</v>
      </c>
    </row>
    <row r="6497" spans="2:5">
      <c r="B6497" s="943">
        <v>45189</v>
      </c>
      <c r="C6497" s="195">
        <f t="shared" si="203"/>
        <v>9</v>
      </c>
      <c r="D6497" s="195">
        <v>61.9</v>
      </c>
      <c r="E6497" s="705">
        <f t="shared" si="204"/>
        <v>16.611111111111111</v>
      </c>
    </row>
    <row r="6498" spans="2:5">
      <c r="B6498" s="943">
        <v>45189</v>
      </c>
      <c r="C6498" s="195">
        <f t="shared" si="203"/>
        <v>9</v>
      </c>
      <c r="D6498" s="195">
        <v>61.7</v>
      </c>
      <c r="E6498" s="705">
        <f t="shared" si="204"/>
        <v>16.5</v>
      </c>
    </row>
    <row r="6499" spans="2:5">
      <c r="B6499" s="943">
        <v>45189</v>
      </c>
      <c r="C6499" s="195">
        <f t="shared" si="203"/>
        <v>9</v>
      </c>
      <c r="D6499" s="195">
        <v>62.1</v>
      </c>
      <c r="E6499" s="705">
        <f t="shared" si="204"/>
        <v>16.722222222222221</v>
      </c>
    </row>
    <row r="6500" spans="2:5">
      <c r="B6500" s="943">
        <v>45189</v>
      </c>
      <c r="C6500" s="195">
        <f t="shared" si="203"/>
        <v>9</v>
      </c>
      <c r="D6500" s="195">
        <v>62.8</v>
      </c>
      <c r="E6500" s="705">
        <f t="shared" si="204"/>
        <v>17.111111111111111</v>
      </c>
    </row>
    <row r="6501" spans="2:5">
      <c r="B6501" s="943">
        <v>45189</v>
      </c>
      <c r="C6501" s="195">
        <f t="shared" si="203"/>
        <v>9</v>
      </c>
      <c r="D6501" s="195" t="s">
        <v>1444</v>
      </c>
      <c r="E6501" s="705">
        <f t="shared" si="204"/>
        <v>17.777777777777779</v>
      </c>
    </row>
    <row r="6502" spans="2:5">
      <c r="B6502" s="943">
        <v>45189</v>
      </c>
      <c r="C6502" s="195">
        <f t="shared" si="203"/>
        <v>9</v>
      </c>
      <c r="D6502" s="195">
        <v>64.900000000000006</v>
      </c>
      <c r="E6502" s="705">
        <f t="shared" si="204"/>
        <v>18.277777777777782</v>
      </c>
    </row>
    <row r="6503" spans="2:5">
      <c r="B6503" s="943">
        <v>45189</v>
      </c>
      <c r="C6503" s="195">
        <f t="shared" si="203"/>
        <v>9</v>
      </c>
      <c r="D6503" s="195">
        <v>65.5</v>
      </c>
      <c r="E6503" s="705">
        <f t="shared" si="204"/>
        <v>18.611111111111111</v>
      </c>
    </row>
    <row r="6504" spans="2:5">
      <c r="B6504" s="943">
        <v>45189</v>
      </c>
      <c r="C6504" s="195">
        <f t="shared" si="203"/>
        <v>9</v>
      </c>
      <c r="D6504" s="195">
        <v>65.8</v>
      </c>
      <c r="E6504" s="705">
        <f t="shared" si="204"/>
        <v>18.777777777777775</v>
      </c>
    </row>
    <row r="6505" spans="2:5">
      <c r="B6505" s="943">
        <v>45189</v>
      </c>
      <c r="C6505" s="195">
        <f t="shared" si="203"/>
        <v>9</v>
      </c>
      <c r="D6505" s="195">
        <v>65.5</v>
      </c>
      <c r="E6505" s="705">
        <f t="shared" si="204"/>
        <v>18.611111111111111</v>
      </c>
    </row>
    <row r="6506" spans="2:5">
      <c r="B6506" s="943">
        <v>45189</v>
      </c>
      <c r="C6506" s="195">
        <f t="shared" si="203"/>
        <v>9</v>
      </c>
      <c r="D6506" s="195">
        <v>63.9</v>
      </c>
      <c r="E6506" s="705">
        <f t="shared" si="204"/>
        <v>17.722222222222221</v>
      </c>
    </row>
    <row r="6507" spans="2:5">
      <c r="B6507" s="943">
        <v>45189</v>
      </c>
      <c r="C6507" s="195">
        <f t="shared" si="203"/>
        <v>9</v>
      </c>
      <c r="D6507" s="195" t="s">
        <v>1443</v>
      </c>
      <c r="E6507" s="705">
        <f t="shared" si="204"/>
        <v>17.222222222222221</v>
      </c>
    </row>
    <row r="6508" spans="2:5">
      <c r="B6508" s="943">
        <v>45189</v>
      </c>
      <c r="C6508" s="195">
        <f t="shared" si="203"/>
        <v>9</v>
      </c>
      <c r="D6508" s="195">
        <v>62.4</v>
      </c>
      <c r="E6508" s="705">
        <f t="shared" si="204"/>
        <v>16.888888888888889</v>
      </c>
    </row>
    <row r="6509" spans="2:5">
      <c r="B6509" s="943">
        <v>45189</v>
      </c>
      <c r="C6509" s="195">
        <f t="shared" si="203"/>
        <v>9</v>
      </c>
      <c r="D6509" s="195">
        <v>61.9</v>
      </c>
      <c r="E6509" s="705">
        <f t="shared" si="204"/>
        <v>16.611111111111111</v>
      </c>
    </row>
    <row r="6510" spans="2:5">
      <c r="B6510" s="943">
        <v>45189</v>
      </c>
      <c r="C6510" s="195">
        <f t="shared" si="203"/>
        <v>9</v>
      </c>
      <c r="D6510" s="195" t="s">
        <v>1442</v>
      </c>
      <c r="E6510" s="705">
        <f t="shared" si="204"/>
        <v>16.111111111111111</v>
      </c>
    </row>
    <row r="6511" spans="2:5">
      <c r="B6511" s="943">
        <v>45189</v>
      </c>
      <c r="C6511" s="195">
        <f t="shared" si="203"/>
        <v>9</v>
      </c>
      <c r="D6511" s="195">
        <v>61.7</v>
      </c>
      <c r="E6511" s="705">
        <f t="shared" si="204"/>
        <v>16.5</v>
      </c>
    </row>
    <row r="6512" spans="2:5">
      <c r="B6512" s="943">
        <v>45189</v>
      </c>
      <c r="C6512" s="195">
        <f t="shared" si="203"/>
        <v>9</v>
      </c>
      <c r="D6512" s="195">
        <v>61.7</v>
      </c>
      <c r="E6512" s="705">
        <f t="shared" si="204"/>
        <v>16.5</v>
      </c>
    </row>
    <row r="6513" spans="2:5">
      <c r="B6513" s="943">
        <v>45190</v>
      </c>
      <c r="C6513" s="195">
        <f t="shared" si="203"/>
        <v>9</v>
      </c>
      <c r="D6513" s="195">
        <v>62.8</v>
      </c>
      <c r="E6513" s="705">
        <f t="shared" si="204"/>
        <v>17.111111111111111</v>
      </c>
    </row>
    <row r="6514" spans="2:5">
      <c r="B6514" s="943">
        <v>45190</v>
      </c>
      <c r="C6514" s="195">
        <f t="shared" si="203"/>
        <v>9</v>
      </c>
      <c r="D6514" s="195">
        <v>64.2</v>
      </c>
      <c r="E6514" s="705">
        <f t="shared" si="204"/>
        <v>17.888888888888889</v>
      </c>
    </row>
    <row r="6515" spans="2:5">
      <c r="B6515" s="943">
        <v>45190</v>
      </c>
      <c r="C6515" s="195">
        <f t="shared" si="203"/>
        <v>9</v>
      </c>
      <c r="D6515" s="195">
        <v>64.900000000000006</v>
      </c>
      <c r="E6515" s="705">
        <f t="shared" si="204"/>
        <v>18.277777777777782</v>
      </c>
    </row>
    <row r="6516" spans="2:5">
      <c r="B6516" s="943">
        <v>45190</v>
      </c>
      <c r="C6516" s="195">
        <f t="shared" si="203"/>
        <v>9</v>
      </c>
      <c r="D6516" s="195">
        <v>65.5</v>
      </c>
      <c r="E6516" s="705">
        <f t="shared" si="204"/>
        <v>18.611111111111111</v>
      </c>
    </row>
    <row r="6517" spans="2:5">
      <c r="B6517" s="943">
        <v>45190</v>
      </c>
      <c r="C6517" s="195">
        <f t="shared" si="203"/>
        <v>9</v>
      </c>
      <c r="D6517" s="195">
        <v>65.7</v>
      </c>
      <c r="E6517" s="705">
        <f t="shared" si="204"/>
        <v>18.722222222222225</v>
      </c>
    </row>
    <row r="6518" spans="2:5">
      <c r="B6518" s="943">
        <v>45190</v>
      </c>
      <c r="C6518" s="195">
        <f t="shared" si="203"/>
        <v>9</v>
      </c>
      <c r="D6518" s="195">
        <v>65.099999999999994</v>
      </c>
      <c r="E6518" s="705">
        <f t="shared" si="204"/>
        <v>18.388888888888886</v>
      </c>
    </row>
    <row r="6519" spans="2:5">
      <c r="B6519" s="943">
        <v>45190</v>
      </c>
      <c r="C6519" s="195">
        <f t="shared" si="203"/>
        <v>9</v>
      </c>
      <c r="D6519" s="195" t="s">
        <v>1443</v>
      </c>
      <c r="E6519" s="705">
        <f t="shared" si="204"/>
        <v>17.222222222222221</v>
      </c>
    </row>
    <row r="6520" spans="2:5">
      <c r="B6520" s="943">
        <v>45190</v>
      </c>
      <c r="C6520" s="195">
        <f t="shared" si="203"/>
        <v>9</v>
      </c>
      <c r="D6520" s="195">
        <v>61.9</v>
      </c>
      <c r="E6520" s="705">
        <f t="shared" si="204"/>
        <v>16.611111111111111</v>
      </c>
    </row>
    <row r="6521" spans="2:5">
      <c r="B6521" s="943">
        <v>45190</v>
      </c>
      <c r="C6521" s="195">
        <f t="shared" si="203"/>
        <v>9</v>
      </c>
      <c r="D6521" s="195">
        <v>61.5</v>
      </c>
      <c r="E6521" s="705">
        <f t="shared" si="204"/>
        <v>16.388888888888889</v>
      </c>
    </row>
    <row r="6522" spans="2:5">
      <c r="B6522" s="943">
        <v>45190</v>
      </c>
      <c r="C6522" s="195">
        <f t="shared" si="203"/>
        <v>9</v>
      </c>
      <c r="D6522" s="195" t="s">
        <v>1442</v>
      </c>
      <c r="E6522" s="705">
        <f t="shared" si="204"/>
        <v>16.111111111111111</v>
      </c>
    </row>
    <row r="6523" spans="2:5">
      <c r="B6523" s="943">
        <v>45190</v>
      </c>
      <c r="C6523" s="195">
        <f t="shared" si="203"/>
        <v>9</v>
      </c>
      <c r="D6523" s="195">
        <v>61.5</v>
      </c>
      <c r="E6523" s="705">
        <f t="shared" si="204"/>
        <v>16.388888888888889</v>
      </c>
    </row>
    <row r="6524" spans="2:5">
      <c r="B6524" s="943">
        <v>45190</v>
      </c>
      <c r="C6524" s="195">
        <f t="shared" si="203"/>
        <v>9</v>
      </c>
      <c r="D6524" s="195">
        <v>61.5</v>
      </c>
      <c r="E6524" s="705">
        <f t="shared" si="204"/>
        <v>16.388888888888889</v>
      </c>
    </row>
    <row r="6525" spans="2:5">
      <c r="B6525" s="943">
        <v>45190</v>
      </c>
      <c r="C6525" s="195">
        <f t="shared" si="203"/>
        <v>9</v>
      </c>
      <c r="D6525" s="195">
        <v>62.2</v>
      </c>
      <c r="E6525" s="705">
        <f t="shared" si="204"/>
        <v>16.777777777777779</v>
      </c>
    </row>
    <row r="6526" spans="2:5">
      <c r="B6526" s="943">
        <v>45190</v>
      </c>
      <c r="C6526" s="195">
        <f t="shared" si="203"/>
        <v>9</v>
      </c>
      <c r="D6526" s="195">
        <v>63.1</v>
      </c>
      <c r="E6526" s="705">
        <f t="shared" si="204"/>
        <v>17.277777777777779</v>
      </c>
    </row>
    <row r="6527" spans="2:5">
      <c r="B6527" s="943">
        <v>45190</v>
      </c>
      <c r="C6527" s="195">
        <f t="shared" si="203"/>
        <v>9</v>
      </c>
      <c r="D6527" s="195">
        <v>64.2</v>
      </c>
      <c r="E6527" s="705">
        <f t="shared" si="204"/>
        <v>17.888888888888889</v>
      </c>
    </row>
    <row r="6528" spans="2:5">
      <c r="B6528" s="943">
        <v>45190</v>
      </c>
      <c r="C6528" s="195">
        <f t="shared" si="203"/>
        <v>9</v>
      </c>
      <c r="D6528" s="195">
        <v>64.900000000000006</v>
      </c>
      <c r="E6528" s="705">
        <f t="shared" si="204"/>
        <v>18.277777777777782</v>
      </c>
    </row>
    <row r="6529" spans="2:5">
      <c r="B6529" s="943">
        <v>45190</v>
      </c>
      <c r="C6529" s="195">
        <f t="shared" si="203"/>
        <v>9</v>
      </c>
      <c r="D6529" s="195">
        <v>65.099999999999994</v>
      </c>
      <c r="E6529" s="705">
        <f t="shared" si="204"/>
        <v>18.388888888888886</v>
      </c>
    </row>
    <row r="6530" spans="2:5">
      <c r="B6530" s="943">
        <v>45190</v>
      </c>
      <c r="C6530" s="195">
        <f t="shared" si="203"/>
        <v>9</v>
      </c>
      <c r="D6530" s="195">
        <v>64.400000000000006</v>
      </c>
      <c r="E6530" s="705">
        <f t="shared" si="204"/>
        <v>18.000000000000004</v>
      </c>
    </row>
    <row r="6531" spans="2:5">
      <c r="B6531" s="943">
        <v>45190</v>
      </c>
      <c r="C6531" s="195">
        <f t="shared" si="203"/>
        <v>9</v>
      </c>
      <c r="D6531" s="195">
        <v>62.4</v>
      </c>
      <c r="E6531" s="705">
        <f t="shared" si="204"/>
        <v>16.888888888888889</v>
      </c>
    </row>
    <row r="6532" spans="2:5">
      <c r="B6532" s="943">
        <v>45190</v>
      </c>
      <c r="C6532" s="195">
        <f t="shared" si="203"/>
        <v>9</v>
      </c>
      <c r="D6532" s="195">
        <v>62.2</v>
      </c>
      <c r="E6532" s="705">
        <f t="shared" si="204"/>
        <v>16.777777777777779</v>
      </c>
    </row>
    <row r="6533" spans="2:5">
      <c r="B6533" s="943">
        <v>45190</v>
      </c>
      <c r="C6533" s="195">
        <f t="shared" si="203"/>
        <v>9</v>
      </c>
      <c r="D6533" s="195">
        <v>61.7</v>
      </c>
      <c r="E6533" s="705">
        <f t="shared" si="204"/>
        <v>16.5</v>
      </c>
    </row>
    <row r="6534" spans="2:5">
      <c r="B6534" s="943">
        <v>45190</v>
      </c>
      <c r="C6534" s="195">
        <f t="shared" si="203"/>
        <v>9</v>
      </c>
      <c r="D6534" s="195">
        <v>61.3</v>
      </c>
      <c r="E6534" s="705">
        <f t="shared" si="204"/>
        <v>16.277777777777775</v>
      </c>
    </row>
    <row r="6535" spans="2:5">
      <c r="B6535" s="943">
        <v>45190</v>
      </c>
      <c r="C6535" s="195">
        <f t="shared" si="203"/>
        <v>9</v>
      </c>
      <c r="D6535" s="195">
        <v>61.3</v>
      </c>
      <c r="E6535" s="705">
        <f t="shared" si="204"/>
        <v>16.277777777777775</v>
      </c>
    </row>
    <row r="6536" spans="2:5">
      <c r="B6536" s="943">
        <v>45190</v>
      </c>
      <c r="C6536" s="195">
        <f t="shared" si="203"/>
        <v>9</v>
      </c>
      <c r="D6536" s="195">
        <v>61.3</v>
      </c>
      <c r="E6536" s="705">
        <f t="shared" si="204"/>
        <v>16.277777777777775</v>
      </c>
    </row>
    <row r="6537" spans="2:5">
      <c r="B6537" s="943">
        <v>45191</v>
      </c>
      <c r="C6537" s="195">
        <f t="shared" si="203"/>
        <v>9</v>
      </c>
      <c r="D6537" s="195">
        <v>61.7</v>
      </c>
      <c r="E6537" s="705">
        <f t="shared" si="204"/>
        <v>16.5</v>
      </c>
    </row>
    <row r="6538" spans="2:5">
      <c r="B6538" s="943">
        <v>45191</v>
      </c>
      <c r="C6538" s="195">
        <f t="shared" ref="C6538:C6601" si="205">MONTH(B6538)</f>
        <v>9</v>
      </c>
      <c r="D6538" s="195">
        <v>62.8</v>
      </c>
      <c r="E6538" s="705">
        <f t="shared" ref="E6538:E6601" si="206">CONVERT(D6538,"F","C")</f>
        <v>17.111111111111111</v>
      </c>
    </row>
    <row r="6539" spans="2:5">
      <c r="B6539" s="943">
        <v>45191</v>
      </c>
      <c r="C6539" s="195">
        <f t="shared" si="205"/>
        <v>9</v>
      </c>
      <c r="D6539" s="195">
        <v>63.9</v>
      </c>
      <c r="E6539" s="705">
        <f t="shared" si="206"/>
        <v>17.722222222222221</v>
      </c>
    </row>
    <row r="6540" spans="2:5">
      <c r="B6540" s="943">
        <v>45191</v>
      </c>
      <c r="C6540" s="195">
        <f t="shared" si="205"/>
        <v>9</v>
      </c>
      <c r="D6540" s="195">
        <v>64.599999999999994</v>
      </c>
      <c r="E6540" s="705">
        <f t="shared" si="206"/>
        <v>18.111111111111107</v>
      </c>
    </row>
    <row r="6541" spans="2:5">
      <c r="B6541" s="943">
        <v>45191</v>
      </c>
      <c r="C6541" s="195">
        <f t="shared" si="205"/>
        <v>9</v>
      </c>
      <c r="D6541" s="195">
        <v>64.900000000000006</v>
      </c>
      <c r="E6541" s="705">
        <f t="shared" si="206"/>
        <v>18.277777777777782</v>
      </c>
    </row>
    <row r="6542" spans="2:5">
      <c r="B6542" s="943">
        <v>45191</v>
      </c>
      <c r="C6542" s="195">
        <f t="shared" si="205"/>
        <v>9</v>
      </c>
      <c r="D6542" s="195">
        <v>65.099999999999994</v>
      </c>
      <c r="E6542" s="705">
        <f t="shared" si="206"/>
        <v>18.388888888888886</v>
      </c>
    </row>
    <row r="6543" spans="2:5">
      <c r="B6543" s="943">
        <v>45191</v>
      </c>
      <c r="C6543" s="195">
        <f t="shared" si="205"/>
        <v>9</v>
      </c>
      <c r="D6543" s="195">
        <v>64.8</v>
      </c>
      <c r="E6543" s="705">
        <f t="shared" si="206"/>
        <v>18.222222222222221</v>
      </c>
    </row>
    <row r="6544" spans="2:5">
      <c r="B6544" s="943">
        <v>45191</v>
      </c>
      <c r="C6544" s="195">
        <f t="shared" si="205"/>
        <v>9</v>
      </c>
      <c r="D6544" s="195">
        <v>62.6</v>
      </c>
      <c r="E6544" s="705">
        <f t="shared" si="206"/>
        <v>17</v>
      </c>
    </row>
    <row r="6545" spans="2:5">
      <c r="B6545" s="943">
        <v>45191</v>
      </c>
      <c r="C6545" s="195">
        <f t="shared" si="205"/>
        <v>9</v>
      </c>
      <c r="D6545" s="195">
        <v>61.9</v>
      </c>
      <c r="E6545" s="705">
        <f t="shared" si="206"/>
        <v>16.611111111111111</v>
      </c>
    </row>
    <row r="6546" spans="2:5">
      <c r="B6546" s="943">
        <v>45191</v>
      </c>
      <c r="C6546" s="195">
        <f t="shared" si="205"/>
        <v>9</v>
      </c>
      <c r="D6546" s="195" t="s">
        <v>1442</v>
      </c>
      <c r="E6546" s="705">
        <f t="shared" si="206"/>
        <v>16.111111111111111</v>
      </c>
    </row>
    <row r="6547" spans="2:5">
      <c r="B6547" s="943">
        <v>45191</v>
      </c>
      <c r="C6547" s="195">
        <f t="shared" si="205"/>
        <v>9</v>
      </c>
      <c r="D6547" s="195">
        <v>60.6</v>
      </c>
      <c r="E6547" s="705">
        <f t="shared" si="206"/>
        <v>15.888888888888889</v>
      </c>
    </row>
    <row r="6548" spans="2:5">
      <c r="B6548" s="943">
        <v>45191</v>
      </c>
      <c r="C6548" s="195">
        <f t="shared" si="205"/>
        <v>9</v>
      </c>
      <c r="D6548" s="195">
        <v>61.3</v>
      </c>
      <c r="E6548" s="705">
        <f t="shared" si="206"/>
        <v>16.277777777777775</v>
      </c>
    </row>
    <row r="6549" spans="2:5">
      <c r="B6549" s="943">
        <v>45191</v>
      </c>
      <c r="C6549" s="195">
        <f t="shared" si="205"/>
        <v>9</v>
      </c>
      <c r="D6549" s="195">
        <v>61.2</v>
      </c>
      <c r="E6549" s="705">
        <f t="shared" si="206"/>
        <v>16.222222222222225</v>
      </c>
    </row>
    <row r="6550" spans="2:5">
      <c r="B6550" s="943">
        <v>45191</v>
      </c>
      <c r="C6550" s="195">
        <f t="shared" si="205"/>
        <v>9</v>
      </c>
      <c r="D6550" s="195">
        <v>61.9</v>
      </c>
      <c r="E6550" s="705">
        <f t="shared" si="206"/>
        <v>16.611111111111111</v>
      </c>
    </row>
    <row r="6551" spans="2:5">
      <c r="B6551" s="943">
        <v>45191</v>
      </c>
      <c r="C6551" s="195">
        <f t="shared" si="205"/>
        <v>9</v>
      </c>
      <c r="D6551" s="195" t="s">
        <v>1443</v>
      </c>
      <c r="E6551" s="705">
        <f t="shared" si="206"/>
        <v>17.222222222222221</v>
      </c>
    </row>
    <row r="6552" spans="2:5">
      <c r="B6552" s="943">
        <v>45191</v>
      </c>
      <c r="C6552" s="195">
        <f t="shared" si="205"/>
        <v>9</v>
      </c>
      <c r="D6552" s="195" t="s">
        <v>1444</v>
      </c>
      <c r="E6552" s="705">
        <f t="shared" si="206"/>
        <v>17.777777777777779</v>
      </c>
    </row>
    <row r="6553" spans="2:5">
      <c r="B6553" s="943">
        <v>45191</v>
      </c>
      <c r="C6553" s="195">
        <f t="shared" si="205"/>
        <v>9</v>
      </c>
      <c r="D6553" s="195">
        <v>64.599999999999994</v>
      </c>
      <c r="E6553" s="705">
        <f t="shared" si="206"/>
        <v>18.111111111111107</v>
      </c>
    </row>
    <row r="6554" spans="2:5">
      <c r="B6554" s="943">
        <v>45191</v>
      </c>
      <c r="C6554" s="195">
        <f t="shared" si="205"/>
        <v>9</v>
      </c>
      <c r="D6554" s="195">
        <v>64.8</v>
      </c>
      <c r="E6554" s="705">
        <f t="shared" si="206"/>
        <v>18.222222222222221</v>
      </c>
    </row>
    <row r="6555" spans="2:5">
      <c r="B6555" s="943">
        <v>45191</v>
      </c>
      <c r="C6555" s="195">
        <f t="shared" si="205"/>
        <v>9</v>
      </c>
      <c r="D6555" s="195">
        <v>64.2</v>
      </c>
      <c r="E6555" s="705">
        <f t="shared" si="206"/>
        <v>17.888888888888889</v>
      </c>
    </row>
    <row r="6556" spans="2:5">
      <c r="B6556" s="943">
        <v>45191</v>
      </c>
      <c r="C6556" s="195">
        <f t="shared" si="205"/>
        <v>9</v>
      </c>
      <c r="D6556" s="195">
        <v>62.2</v>
      </c>
      <c r="E6556" s="705">
        <f t="shared" si="206"/>
        <v>16.777777777777779</v>
      </c>
    </row>
    <row r="6557" spans="2:5">
      <c r="B6557" s="943">
        <v>45191</v>
      </c>
      <c r="C6557" s="195">
        <f t="shared" si="205"/>
        <v>9</v>
      </c>
      <c r="D6557" s="195">
        <v>62.2</v>
      </c>
      <c r="E6557" s="705">
        <f t="shared" si="206"/>
        <v>16.777777777777779</v>
      </c>
    </row>
    <row r="6558" spans="2:5">
      <c r="B6558" s="943">
        <v>45191</v>
      </c>
      <c r="C6558" s="195">
        <f t="shared" si="205"/>
        <v>9</v>
      </c>
      <c r="D6558" s="195">
        <v>62.1</v>
      </c>
      <c r="E6558" s="705">
        <f t="shared" si="206"/>
        <v>16.722222222222221</v>
      </c>
    </row>
    <row r="6559" spans="2:5">
      <c r="B6559" s="943">
        <v>45191</v>
      </c>
      <c r="C6559" s="195">
        <f t="shared" si="205"/>
        <v>9</v>
      </c>
      <c r="D6559" s="195">
        <v>61.3</v>
      </c>
      <c r="E6559" s="705">
        <f t="shared" si="206"/>
        <v>16.277777777777775</v>
      </c>
    </row>
    <row r="6560" spans="2:5">
      <c r="B6560" s="943">
        <v>45191</v>
      </c>
      <c r="C6560" s="195">
        <f t="shared" si="205"/>
        <v>9</v>
      </c>
      <c r="D6560" s="195">
        <v>61.5</v>
      </c>
      <c r="E6560" s="705">
        <f t="shared" si="206"/>
        <v>16.388888888888889</v>
      </c>
    </row>
    <row r="6561" spans="2:5">
      <c r="B6561" s="943">
        <v>45192</v>
      </c>
      <c r="C6561" s="195">
        <f t="shared" si="205"/>
        <v>9</v>
      </c>
      <c r="D6561" s="195">
        <v>61.7</v>
      </c>
      <c r="E6561" s="705">
        <f t="shared" si="206"/>
        <v>16.5</v>
      </c>
    </row>
    <row r="6562" spans="2:5">
      <c r="B6562" s="943">
        <v>45192</v>
      </c>
      <c r="C6562" s="195">
        <f t="shared" si="205"/>
        <v>9</v>
      </c>
      <c r="D6562" s="195">
        <v>62.1</v>
      </c>
      <c r="E6562" s="705">
        <f t="shared" si="206"/>
        <v>16.722222222222221</v>
      </c>
    </row>
    <row r="6563" spans="2:5">
      <c r="B6563" s="943">
        <v>45192</v>
      </c>
      <c r="C6563" s="195">
        <f t="shared" si="205"/>
        <v>9</v>
      </c>
      <c r="D6563" s="195">
        <v>62.8</v>
      </c>
      <c r="E6563" s="705">
        <f t="shared" si="206"/>
        <v>17.111111111111111</v>
      </c>
    </row>
    <row r="6564" spans="2:5">
      <c r="B6564" s="943">
        <v>45192</v>
      </c>
      <c r="C6564" s="195">
        <f t="shared" si="205"/>
        <v>9</v>
      </c>
      <c r="D6564" s="195">
        <v>63.7</v>
      </c>
      <c r="E6564" s="705">
        <f t="shared" si="206"/>
        <v>17.611111111111111</v>
      </c>
    </row>
    <row r="6565" spans="2:5">
      <c r="B6565" s="943">
        <v>45192</v>
      </c>
      <c r="C6565" s="195">
        <f t="shared" si="205"/>
        <v>9</v>
      </c>
      <c r="D6565" s="195">
        <v>64.2</v>
      </c>
      <c r="E6565" s="705">
        <f t="shared" si="206"/>
        <v>17.888888888888889</v>
      </c>
    </row>
    <row r="6566" spans="2:5">
      <c r="B6566" s="943">
        <v>45192</v>
      </c>
      <c r="C6566" s="195">
        <f t="shared" si="205"/>
        <v>9</v>
      </c>
      <c r="D6566" s="195">
        <v>64.599999999999994</v>
      </c>
      <c r="E6566" s="705">
        <f t="shared" si="206"/>
        <v>18.111111111111107</v>
      </c>
    </row>
    <row r="6567" spans="2:5">
      <c r="B6567" s="943">
        <v>45192</v>
      </c>
      <c r="C6567" s="195">
        <f t="shared" si="205"/>
        <v>9</v>
      </c>
      <c r="D6567" s="195">
        <v>64.599999999999994</v>
      </c>
      <c r="E6567" s="705">
        <f t="shared" si="206"/>
        <v>18.111111111111107</v>
      </c>
    </row>
    <row r="6568" spans="2:5">
      <c r="B6568" s="943">
        <v>45192</v>
      </c>
      <c r="C6568" s="195">
        <f t="shared" si="205"/>
        <v>9</v>
      </c>
      <c r="D6568" s="195">
        <v>64.400000000000006</v>
      </c>
      <c r="E6568" s="705">
        <f t="shared" si="206"/>
        <v>18.000000000000004</v>
      </c>
    </row>
    <row r="6569" spans="2:5">
      <c r="B6569" s="943">
        <v>45192</v>
      </c>
      <c r="C6569" s="195">
        <f t="shared" si="205"/>
        <v>9</v>
      </c>
      <c r="D6569" s="195">
        <v>62.6</v>
      </c>
      <c r="E6569" s="705">
        <f t="shared" si="206"/>
        <v>17</v>
      </c>
    </row>
    <row r="6570" spans="2:5">
      <c r="B6570" s="943">
        <v>45192</v>
      </c>
      <c r="C6570" s="195">
        <f t="shared" si="205"/>
        <v>9</v>
      </c>
      <c r="D6570" s="195">
        <v>62.2</v>
      </c>
      <c r="E6570" s="705">
        <f t="shared" si="206"/>
        <v>16.777777777777779</v>
      </c>
    </row>
    <row r="6571" spans="2:5">
      <c r="B6571" s="943">
        <v>45192</v>
      </c>
      <c r="C6571" s="195">
        <f t="shared" si="205"/>
        <v>9</v>
      </c>
      <c r="D6571" s="195">
        <v>61.5</v>
      </c>
      <c r="E6571" s="705">
        <f t="shared" si="206"/>
        <v>16.388888888888889</v>
      </c>
    </row>
    <row r="6572" spans="2:5">
      <c r="B6572" s="943">
        <v>45192</v>
      </c>
      <c r="C6572" s="195">
        <f t="shared" si="205"/>
        <v>9</v>
      </c>
      <c r="D6572" s="195">
        <v>60.8</v>
      </c>
      <c r="E6572" s="705">
        <f t="shared" si="206"/>
        <v>15.999999999999998</v>
      </c>
    </row>
    <row r="6573" spans="2:5">
      <c r="B6573" s="943">
        <v>45192</v>
      </c>
      <c r="C6573" s="195">
        <f t="shared" si="205"/>
        <v>9</v>
      </c>
      <c r="D6573" s="195">
        <v>61.5</v>
      </c>
      <c r="E6573" s="705">
        <f t="shared" si="206"/>
        <v>16.388888888888889</v>
      </c>
    </row>
    <row r="6574" spans="2:5">
      <c r="B6574" s="943">
        <v>45192</v>
      </c>
      <c r="C6574" s="195">
        <f t="shared" si="205"/>
        <v>9</v>
      </c>
      <c r="D6574" s="195">
        <v>61.3</v>
      </c>
      <c r="E6574" s="705">
        <f t="shared" si="206"/>
        <v>16.277777777777775</v>
      </c>
    </row>
    <row r="6575" spans="2:5">
      <c r="B6575" s="943">
        <v>45192</v>
      </c>
      <c r="C6575" s="195">
        <f t="shared" si="205"/>
        <v>9</v>
      </c>
      <c r="D6575" s="195">
        <v>62.1</v>
      </c>
      <c r="E6575" s="705">
        <f t="shared" si="206"/>
        <v>16.722222222222221</v>
      </c>
    </row>
    <row r="6576" spans="2:5">
      <c r="B6576" s="943">
        <v>45192</v>
      </c>
      <c r="C6576" s="195">
        <f t="shared" si="205"/>
        <v>9</v>
      </c>
      <c r="D6576" s="195" t="s">
        <v>1443</v>
      </c>
      <c r="E6576" s="705">
        <f t="shared" si="206"/>
        <v>17.222222222222221</v>
      </c>
    </row>
    <row r="6577" spans="2:5">
      <c r="B6577" s="943">
        <v>45192</v>
      </c>
      <c r="C6577" s="195">
        <f t="shared" si="205"/>
        <v>9</v>
      </c>
      <c r="D6577" s="195">
        <v>63.7</v>
      </c>
      <c r="E6577" s="705">
        <f t="shared" si="206"/>
        <v>17.611111111111111</v>
      </c>
    </row>
    <row r="6578" spans="2:5">
      <c r="B6578" s="943">
        <v>45192</v>
      </c>
      <c r="C6578" s="195">
        <f t="shared" si="205"/>
        <v>9</v>
      </c>
      <c r="D6578" s="195" t="s">
        <v>1444</v>
      </c>
      <c r="E6578" s="705">
        <f t="shared" si="206"/>
        <v>17.777777777777779</v>
      </c>
    </row>
    <row r="6579" spans="2:5">
      <c r="B6579" s="943">
        <v>45192</v>
      </c>
      <c r="C6579" s="195">
        <f t="shared" si="205"/>
        <v>9</v>
      </c>
      <c r="D6579" s="195" t="s">
        <v>1444</v>
      </c>
      <c r="E6579" s="705">
        <f t="shared" si="206"/>
        <v>17.777777777777779</v>
      </c>
    </row>
    <row r="6580" spans="2:5">
      <c r="B6580" s="943">
        <v>45192</v>
      </c>
      <c r="C6580" s="195">
        <f t="shared" si="205"/>
        <v>9</v>
      </c>
      <c r="D6580" s="195">
        <v>63.5</v>
      </c>
      <c r="E6580" s="705">
        <f t="shared" si="206"/>
        <v>17.5</v>
      </c>
    </row>
    <row r="6581" spans="2:5">
      <c r="B6581" s="943">
        <v>45192</v>
      </c>
      <c r="C6581" s="195">
        <f t="shared" si="205"/>
        <v>9</v>
      </c>
      <c r="D6581" s="195">
        <v>61.7</v>
      </c>
      <c r="E6581" s="705">
        <f t="shared" si="206"/>
        <v>16.5</v>
      </c>
    </row>
    <row r="6582" spans="2:5">
      <c r="B6582" s="943">
        <v>45192</v>
      </c>
      <c r="C6582" s="195">
        <f t="shared" si="205"/>
        <v>9</v>
      </c>
      <c r="D6582" s="195">
        <v>61.7</v>
      </c>
      <c r="E6582" s="705">
        <f t="shared" si="206"/>
        <v>16.5</v>
      </c>
    </row>
    <row r="6583" spans="2:5">
      <c r="B6583" s="943">
        <v>45192</v>
      </c>
      <c r="C6583" s="195">
        <f t="shared" si="205"/>
        <v>9</v>
      </c>
      <c r="D6583" s="195">
        <v>61.2</v>
      </c>
      <c r="E6583" s="705">
        <f t="shared" si="206"/>
        <v>16.222222222222225</v>
      </c>
    </row>
    <row r="6584" spans="2:5">
      <c r="B6584" s="943">
        <v>45192</v>
      </c>
      <c r="C6584" s="195">
        <f t="shared" si="205"/>
        <v>9</v>
      </c>
      <c r="D6584" s="195">
        <v>60.4</v>
      </c>
      <c r="E6584" s="705">
        <f t="shared" si="206"/>
        <v>15.777777777777777</v>
      </c>
    </row>
    <row r="6585" spans="2:5">
      <c r="B6585" s="943">
        <v>45193</v>
      </c>
      <c r="C6585" s="195">
        <f t="shared" si="205"/>
        <v>9</v>
      </c>
      <c r="D6585" s="195">
        <v>60.4</v>
      </c>
      <c r="E6585" s="705">
        <f t="shared" si="206"/>
        <v>15.777777777777777</v>
      </c>
    </row>
    <row r="6586" spans="2:5">
      <c r="B6586" s="943">
        <v>45193</v>
      </c>
      <c r="C6586" s="195">
        <f t="shared" si="205"/>
        <v>9</v>
      </c>
      <c r="D6586" s="195">
        <v>60.6</v>
      </c>
      <c r="E6586" s="705">
        <f t="shared" si="206"/>
        <v>15.888888888888889</v>
      </c>
    </row>
    <row r="6587" spans="2:5">
      <c r="B6587" s="943">
        <v>45193</v>
      </c>
      <c r="C6587" s="195">
        <f t="shared" si="205"/>
        <v>9</v>
      </c>
      <c r="D6587" s="195">
        <v>61.2</v>
      </c>
      <c r="E6587" s="705">
        <f t="shared" si="206"/>
        <v>16.222222222222225</v>
      </c>
    </row>
    <row r="6588" spans="2:5">
      <c r="B6588" s="943">
        <v>45193</v>
      </c>
      <c r="C6588" s="195">
        <f t="shared" si="205"/>
        <v>9</v>
      </c>
      <c r="D6588" s="195">
        <v>61.9</v>
      </c>
      <c r="E6588" s="705">
        <f t="shared" si="206"/>
        <v>16.611111111111111</v>
      </c>
    </row>
    <row r="6589" spans="2:5">
      <c r="B6589" s="943">
        <v>45193</v>
      </c>
      <c r="C6589" s="195">
        <f t="shared" si="205"/>
        <v>9</v>
      </c>
      <c r="D6589" s="195">
        <v>62.8</v>
      </c>
      <c r="E6589" s="705">
        <f t="shared" si="206"/>
        <v>17.111111111111111</v>
      </c>
    </row>
    <row r="6590" spans="2:5">
      <c r="B6590" s="943">
        <v>45193</v>
      </c>
      <c r="C6590" s="195">
        <f t="shared" si="205"/>
        <v>9</v>
      </c>
      <c r="D6590" s="195">
        <v>63.3</v>
      </c>
      <c r="E6590" s="705">
        <f t="shared" si="206"/>
        <v>17.388888888888886</v>
      </c>
    </row>
    <row r="6591" spans="2:5">
      <c r="B6591" s="943">
        <v>45193</v>
      </c>
      <c r="C6591" s="195">
        <f t="shared" si="205"/>
        <v>9</v>
      </c>
      <c r="D6591" s="195">
        <v>63.7</v>
      </c>
      <c r="E6591" s="705">
        <f t="shared" si="206"/>
        <v>17.611111111111111</v>
      </c>
    </row>
    <row r="6592" spans="2:5">
      <c r="B6592" s="943">
        <v>45193</v>
      </c>
      <c r="C6592" s="195">
        <f t="shared" si="205"/>
        <v>9</v>
      </c>
      <c r="D6592" s="195">
        <v>63.7</v>
      </c>
      <c r="E6592" s="705">
        <f t="shared" si="206"/>
        <v>17.611111111111111</v>
      </c>
    </row>
    <row r="6593" spans="2:5">
      <c r="B6593" s="943">
        <v>45193</v>
      </c>
      <c r="C6593" s="195">
        <f t="shared" si="205"/>
        <v>9</v>
      </c>
      <c r="D6593" s="195">
        <v>63.5</v>
      </c>
      <c r="E6593" s="705">
        <f t="shared" si="206"/>
        <v>17.5</v>
      </c>
    </row>
    <row r="6594" spans="2:5">
      <c r="B6594" s="943">
        <v>45193</v>
      </c>
      <c r="C6594" s="195">
        <f t="shared" si="205"/>
        <v>9</v>
      </c>
      <c r="D6594" s="195">
        <v>62.4</v>
      </c>
      <c r="E6594" s="705">
        <f t="shared" si="206"/>
        <v>16.888888888888889</v>
      </c>
    </row>
    <row r="6595" spans="2:5">
      <c r="B6595" s="943">
        <v>45193</v>
      </c>
      <c r="C6595" s="195">
        <f t="shared" si="205"/>
        <v>9</v>
      </c>
      <c r="D6595" s="195">
        <v>62.1</v>
      </c>
      <c r="E6595" s="705">
        <f t="shared" si="206"/>
        <v>16.722222222222221</v>
      </c>
    </row>
    <row r="6596" spans="2:5">
      <c r="B6596" s="943">
        <v>45193</v>
      </c>
      <c r="C6596" s="195">
        <f t="shared" si="205"/>
        <v>9</v>
      </c>
      <c r="D6596" s="195">
        <v>61.9</v>
      </c>
      <c r="E6596" s="705">
        <f t="shared" si="206"/>
        <v>16.611111111111111</v>
      </c>
    </row>
    <row r="6597" spans="2:5">
      <c r="B6597" s="943">
        <v>45193</v>
      </c>
      <c r="C6597" s="195">
        <f t="shared" si="205"/>
        <v>9</v>
      </c>
      <c r="D6597" s="195">
        <v>61.7</v>
      </c>
      <c r="E6597" s="705">
        <f t="shared" si="206"/>
        <v>16.5</v>
      </c>
    </row>
    <row r="6598" spans="2:5">
      <c r="B6598" s="943">
        <v>45193</v>
      </c>
      <c r="C6598" s="195">
        <f t="shared" si="205"/>
        <v>9</v>
      </c>
      <c r="D6598" s="195">
        <v>61.5</v>
      </c>
      <c r="E6598" s="705">
        <f t="shared" si="206"/>
        <v>16.388888888888889</v>
      </c>
    </row>
    <row r="6599" spans="2:5">
      <c r="B6599" s="943">
        <v>45193</v>
      </c>
      <c r="C6599" s="195">
        <f t="shared" si="205"/>
        <v>9</v>
      </c>
      <c r="D6599" s="195">
        <v>61.7</v>
      </c>
      <c r="E6599" s="705">
        <f t="shared" si="206"/>
        <v>16.5</v>
      </c>
    </row>
    <row r="6600" spans="2:5">
      <c r="B6600" s="943">
        <v>45193</v>
      </c>
      <c r="C6600" s="195">
        <f t="shared" si="205"/>
        <v>9</v>
      </c>
      <c r="D6600" s="195">
        <v>61.9</v>
      </c>
      <c r="E6600" s="705">
        <f t="shared" si="206"/>
        <v>16.611111111111111</v>
      </c>
    </row>
    <row r="6601" spans="2:5">
      <c r="B6601" s="943">
        <v>45193</v>
      </c>
      <c r="C6601" s="195">
        <f t="shared" si="205"/>
        <v>9</v>
      </c>
      <c r="D6601" s="195">
        <v>62.2</v>
      </c>
      <c r="E6601" s="705">
        <f t="shared" si="206"/>
        <v>16.777777777777779</v>
      </c>
    </row>
    <row r="6602" spans="2:5">
      <c r="B6602" s="943">
        <v>45193</v>
      </c>
      <c r="C6602" s="195">
        <f t="shared" ref="C6602:C6665" si="207">MONTH(B6602)</f>
        <v>9</v>
      </c>
      <c r="D6602" s="195" t="s">
        <v>1443</v>
      </c>
      <c r="E6602" s="705">
        <f t="shared" ref="E6602:E6665" si="208">CONVERT(D6602,"F","C")</f>
        <v>17.222222222222221</v>
      </c>
    </row>
    <row r="6603" spans="2:5">
      <c r="B6603" s="943">
        <v>45193</v>
      </c>
      <c r="C6603" s="195">
        <f t="shared" si="207"/>
        <v>9</v>
      </c>
      <c r="D6603" s="195">
        <v>63.3</v>
      </c>
      <c r="E6603" s="705">
        <f t="shared" si="208"/>
        <v>17.388888888888886</v>
      </c>
    </row>
    <row r="6604" spans="2:5">
      <c r="B6604" s="943">
        <v>45193</v>
      </c>
      <c r="C6604" s="195">
        <f t="shared" si="207"/>
        <v>9</v>
      </c>
      <c r="D6604" s="195">
        <v>63.5</v>
      </c>
      <c r="E6604" s="705">
        <f t="shared" si="208"/>
        <v>17.5</v>
      </c>
    </row>
    <row r="6605" spans="2:5">
      <c r="B6605" s="943">
        <v>45193</v>
      </c>
      <c r="C6605" s="195">
        <f t="shared" si="207"/>
        <v>9</v>
      </c>
      <c r="D6605" s="195" t="s">
        <v>1443</v>
      </c>
      <c r="E6605" s="705">
        <f t="shared" si="208"/>
        <v>17.222222222222221</v>
      </c>
    </row>
    <row r="6606" spans="2:5">
      <c r="B6606" s="943">
        <v>45193</v>
      </c>
      <c r="C6606" s="195">
        <f t="shared" si="207"/>
        <v>9</v>
      </c>
      <c r="D6606" s="195">
        <v>62.4</v>
      </c>
      <c r="E6606" s="705">
        <f t="shared" si="208"/>
        <v>16.888888888888889</v>
      </c>
    </row>
    <row r="6607" spans="2:5">
      <c r="B6607" s="943">
        <v>45193</v>
      </c>
      <c r="C6607" s="195">
        <f t="shared" si="207"/>
        <v>9</v>
      </c>
      <c r="D6607" s="195">
        <v>62.2</v>
      </c>
      <c r="E6607" s="705">
        <f t="shared" si="208"/>
        <v>16.777777777777779</v>
      </c>
    </row>
    <row r="6608" spans="2:5">
      <c r="B6608" s="943">
        <v>45193</v>
      </c>
      <c r="C6608" s="195">
        <f t="shared" si="207"/>
        <v>9</v>
      </c>
      <c r="D6608" s="195">
        <v>62.2</v>
      </c>
      <c r="E6608" s="705">
        <f t="shared" si="208"/>
        <v>16.777777777777779</v>
      </c>
    </row>
    <row r="6609" spans="2:5">
      <c r="B6609" s="943">
        <v>45194</v>
      </c>
      <c r="C6609" s="195">
        <f t="shared" si="207"/>
        <v>9</v>
      </c>
      <c r="D6609" s="195">
        <v>62.2</v>
      </c>
      <c r="E6609" s="705">
        <f t="shared" si="208"/>
        <v>16.777777777777779</v>
      </c>
    </row>
    <row r="6610" spans="2:5">
      <c r="B6610" s="943">
        <v>45194</v>
      </c>
      <c r="C6610" s="195">
        <f t="shared" si="207"/>
        <v>9</v>
      </c>
      <c r="D6610" s="195">
        <v>62.2</v>
      </c>
      <c r="E6610" s="705">
        <f t="shared" si="208"/>
        <v>16.777777777777779</v>
      </c>
    </row>
    <row r="6611" spans="2:5">
      <c r="B6611" s="943">
        <v>45194</v>
      </c>
      <c r="C6611" s="195">
        <f t="shared" si="207"/>
        <v>9</v>
      </c>
      <c r="D6611" s="195">
        <v>62.4</v>
      </c>
      <c r="E6611" s="705">
        <f t="shared" si="208"/>
        <v>16.888888888888889</v>
      </c>
    </row>
    <row r="6612" spans="2:5">
      <c r="B6612" s="943">
        <v>45194</v>
      </c>
      <c r="C6612" s="195">
        <f t="shared" si="207"/>
        <v>9</v>
      </c>
      <c r="D6612" s="195">
        <v>62.2</v>
      </c>
      <c r="E6612" s="705">
        <f t="shared" si="208"/>
        <v>16.777777777777779</v>
      </c>
    </row>
    <row r="6613" spans="2:5">
      <c r="B6613" s="943">
        <v>45194</v>
      </c>
      <c r="C6613" s="195">
        <f t="shared" si="207"/>
        <v>9</v>
      </c>
      <c r="D6613" s="195">
        <v>62.4</v>
      </c>
      <c r="E6613" s="705">
        <f t="shared" si="208"/>
        <v>16.888888888888889</v>
      </c>
    </row>
    <row r="6614" spans="2:5">
      <c r="B6614" s="943">
        <v>45194</v>
      </c>
      <c r="C6614" s="195">
        <f t="shared" si="207"/>
        <v>9</v>
      </c>
      <c r="D6614" s="195">
        <v>62.8</v>
      </c>
      <c r="E6614" s="705">
        <f t="shared" si="208"/>
        <v>17.111111111111111</v>
      </c>
    </row>
    <row r="6615" spans="2:5">
      <c r="B6615" s="943">
        <v>45194</v>
      </c>
      <c r="C6615" s="195">
        <f t="shared" si="207"/>
        <v>9</v>
      </c>
      <c r="D6615" s="195" t="s">
        <v>1443</v>
      </c>
      <c r="E6615" s="705">
        <f t="shared" si="208"/>
        <v>17.222222222222221</v>
      </c>
    </row>
    <row r="6616" spans="2:5">
      <c r="B6616" s="943">
        <v>45194</v>
      </c>
      <c r="C6616" s="195">
        <f t="shared" si="207"/>
        <v>9</v>
      </c>
      <c r="D6616" s="195">
        <v>63.3</v>
      </c>
      <c r="E6616" s="705">
        <f t="shared" si="208"/>
        <v>17.388888888888886</v>
      </c>
    </row>
    <row r="6617" spans="2:5">
      <c r="B6617" s="943">
        <v>45194</v>
      </c>
      <c r="C6617" s="195">
        <f t="shared" si="207"/>
        <v>9</v>
      </c>
      <c r="D6617" s="195">
        <v>63.3</v>
      </c>
      <c r="E6617" s="705">
        <f t="shared" si="208"/>
        <v>17.388888888888886</v>
      </c>
    </row>
    <row r="6618" spans="2:5">
      <c r="B6618" s="943">
        <v>45194</v>
      </c>
      <c r="C6618" s="195">
        <f t="shared" si="207"/>
        <v>9</v>
      </c>
      <c r="D6618" s="195">
        <v>63.1</v>
      </c>
      <c r="E6618" s="705">
        <f t="shared" si="208"/>
        <v>17.277777777777779</v>
      </c>
    </row>
    <row r="6619" spans="2:5">
      <c r="B6619" s="943">
        <v>45194</v>
      </c>
      <c r="C6619" s="195">
        <f t="shared" si="207"/>
        <v>9</v>
      </c>
      <c r="D6619" s="195">
        <v>62.8</v>
      </c>
      <c r="E6619" s="705">
        <f t="shared" si="208"/>
        <v>17.111111111111111</v>
      </c>
    </row>
    <row r="6620" spans="2:5">
      <c r="B6620" s="943">
        <v>45194</v>
      </c>
      <c r="C6620" s="195">
        <f t="shared" si="207"/>
        <v>9</v>
      </c>
      <c r="D6620" s="195">
        <v>62.6</v>
      </c>
      <c r="E6620" s="705">
        <f t="shared" si="208"/>
        <v>17</v>
      </c>
    </row>
    <row r="6621" spans="2:5">
      <c r="B6621" s="943">
        <v>45194</v>
      </c>
      <c r="C6621" s="195">
        <f t="shared" si="207"/>
        <v>9</v>
      </c>
      <c r="D6621" s="195">
        <v>62.6</v>
      </c>
      <c r="E6621" s="705">
        <f t="shared" si="208"/>
        <v>17</v>
      </c>
    </row>
    <row r="6622" spans="2:5">
      <c r="B6622" s="943">
        <v>45194</v>
      </c>
      <c r="C6622" s="195">
        <f t="shared" si="207"/>
        <v>9</v>
      </c>
      <c r="D6622" s="195">
        <v>62.6</v>
      </c>
      <c r="E6622" s="705">
        <f t="shared" si="208"/>
        <v>17</v>
      </c>
    </row>
    <row r="6623" spans="2:5">
      <c r="B6623" s="943">
        <v>45194</v>
      </c>
      <c r="C6623" s="195">
        <f t="shared" si="207"/>
        <v>9</v>
      </c>
      <c r="D6623" s="195">
        <v>62.4</v>
      </c>
      <c r="E6623" s="705">
        <f t="shared" si="208"/>
        <v>16.888888888888889</v>
      </c>
    </row>
    <row r="6624" spans="2:5">
      <c r="B6624" s="943">
        <v>45194</v>
      </c>
      <c r="C6624" s="195">
        <f t="shared" si="207"/>
        <v>9</v>
      </c>
      <c r="D6624" s="195">
        <v>62.6</v>
      </c>
      <c r="E6624" s="705">
        <f t="shared" si="208"/>
        <v>17</v>
      </c>
    </row>
    <row r="6625" spans="2:5">
      <c r="B6625" s="943">
        <v>45194</v>
      </c>
      <c r="C6625" s="195">
        <f t="shared" si="207"/>
        <v>9</v>
      </c>
      <c r="D6625" s="195">
        <v>62.6</v>
      </c>
      <c r="E6625" s="705">
        <f t="shared" si="208"/>
        <v>17</v>
      </c>
    </row>
    <row r="6626" spans="2:5">
      <c r="B6626" s="943">
        <v>45194</v>
      </c>
      <c r="C6626" s="195">
        <f t="shared" si="207"/>
        <v>9</v>
      </c>
      <c r="D6626" s="195">
        <v>62.8</v>
      </c>
      <c r="E6626" s="705">
        <f t="shared" si="208"/>
        <v>17.111111111111111</v>
      </c>
    </row>
    <row r="6627" spans="2:5">
      <c r="B6627" s="943">
        <v>45194</v>
      </c>
      <c r="C6627" s="195">
        <f t="shared" si="207"/>
        <v>9</v>
      </c>
      <c r="D6627" s="195" t="s">
        <v>1443</v>
      </c>
      <c r="E6627" s="705">
        <f t="shared" si="208"/>
        <v>17.222222222222221</v>
      </c>
    </row>
    <row r="6628" spans="2:5">
      <c r="B6628" s="943">
        <v>45194</v>
      </c>
      <c r="C6628" s="195">
        <f t="shared" si="207"/>
        <v>9</v>
      </c>
      <c r="D6628" s="195">
        <v>63.1</v>
      </c>
      <c r="E6628" s="705">
        <f t="shared" si="208"/>
        <v>17.277777777777779</v>
      </c>
    </row>
    <row r="6629" spans="2:5">
      <c r="B6629" s="943">
        <v>45194</v>
      </c>
      <c r="C6629" s="195">
        <f t="shared" si="207"/>
        <v>9</v>
      </c>
      <c r="D6629" s="195">
        <v>63.3</v>
      </c>
      <c r="E6629" s="705">
        <f t="shared" si="208"/>
        <v>17.388888888888886</v>
      </c>
    </row>
    <row r="6630" spans="2:5">
      <c r="B6630" s="943">
        <v>45194</v>
      </c>
      <c r="C6630" s="195">
        <f t="shared" si="207"/>
        <v>9</v>
      </c>
      <c r="D6630" s="195">
        <v>63.1</v>
      </c>
      <c r="E6630" s="705">
        <f t="shared" si="208"/>
        <v>17.277777777777779</v>
      </c>
    </row>
    <row r="6631" spans="2:5">
      <c r="B6631" s="943">
        <v>45194</v>
      </c>
      <c r="C6631" s="195">
        <f t="shared" si="207"/>
        <v>9</v>
      </c>
      <c r="D6631" s="195">
        <v>62.8</v>
      </c>
      <c r="E6631" s="705">
        <f t="shared" si="208"/>
        <v>17.111111111111111</v>
      </c>
    </row>
    <row r="6632" spans="2:5">
      <c r="B6632" s="943">
        <v>45194</v>
      </c>
      <c r="C6632" s="195">
        <f t="shared" si="207"/>
        <v>9</v>
      </c>
      <c r="D6632" s="195">
        <v>62.6</v>
      </c>
      <c r="E6632" s="705">
        <f t="shared" si="208"/>
        <v>17</v>
      </c>
    </row>
    <row r="6633" spans="2:5">
      <c r="B6633" s="943">
        <v>45195</v>
      </c>
      <c r="C6633" s="195">
        <f t="shared" si="207"/>
        <v>9</v>
      </c>
      <c r="D6633" s="195">
        <v>62.6</v>
      </c>
      <c r="E6633" s="705">
        <f t="shared" si="208"/>
        <v>17</v>
      </c>
    </row>
    <row r="6634" spans="2:5">
      <c r="B6634" s="943">
        <v>45195</v>
      </c>
      <c r="C6634" s="195">
        <f t="shared" si="207"/>
        <v>9</v>
      </c>
      <c r="D6634" s="195">
        <v>62.6</v>
      </c>
      <c r="E6634" s="705">
        <f t="shared" si="208"/>
        <v>17</v>
      </c>
    </row>
    <row r="6635" spans="2:5">
      <c r="B6635" s="943">
        <v>45195</v>
      </c>
      <c r="C6635" s="195">
        <f t="shared" si="207"/>
        <v>9</v>
      </c>
      <c r="D6635" s="195">
        <v>62.4</v>
      </c>
      <c r="E6635" s="705">
        <f t="shared" si="208"/>
        <v>16.888888888888889</v>
      </c>
    </row>
    <row r="6636" spans="2:5">
      <c r="B6636" s="943">
        <v>45195</v>
      </c>
      <c r="C6636" s="195">
        <f t="shared" si="207"/>
        <v>9</v>
      </c>
      <c r="D6636" s="195">
        <v>62.4</v>
      </c>
      <c r="E6636" s="705">
        <f t="shared" si="208"/>
        <v>16.888888888888889</v>
      </c>
    </row>
    <row r="6637" spans="2:5">
      <c r="B6637" s="943">
        <v>45195</v>
      </c>
      <c r="C6637" s="195">
        <f t="shared" si="207"/>
        <v>9</v>
      </c>
      <c r="D6637" s="195">
        <v>62.4</v>
      </c>
      <c r="E6637" s="705">
        <f t="shared" si="208"/>
        <v>16.888888888888889</v>
      </c>
    </row>
    <row r="6638" spans="2:5">
      <c r="B6638" s="943">
        <v>45195</v>
      </c>
      <c r="C6638" s="195">
        <f t="shared" si="207"/>
        <v>9</v>
      </c>
      <c r="D6638" s="195">
        <v>62.6</v>
      </c>
      <c r="E6638" s="705">
        <f t="shared" si="208"/>
        <v>17</v>
      </c>
    </row>
    <row r="6639" spans="2:5">
      <c r="B6639" s="943">
        <v>45195</v>
      </c>
      <c r="C6639" s="195">
        <f t="shared" si="207"/>
        <v>9</v>
      </c>
      <c r="D6639" s="195">
        <v>62.8</v>
      </c>
      <c r="E6639" s="705">
        <f t="shared" si="208"/>
        <v>17.111111111111111</v>
      </c>
    </row>
    <row r="6640" spans="2:5">
      <c r="B6640" s="943">
        <v>45195</v>
      </c>
      <c r="C6640" s="195">
        <f t="shared" si="207"/>
        <v>9</v>
      </c>
      <c r="D6640" s="195">
        <v>62.8</v>
      </c>
      <c r="E6640" s="705">
        <f t="shared" si="208"/>
        <v>17.111111111111111</v>
      </c>
    </row>
    <row r="6641" spans="2:5">
      <c r="B6641" s="943">
        <v>45195</v>
      </c>
      <c r="C6641" s="195">
        <f t="shared" si="207"/>
        <v>9</v>
      </c>
      <c r="D6641" s="195" t="s">
        <v>1443</v>
      </c>
      <c r="E6641" s="705">
        <f t="shared" si="208"/>
        <v>17.222222222222221</v>
      </c>
    </row>
    <row r="6642" spans="2:5">
      <c r="B6642" s="943">
        <v>45195</v>
      </c>
      <c r="C6642" s="195">
        <f t="shared" si="207"/>
        <v>9</v>
      </c>
      <c r="D6642" s="195" t="s">
        <v>1443</v>
      </c>
      <c r="E6642" s="705">
        <f t="shared" si="208"/>
        <v>17.222222222222221</v>
      </c>
    </row>
    <row r="6643" spans="2:5">
      <c r="B6643" s="943">
        <v>45195</v>
      </c>
      <c r="C6643" s="195">
        <f t="shared" si="207"/>
        <v>9</v>
      </c>
      <c r="D6643" s="195">
        <v>62.8</v>
      </c>
      <c r="E6643" s="705">
        <f t="shared" si="208"/>
        <v>17.111111111111111</v>
      </c>
    </row>
    <row r="6644" spans="2:5">
      <c r="B6644" s="943">
        <v>45195</v>
      </c>
      <c r="C6644" s="195">
        <f t="shared" si="207"/>
        <v>9</v>
      </c>
      <c r="D6644" s="195">
        <v>62.6</v>
      </c>
      <c r="E6644" s="705">
        <f t="shared" si="208"/>
        <v>17</v>
      </c>
    </row>
    <row r="6645" spans="2:5">
      <c r="B6645" s="943">
        <v>45195</v>
      </c>
      <c r="C6645" s="195">
        <f t="shared" si="207"/>
        <v>9</v>
      </c>
      <c r="D6645" s="195">
        <v>62.4</v>
      </c>
      <c r="E6645" s="705">
        <f t="shared" si="208"/>
        <v>16.888888888888889</v>
      </c>
    </row>
    <row r="6646" spans="2:5">
      <c r="B6646" s="943">
        <v>45195</v>
      </c>
      <c r="C6646" s="195">
        <f t="shared" si="207"/>
        <v>9</v>
      </c>
      <c r="D6646" s="195">
        <v>62.2</v>
      </c>
      <c r="E6646" s="705">
        <f t="shared" si="208"/>
        <v>16.777777777777779</v>
      </c>
    </row>
    <row r="6647" spans="2:5">
      <c r="B6647" s="943">
        <v>45195</v>
      </c>
      <c r="C6647" s="195">
        <f t="shared" si="207"/>
        <v>9</v>
      </c>
      <c r="D6647" s="195">
        <v>62.2</v>
      </c>
      <c r="E6647" s="705">
        <f t="shared" si="208"/>
        <v>16.777777777777779</v>
      </c>
    </row>
    <row r="6648" spans="2:5">
      <c r="B6648" s="943">
        <v>45195</v>
      </c>
      <c r="C6648" s="195">
        <f t="shared" si="207"/>
        <v>9</v>
      </c>
      <c r="D6648" s="195">
        <v>62.2</v>
      </c>
      <c r="E6648" s="705">
        <f t="shared" si="208"/>
        <v>16.777777777777779</v>
      </c>
    </row>
    <row r="6649" spans="2:5">
      <c r="B6649" s="943">
        <v>45195</v>
      </c>
      <c r="C6649" s="195">
        <f t="shared" si="207"/>
        <v>9</v>
      </c>
      <c r="D6649" s="195">
        <v>62.2</v>
      </c>
      <c r="E6649" s="705">
        <f t="shared" si="208"/>
        <v>16.777777777777779</v>
      </c>
    </row>
    <row r="6650" spans="2:5">
      <c r="B6650" s="943">
        <v>45195</v>
      </c>
      <c r="C6650" s="195">
        <f t="shared" si="207"/>
        <v>9</v>
      </c>
      <c r="D6650" s="195">
        <v>62.4</v>
      </c>
      <c r="E6650" s="705">
        <f t="shared" si="208"/>
        <v>16.888888888888889</v>
      </c>
    </row>
    <row r="6651" spans="2:5">
      <c r="B6651" s="943">
        <v>45195</v>
      </c>
      <c r="C6651" s="195">
        <f t="shared" si="207"/>
        <v>9</v>
      </c>
      <c r="D6651" s="195">
        <v>62.6</v>
      </c>
      <c r="E6651" s="705">
        <f t="shared" si="208"/>
        <v>17</v>
      </c>
    </row>
    <row r="6652" spans="2:5">
      <c r="B6652" s="943">
        <v>45195</v>
      </c>
      <c r="C6652" s="195">
        <f t="shared" si="207"/>
        <v>9</v>
      </c>
      <c r="D6652" s="195" t="s">
        <v>1443</v>
      </c>
      <c r="E6652" s="705">
        <f t="shared" si="208"/>
        <v>17.222222222222221</v>
      </c>
    </row>
    <row r="6653" spans="2:5">
      <c r="B6653" s="943">
        <v>45195</v>
      </c>
      <c r="C6653" s="195">
        <f t="shared" si="207"/>
        <v>9</v>
      </c>
      <c r="D6653" s="195">
        <v>63.1</v>
      </c>
      <c r="E6653" s="705">
        <f t="shared" si="208"/>
        <v>17.277777777777779</v>
      </c>
    </row>
    <row r="6654" spans="2:5">
      <c r="B6654" s="943">
        <v>45195</v>
      </c>
      <c r="C6654" s="195">
        <f t="shared" si="207"/>
        <v>9</v>
      </c>
      <c r="D6654" s="195">
        <v>63.1</v>
      </c>
      <c r="E6654" s="705">
        <f t="shared" si="208"/>
        <v>17.277777777777779</v>
      </c>
    </row>
    <row r="6655" spans="2:5">
      <c r="B6655" s="943">
        <v>45195</v>
      </c>
      <c r="C6655" s="195">
        <f t="shared" si="207"/>
        <v>9</v>
      </c>
      <c r="D6655" s="195">
        <v>63.1</v>
      </c>
      <c r="E6655" s="705">
        <f t="shared" si="208"/>
        <v>17.277777777777779</v>
      </c>
    </row>
    <row r="6656" spans="2:5">
      <c r="B6656" s="943">
        <v>45195</v>
      </c>
      <c r="C6656" s="195">
        <f t="shared" si="207"/>
        <v>9</v>
      </c>
      <c r="D6656" s="195">
        <v>62.8</v>
      </c>
      <c r="E6656" s="705">
        <f t="shared" si="208"/>
        <v>17.111111111111111</v>
      </c>
    </row>
    <row r="6657" spans="2:5">
      <c r="B6657" s="943">
        <v>45196</v>
      </c>
      <c r="C6657" s="195">
        <f t="shared" si="207"/>
        <v>9</v>
      </c>
      <c r="D6657" s="195">
        <v>62.8</v>
      </c>
      <c r="E6657" s="705">
        <f t="shared" si="208"/>
        <v>17.111111111111111</v>
      </c>
    </row>
    <row r="6658" spans="2:5">
      <c r="B6658" s="943">
        <v>45196</v>
      </c>
      <c r="C6658" s="195">
        <f t="shared" si="207"/>
        <v>9</v>
      </c>
      <c r="D6658" s="195">
        <v>62.4</v>
      </c>
      <c r="E6658" s="705">
        <f t="shared" si="208"/>
        <v>16.888888888888889</v>
      </c>
    </row>
    <row r="6659" spans="2:5">
      <c r="B6659" s="943">
        <v>45196</v>
      </c>
      <c r="C6659" s="195">
        <f t="shared" si="207"/>
        <v>9</v>
      </c>
      <c r="D6659" s="195">
        <v>62.4</v>
      </c>
      <c r="E6659" s="705">
        <f t="shared" si="208"/>
        <v>16.888888888888889</v>
      </c>
    </row>
    <row r="6660" spans="2:5">
      <c r="B6660" s="943">
        <v>45196</v>
      </c>
      <c r="C6660" s="195">
        <f t="shared" si="207"/>
        <v>9</v>
      </c>
      <c r="D6660" s="195">
        <v>62.2</v>
      </c>
      <c r="E6660" s="705">
        <f t="shared" si="208"/>
        <v>16.777777777777779</v>
      </c>
    </row>
    <row r="6661" spans="2:5">
      <c r="B6661" s="943">
        <v>45196</v>
      </c>
      <c r="C6661" s="195">
        <f t="shared" si="207"/>
        <v>9</v>
      </c>
      <c r="D6661" s="195">
        <v>62.2</v>
      </c>
      <c r="E6661" s="705">
        <f t="shared" si="208"/>
        <v>16.777777777777779</v>
      </c>
    </row>
    <row r="6662" spans="2:5">
      <c r="B6662" s="943">
        <v>45196</v>
      </c>
      <c r="C6662" s="195">
        <f t="shared" si="207"/>
        <v>9</v>
      </c>
      <c r="D6662" s="195">
        <v>62.2</v>
      </c>
      <c r="E6662" s="705">
        <f t="shared" si="208"/>
        <v>16.777777777777779</v>
      </c>
    </row>
    <row r="6663" spans="2:5">
      <c r="B6663" s="943">
        <v>45196</v>
      </c>
      <c r="C6663" s="195">
        <f t="shared" si="207"/>
        <v>9</v>
      </c>
      <c r="D6663" s="195">
        <v>62.4</v>
      </c>
      <c r="E6663" s="705">
        <f t="shared" si="208"/>
        <v>16.888888888888889</v>
      </c>
    </row>
    <row r="6664" spans="2:5">
      <c r="B6664" s="943">
        <v>45196</v>
      </c>
      <c r="C6664" s="195">
        <f t="shared" si="207"/>
        <v>9</v>
      </c>
      <c r="D6664" s="195">
        <v>62.6</v>
      </c>
      <c r="E6664" s="705">
        <f t="shared" si="208"/>
        <v>17</v>
      </c>
    </row>
    <row r="6665" spans="2:5">
      <c r="B6665" s="943">
        <v>45196</v>
      </c>
      <c r="C6665" s="195">
        <f t="shared" si="207"/>
        <v>9</v>
      </c>
      <c r="D6665" s="195">
        <v>62.6</v>
      </c>
      <c r="E6665" s="705">
        <f t="shared" si="208"/>
        <v>17</v>
      </c>
    </row>
    <row r="6666" spans="2:5">
      <c r="B6666" s="943">
        <v>45196</v>
      </c>
      <c r="C6666" s="195">
        <f t="shared" ref="C6666:C6729" si="209">MONTH(B6666)</f>
        <v>9</v>
      </c>
      <c r="D6666" s="195">
        <v>62.8</v>
      </c>
      <c r="E6666" s="705">
        <f t="shared" ref="E6666:E6729" si="210">CONVERT(D6666,"F","C")</f>
        <v>17.111111111111111</v>
      </c>
    </row>
    <row r="6667" spans="2:5">
      <c r="B6667" s="943">
        <v>45196</v>
      </c>
      <c r="C6667" s="195">
        <f t="shared" si="209"/>
        <v>9</v>
      </c>
      <c r="D6667" s="195">
        <v>62.8</v>
      </c>
      <c r="E6667" s="705">
        <f t="shared" si="210"/>
        <v>17.111111111111111</v>
      </c>
    </row>
    <row r="6668" spans="2:5">
      <c r="B6668" s="943">
        <v>45196</v>
      </c>
      <c r="C6668" s="195">
        <f t="shared" si="209"/>
        <v>9</v>
      </c>
      <c r="D6668" s="195">
        <v>62.8</v>
      </c>
      <c r="E6668" s="705">
        <f t="shared" si="210"/>
        <v>17.111111111111111</v>
      </c>
    </row>
    <row r="6669" spans="2:5">
      <c r="B6669" s="943">
        <v>45196</v>
      </c>
      <c r="C6669" s="195">
        <f t="shared" si="209"/>
        <v>9</v>
      </c>
      <c r="D6669" s="195">
        <v>62.4</v>
      </c>
      <c r="E6669" s="705">
        <f t="shared" si="210"/>
        <v>16.888888888888889</v>
      </c>
    </row>
    <row r="6670" spans="2:5">
      <c r="B6670" s="943">
        <v>45196</v>
      </c>
      <c r="C6670" s="195">
        <f t="shared" si="209"/>
        <v>9</v>
      </c>
      <c r="D6670" s="195">
        <v>62.2</v>
      </c>
      <c r="E6670" s="705">
        <f t="shared" si="210"/>
        <v>16.777777777777779</v>
      </c>
    </row>
    <row r="6671" spans="2:5">
      <c r="B6671" s="943">
        <v>45196</v>
      </c>
      <c r="C6671" s="195">
        <f t="shared" si="209"/>
        <v>9</v>
      </c>
      <c r="D6671" s="195">
        <v>61.9</v>
      </c>
      <c r="E6671" s="705">
        <f t="shared" si="210"/>
        <v>16.611111111111111</v>
      </c>
    </row>
    <row r="6672" spans="2:5">
      <c r="B6672" s="943">
        <v>45196</v>
      </c>
      <c r="C6672" s="195">
        <f t="shared" si="209"/>
        <v>9</v>
      </c>
      <c r="D6672" s="195">
        <v>61.7</v>
      </c>
      <c r="E6672" s="705">
        <f t="shared" si="210"/>
        <v>16.5</v>
      </c>
    </row>
    <row r="6673" spans="2:5">
      <c r="B6673" s="943">
        <v>45196</v>
      </c>
      <c r="C6673" s="195">
        <f t="shared" si="209"/>
        <v>9</v>
      </c>
      <c r="D6673" s="195">
        <v>61.7</v>
      </c>
      <c r="E6673" s="705">
        <f t="shared" si="210"/>
        <v>16.5</v>
      </c>
    </row>
    <row r="6674" spans="2:5">
      <c r="B6674" s="943">
        <v>45196</v>
      </c>
      <c r="C6674" s="195">
        <f t="shared" si="209"/>
        <v>9</v>
      </c>
      <c r="D6674" s="195">
        <v>61.7</v>
      </c>
      <c r="E6674" s="705">
        <f t="shared" si="210"/>
        <v>16.5</v>
      </c>
    </row>
    <row r="6675" spans="2:5">
      <c r="B6675" s="943">
        <v>45196</v>
      </c>
      <c r="C6675" s="195">
        <f t="shared" si="209"/>
        <v>9</v>
      </c>
      <c r="D6675" s="195">
        <v>62.1</v>
      </c>
      <c r="E6675" s="705">
        <f t="shared" si="210"/>
        <v>16.722222222222221</v>
      </c>
    </row>
    <row r="6676" spans="2:5">
      <c r="B6676" s="943">
        <v>45196</v>
      </c>
      <c r="C6676" s="195">
        <f t="shared" si="209"/>
        <v>9</v>
      </c>
      <c r="D6676" s="195">
        <v>62.4</v>
      </c>
      <c r="E6676" s="705">
        <f t="shared" si="210"/>
        <v>16.888888888888889</v>
      </c>
    </row>
    <row r="6677" spans="2:5">
      <c r="B6677" s="943">
        <v>45196</v>
      </c>
      <c r="C6677" s="195">
        <f t="shared" si="209"/>
        <v>9</v>
      </c>
      <c r="D6677" s="195">
        <v>62.8</v>
      </c>
      <c r="E6677" s="705">
        <f t="shared" si="210"/>
        <v>17.111111111111111</v>
      </c>
    </row>
    <row r="6678" spans="2:5">
      <c r="B6678" s="943">
        <v>45196</v>
      </c>
      <c r="C6678" s="195">
        <f t="shared" si="209"/>
        <v>9</v>
      </c>
      <c r="D6678" s="195" t="s">
        <v>1443</v>
      </c>
      <c r="E6678" s="705">
        <f t="shared" si="210"/>
        <v>17.222222222222221</v>
      </c>
    </row>
    <row r="6679" spans="2:5">
      <c r="B6679" s="943">
        <v>45196</v>
      </c>
      <c r="C6679" s="195">
        <f t="shared" si="209"/>
        <v>9</v>
      </c>
      <c r="D6679" s="195" t="s">
        <v>1443</v>
      </c>
      <c r="E6679" s="705">
        <f t="shared" si="210"/>
        <v>17.222222222222221</v>
      </c>
    </row>
    <row r="6680" spans="2:5">
      <c r="B6680" s="943">
        <v>45196</v>
      </c>
      <c r="C6680" s="195">
        <f t="shared" si="209"/>
        <v>9</v>
      </c>
      <c r="D6680" s="195" t="s">
        <v>1443</v>
      </c>
      <c r="E6680" s="705">
        <f t="shared" si="210"/>
        <v>17.222222222222221</v>
      </c>
    </row>
    <row r="6681" spans="2:5">
      <c r="B6681" s="943">
        <v>45197</v>
      </c>
      <c r="C6681" s="195">
        <f t="shared" si="209"/>
        <v>9</v>
      </c>
      <c r="D6681" s="195">
        <v>62.6</v>
      </c>
      <c r="E6681" s="705">
        <f t="shared" si="210"/>
        <v>17</v>
      </c>
    </row>
    <row r="6682" spans="2:5">
      <c r="B6682" s="943">
        <v>45197</v>
      </c>
      <c r="C6682" s="195">
        <f t="shared" si="209"/>
        <v>9</v>
      </c>
      <c r="D6682" s="195">
        <v>62.4</v>
      </c>
      <c r="E6682" s="705">
        <f t="shared" si="210"/>
        <v>16.888888888888889</v>
      </c>
    </row>
    <row r="6683" spans="2:5">
      <c r="B6683" s="943">
        <v>45197</v>
      </c>
      <c r="C6683" s="195">
        <f t="shared" si="209"/>
        <v>9</v>
      </c>
      <c r="D6683" s="195">
        <v>62.1</v>
      </c>
      <c r="E6683" s="705">
        <f t="shared" si="210"/>
        <v>16.722222222222221</v>
      </c>
    </row>
    <row r="6684" spans="2:5">
      <c r="B6684" s="943">
        <v>45197</v>
      </c>
      <c r="C6684" s="195">
        <f t="shared" si="209"/>
        <v>9</v>
      </c>
      <c r="D6684" s="195">
        <v>61.9</v>
      </c>
      <c r="E6684" s="705">
        <f t="shared" si="210"/>
        <v>16.611111111111111</v>
      </c>
    </row>
    <row r="6685" spans="2:5">
      <c r="B6685" s="943">
        <v>45197</v>
      </c>
      <c r="C6685" s="195">
        <f t="shared" si="209"/>
        <v>9</v>
      </c>
      <c r="D6685" s="195">
        <v>61.9</v>
      </c>
      <c r="E6685" s="705">
        <f t="shared" si="210"/>
        <v>16.611111111111111</v>
      </c>
    </row>
    <row r="6686" spans="2:5">
      <c r="B6686" s="943">
        <v>45197</v>
      </c>
      <c r="C6686" s="195">
        <f t="shared" si="209"/>
        <v>9</v>
      </c>
      <c r="D6686" s="195">
        <v>61.9</v>
      </c>
      <c r="E6686" s="705">
        <f t="shared" si="210"/>
        <v>16.611111111111111</v>
      </c>
    </row>
    <row r="6687" spans="2:5">
      <c r="B6687" s="943">
        <v>45197</v>
      </c>
      <c r="C6687" s="195">
        <f t="shared" si="209"/>
        <v>9</v>
      </c>
      <c r="D6687" s="195">
        <v>61.9</v>
      </c>
      <c r="E6687" s="705">
        <f t="shared" si="210"/>
        <v>16.611111111111111</v>
      </c>
    </row>
    <row r="6688" spans="2:5">
      <c r="B6688" s="943">
        <v>45197</v>
      </c>
      <c r="C6688" s="195">
        <f t="shared" si="209"/>
        <v>9</v>
      </c>
      <c r="D6688" s="195">
        <v>62.1</v>
      </c>
      <c r="E6688" s="705">
        <f t="shared" si="210"/>
        <v>16.722222222222221</v>
      </c>
    </row>
    <row r="6689" spans="2:5">
      <c r="B6689" s="943">
        <v>45197</v>
      </c>
      <c r="C6689" s="195">
        <f t="shared" si="209"/>
        <v>9</v>
      </c>
      <c r="D6689" s="195">
        <v>62.2</v>
      </c>
      <c r="E6689" s="705">
        <f t="shared" si="210"/>
        <v>16.777777777777779</v>
      </c>
    </row>
    <row r="6690" spans="2:5">
      <c r="B6690" s="943">
        <v>45197</v>
      </c>
      <c r="C6690" s="195">
        <f t="shared" si="209"/>
        <v>9</v>
      </c>
      <c r="D6690" s="195">
        <v>62.4</v>
      </c>
      <c r="E6690" s="705">
        <f t="shared" si="210"/>
        <v>16.888888888888889</v>
      </c>
    </row>
    <row r="6691" spans="2:5">
      <c r="B6691" s="943">
        <v>45197</v>
      </c>
      <c r="C6691" s="195">
        <f t="shared" si="209"/>
        <v>9</v>
      </c>
      <c r="D6691" s="195">
        <v>62.4</v>
      </c>
      <c r="E6691" s="705">
        <f t="shared" si="210"/>
        <v>16.888888888888889</v>
      </c>
    </row>
    <row r="6692" spans="2:5">
      <c r="B6692" s="943">
        <v>45197</v>
      </c>
      <c r="C6692" s="195">
        <f t="shared" si="209"/>
        <v>9</v>
      </c>
      <c r="D6692" s="195">
        <v>62.4</v>
      </c>
      <c r="E6692" s="705">
        <f t="shared" si="210"/>
        <v>16.888888888888889</v>
      </c>
    </row>
    <row r="6693" spans="2:5">
      <c r="B6693" s="943">
        <v>45197</v>
      </c>
      <c r="C6693" s="195">
        <f t="shared" si="209"/>
        <v>9</v>
      </c>
      <c r="D6693" s="195">
        <v>62.4</v>
      </c>
      <c r="E6693" s="705">
        <f t="shared" si="210"/>
        <v>16.888888888888889</v>
      </c>
    </row>
    <row r="6694" spans="2:5">
      <c r="B6694" s="943">
        <v>45197</v>
      </c>
      <c r="C6694" s="195">
        <f t="shared" si="209"/>
        <v>9</v>
      </c>
      <c r="D6694" s="195">
        <v>62.2</v>
      </c>
      <c r="E6694" s="705">
        <f t="shared" si="210"/>
        <v>16.777777777777779</v>
      </c>
    </row>
    <row r="6695" spans="2:5">
      <c r="B6695" s="943">
        <v>45197</v>
      </c>
      <c r="C6695" s="195">
        <f t="shared" si="209"/>
        <v>9</v>
      </c>
      <c r="D6695" s="195">
        <v>61.9</v>
      </c>
      <c r="E6695" s="705">
        <f t="shared" si="210"/>
        <v>16.611111111111111</v>
      </c>
    </row>
    <row r="6696" spans="2:5">
      <c r="B6696" s="943">
        <v>45197</v>
      </c>
      <c r="C6696" s="195">
        <f t="shared" si="209"/>
        <v>9</v>
      </c>
      <c r="D6696" s="195">
        <v>61.7</v>
      </c>
      <c r="E6696" s="705">
        <f t="shared" si="210"/>
        <v>16.5</v>
      </c>
    </row>
    <row r="6697" spans="2:5">
      <c r="B6697" s="943">
        <v>45197</v>
      </c>
      <c r="C6697" s="195">
        <f t="shared" si="209"/>
        <v>9</v>
      </c>
      <c r="D6697" s="195">
        <v>61.5</v>
      </c>
      <c r="E6697" s="705">
        <f t="shared" si="210"/>
        <v>16.388888888888889</v>
      </c>
    </row>
    <row r="6698" spans="2:5">
      <c r="B6698" s="943">
        <v>45197</v>
      </c>
      <c r="C6698" s="195">
        <f t="shared" si="209"/>
        <v>9</v>
      </c>
      <c r="D6698" s="195">
        <v>61.5</v>
      </c>
      <c r="E6698" s="705">
        <f t="shared" si="210"/>
        <v>16.388888888888889</v>
      </c>
    </row>
    <row r="6699" spans="2:5">
      <c r="B6699" s="943">
        <v>45197</v>
      </c>
      <c r="C6699" s="195">
        <f t="shared" si="209"/>
        <v>9</v>
      </c>
      <c r="D6699" s="195">
        <v>61.7</v>
      </c>
      <c r="E6699" s="705">
        <f t="shared" si="210"/>
        <v>16.5</v>
      </c>
    </row>
    <row r="6700" spans="2:5">
      <c r="B6700" s="943">
        <v>45197</v>
      </c>
      <c r="C6700" s="195">
        <f t="shared" si="209"/>
        <v>9</v>
      </c>
      <c r="D6700" s="195">
        <v>61.9</v>
      </c>
      <c r="E6700" s="705">
        <f t="shared" si="210"/>
        <v>16.611111111111111</v>
      </c>
    </row>
    <row r="6701" spans="2:5">
      <c r="B6701" s="943">
        <v>45197</v>
      </c>
      <c r="C6701" s="195">
        <f t="shared" si="209"/>
        <v>9</v>
      </c>
      <c r="D6701" s="195">
        <v>62.4</v>
      </c>
      <c r="E6701" s="705">
        <f t="shared" si="210"/>
        <v>16.888888888888889</v>
      </c>
    </row>
    <row r="6702" spans="2:5">
      <c r="B6702" s="943">
        <v>45197</v>
      </c>
      <c r="C6702" s="195">
        <f t="shared" si="209"/>
        <v>9</v>
      </c>
      <c r="D6702" s="195">
        <v>62.6</v>
      </c>
      <c r="E6702" s="705">
        <f t="shared" si="210"/>
        <v>17</v>
      </c>
    </row>
    <row r="6703" spans="2:5">
      <c r="B6703" s="943">
        <v>45197</v>
      </c>
      <c r="C6703" s="195">
        <f t="shared" si="209"/>
        <v>9</v>
      </c>
      <c r="D6703" s="195">
        <v>62.8</v>
      </c>
      <c r="E6703" s="705">
        <f t="shared" si="210"/>
        <v>17.111111111111111</v>
      </c>
    </row>
    <row r="6704" spans="2:5">
      <c r="B6704" s="943">
        <v>45197</v>
      </c>
      <c r="C6704" s="195">
        <f t="shared" si="209"/>
        <v>9</v>
      </c>
      <c r="D6704" s="195" t="s">
        <v>1443</v>
      </c>
      <c r="E6704" s="705">
        <f t="shared" si="210"/>
        <v>17.222222222222221</v>
      </c>
    </row>
    <row r="6705" spans="2:5">
      <c r="B6705" s="943">
        <v>45198</v>
      </c>
      <c r="C6705" s="195">
        <f t="shared" si="209"/>
        <v>9</v>
      </c>
      <c r="D6705" s="195" t="s">
        <v>1443</v>
      </c>
      <c r="E6705" s="705">
        <f t="shared" si="210"/>
        <v>17.222222222222221</v>
      </c>
    </row>
    <row r="6706" spans="2:5">
      <c r="B6706" s="943">
        <v>45198</v>
      </c>
      <c r="C6706" s="195">
        <f t="shared" si="209"/>
        <v>9</v>
      </c>
      <c r="D6706" s="195">
        <v>62.6</v>
      </c>
      <c r="E6706" s="705">
        <f t="shared" si="210"/>
        <v>17</v>
      </c>
    </row>
    <row r="6707" spans="2:5">
      <c r="B6707" s="943">
        <v>45198</v>
      </c>
      <c r="C6707" s="195">
        <f t="shared" si="209"/>
        <v>9</v>
      </c>
      <c r="D6707" s="195">
        <v>62.1</v>
      </c>
      <c r="E6707" s="705">
        <f t="shared" si="210"/>
        <v>16.722222222222221</v>
      </c>
    </row>
    <row r="6708" spans="2:5">
      <c r="B6708" s="943">
        <v>45198</v>
      </c>
      <c r="C6708" s="195">
        <f t="shared" si="209"/>
        <v>9</v>
      </c>
      <c r="D6708" s="195">
        <v>61.7</v>
      </c>
      <c r="E6708" s="705">
        <f t="shared" si="210"/>
        <v>16.5</v>
      </c>
    </row>
    <row r="6709" spans="2:5">
      <c r="B6709" s="943">
        <v>45198</v>
      </c>
      <c r="C6709" s="195">
        <f t="shared" si="209"/>
        <v>9</v>
      </c>
      <c r="D6709" s="195">
        <v>61.5</v>
      </c>
      <c r="E6709" s="705">
        <f t="shared" si="210"/>
        <v>16.388888888888889</v>
      </c>
    </row>
    <row r="6710" spans="2:5">
      <c r="B6710" s="943">
        <v>45198</v>
      </c>
      <c r="C6710" s="195">
        <f t="shared" si="209"/>
        <v>9</v>
      </c>
      <c r="D6710" s="195">
        <v>61.3</v>
      </c>
      <c r="E6710" s="705">
        <f t="shared" si="210"/>
        <v>16.277777777777775</v>
      </c>
    </row>
    <row r="6711" spans="2:5">
      <c r="B6711" s="943">
        <v>45198</v>
      </c>
      <c r="C6711" s="195">
        <f t="shared" si="209"/>
        <v>9</v>
      </c>
      <c r="D6711" s="195">
        <v>61.3</v>
      </c>
      <c r="E6711" s="705">
        <f t="shared" si="210"/>
        <v>16.277777777777775</v>
      </c>
    </row>
    <row r="6712" spans="2:5">
      <c r="B6712" s="943">
        <v>45198</v>
      </c>
      <c r="C6712" s="195">
        <f t="shared" si="209"/>
        <v>9</v>
      </c>
      <c r="D6712" s="195">
        <v>61.5</v>
      </c>
      <c r="E6712" s="705">
        <f t="shared" si="210"/>
        <v>16.388888888888889</v>
      </c>
    </row>
    <row r="6713" spans="2:5">
      <c r="B6713" s="943">
        <v>45198</v>
      </c>
      <c r="C6713" s="195">
        <f t="shared" si="209"/>
        <v>9</v>
      </c>
      <c r="D6713" s="195">
        <v>61.7</v>
      </c>
      <c r="E6713" s="705">
        <f t="shared" si="210"/>
        <v>16.5</v>
      </c>
    </row>
    <row r="6714" spans="2:5">
      <c r="B6714" s="943">
        <v>45198</v>
      </c>
      <c r="C6714" s="195">
        <f t="shared" si="209"/>
        <v>9</v>
      </c>
      <c r="D6714" s="195">
        <v>62.1</v>
      </c>
      <c r="E6714" s="705">
        <f t="shared" si="210"/>
        <v>16.722222222222221</v>
      </c>
    </row>
    <row r="6715" spans="2:5">
      <c r="B6715" s="943">
        <v>45198</v>
      </c>
      <c r="C6715" s="195">
        <f t="shared" si="209"/>
        <v>9</v>
      </c>
      <c r="D6715" s="195">
        <v>62.2</v>
      </c>
      <c r="E6715" s="705">
        <f t="shared" si="210"/>
        <v>16.777777777777779</v>
      </c>
    </row>
    <row r="6716" spans="2:5">
      <c r="B6716" s="943">
        <v>45198</v>
      </c>
      <c r="C6716" s="195">
        <f t="shared" si="209"/>
        <v>9</v>
      </c>
      <c r="D6716" s="195">
        <v>62.4</v>
      </c>
      <c r="E6716" s="705">
        <f t="shared" si="210"/>
        <v>16.888888888888889</v>
      </c>
    </row>
    <row r="6717" spans="2:5">
      <c r="B6717" s="943">
        <v>45198</v>
      </c>
      <c r="C6717" s="195">
        <f t="shared" si="209"/>
        <v>9</v>
      </c>
      <c r="D6717" s="195">
        <v>62.4</v>
      </c>
      <c r="E6717" s="705">
        <f t="shared" si="210"/>
        <v>16.888888888888889</v>
      </c>
    </row>
    <row r="6718" spans="2:5">
      <c r="B6718" s="943">
        <v>45198</v>
      </c>
      <c r="C6718" s="195">
        <f t="shared" si="209"/>
        <v>9</v>
      </c>
      <c r="D6718" s="195">
        <v>62.1</v>
      </c>
      <c r="E6718" s="705">
        <f t="shared" si="210"/>
        <v>16.722222222222221</v>
      </c>
    </row>
    <row r="6719" spans="2:5">
      <c r="B6719" s="943">
        <v>45198</v>
      </c>
      <c r="C6719" s="195">
        <f t="shared" si="209"/>
        <v>9</v>
      </c>
      <c r="D6719" s="195">
        <v>61.7</v>
      </c>
      <c r="E6719" s="705">
        <f t="shared" si="210"/>
        <v>16.5</v>
      </c>
    </row>
    <row r="6720" spans="2:5">
      <c r="B6720" s="943">
        <v>45198</v>
      </c>
      <c r="C6720" s="195">
        <f t="shared" si="209"/>
        <v>9</v>
      </c>
      <c r="D6720" s="195">
        <v>61.2</v>
      </c>
      <c r="E6720" s="705">
        <f t="shared" si="210"/>
        <v>16.222222222222225</v>
      </c>
    </row>
    <row r="6721" spans="2:5">
      <c r="B6721" s="943">
        <v>45198</v>
      </c>
      <c r="C6721" s="195">
        <f t="shared" si="209"/>
        <v>9</v>
      </c>
      <c r="D6721" s="195" t="s">
        <v>1442</v>
      </c>
      <c r="E6721" s="705">
        <f t="shared" si="210"/>
        <v>16.111111111111111</v>
      </c>
    </row>
    <row r="6722" spans="2:5">
      <c r="B6722" s="943">
        <v>45198</v>
      </c>
      <c r="C6722" s="195">
        <f t="shared" si="209"/>
        <v>9</v>
      </c>
      <c r="D6722" s="195">
        <v>60.8</v>
      </c>
      <c r="E6722" s="705">
        <f t="shared" si="210"/>
        <v>15.999999999999998</v>
      </c>
    </row>
    <row r="6723" spans="2:5">
      <c r="B6723" s="943">
        <v>45198</v>
      </c>
      <c r="C6723" s="195">
        <f t="shared" si="209"/>
        <v>9</v>
      </c>
      <c r="D6723" s="195" t="s">
        <v>1442</v>
      </c>
      <c r="E6723" s="705">
        <f t="shared" si="210"/>
        <v>16.111111111111111</v>
      </c>
    </row>
    <row r="6724" spans="2:5">
      <c r="B6724" s="943">
        <v>45198</v>
      </c>
      <c r="C6724" s="195">
        <f t="shared" si="209"/>
        <v>9</v>
      </c>
      <c r="D6724" s="195" t="s">
        <v>1442</v>
      </c>
      <c r="E6724" s="705">
        <f t="shared" si="210"/>
        <v>16.111111111111111</v>
      </c>
    </row>
    <row r="6725" spans="2:5">
      <c r="B6725" s="943">
        <v>45198</v>
      </c>
      <c r="C6725" s="195">
        <f t="shared" si="209"/>
        <v>9</v>
      </c>
      <c r="D6725" s="195">
        <v>61.3</v>
      </c>
      <c r="E6725" s="705">
        <f t="shared" si="210"/>
        <v>16.277777777777775</v>
      </c>
    </row>
    <row r="6726" spans="2:5">
      <c r="B6726" s="943">
        <v>45198</v>
      </c>
      <c r="C6726" s="195">
        <f t="shared" si="209"/>
        <v>9</v>
      </c>
      <c r="D6726" s="195">
        <v>61.7</v>
      </c>
      <c r="E6726" s="705">
        <f t="shared" si="210"/>
        <v>16.5</v>
      </c>
    </row>
    <row r="6727" spans="2:5">
      <c r="B6727" s="943">
        <v>45198</v>
      </c>
      <c r="C6727" s="195">
        <f t="shared" si="209"/>
        <v>9</v>
      </c>
      <c r="D6727" s="195">
        <v>62.1</v>
      </c>
      <c r="E6727" s="705">
        <f t="shared" si="210"/>
        <v>16.722222222222221</v>
      </c>
    </row>
    <row r="6728" spans="2:5">
      <c r="B6728" s="943">
        <v>45198</v>
      </c>
      <c r="C6728" s="195">
        <f t="shared" si="209"/>
        <v>9</v>
      </c>
      <c r="D6728" s="195">
        <v>62.2</v>
      </c>
      <c r="E6728" s="705">
        <f t="shared" si="210"/>
        <v>16.777777777777779</v>
      </c>
    </row>
    <row r="6729" spans="2:5">
      <c r="B6729" s="943">
        <v>45199</v>
      </c>
      <c r="C6729" s="195">
        <f t="shared" si="209"/>
        <v>9</v>
      </c>
      <c r="D6729" s="195">
        <v>62.4</v>
      </c>
      <c r="E6729" s="705">
        <f t="shared" si="210"/>
        <v>16.888888888888889</v>
      </c>
    </row>
    <row r="6730" spans="2:5">
      <c r="B6730" s="943">
        <v>45199</v>
      </c>
      <c r="C6730" s="195">
        <f t="shared" ref="C6730:C6793" si="211">MONTH(B6730)</f>
        <v>9</v>
      </c>
      <c r="D6730" s="195">
        <v>62.4</v>
      </c>
      <c r="E6730" s="705">
        <f t="shared" ref="E6730:E6793" si="212">CONVERT(D6730,"F","C")</f>
        <v>16.888888888888889</v>
      </c>
    </row>
    <row r="6731" spans="2:5">
      <c r="B6731" s="943">
        <v>45199</v>
      </c>
      <c r="C6731" s="195">
        <f t="shared" si="211"/>
        <v>9</v>
      </c>
      <c r="D6731" s="195">
        <v>61.9</v>
      </c>
      <c r="E6731" s="705">
        <f t="shared" si="212"/>
        <v>16.611111111111111</v>
      </c>
    </row>
    <row r="6732" spans="2:5">
      <c r="B6732" s="943">
        <v>45199</v>
      </c>
      <c r="C6732" s="195">
        <f t="shared" si="211"/>
        <v>9</v>
      </c>
      <c r="D6732" s="195">
        <v>61.5</v>
      </c>
      <c r="E6732" s="705">
        <f t="shared" si="212"/>
        <v>16.388888888888889</v>
      </c>
    </row>
    <row r="6733" spans="2:5">
      <c r="B6733" s="943">
        <v>45199</v>
      </c>
      <c r="C6733" s="195">
        <f t="shared" si="211"/>
        <v>9</v>
      </c>
      <c r="D6733" s="195">
        <v>61.2</v>
      </c>
      <c r="E6733" s="705">
        <f t="shared" si="212"/>
        <v>16.222222222222225</v>
      </c>
    </row>
    <row r="6734" spans="2:5">
      <c r="B6734" s="943">
        <v>45199</v>
      </c>
      <c r="C6734" s="195">
        <f t="shared" si="211"/>
        <v>9</v>
      </c>
      <c r="D6734" s="195">
        <v>60.8</v>
      </c>
      <c r="E6734" s="705">
        <f t="shared" si="212"/>
        <v>15.999999999999998</v>
      </c>
    </row>
    <row r="6735" spans="2:5">
      <c r="B6735" s="943">
        <v>45199</v>
      </c>
      <c r="C6735" s="195">
        <f t="shared" si="211"/>
        <v>9</v>
      </c>
      <c r="D6735" s="195">
        <v>60.8</v>
      </c>
      <c r="E6735" s="705">
        <f t="shared" si="212"/>
        <v>15.999999999999998</v>
      </c>
    </row>
    <row r="6736" spans="2:5">
      <c r="B6736" s="943">
        <v>45199</v>
      </c>
      <c r="C6736" s="195">
        <f t="shared" si="211"/>
        <v>9</v>
      </c>
      <c r="D6736" s="195">
        <v>60.8</v>
      </c>
      <c r="E6736" s="705">
        <f t="shared" si="212"/>
        <v>15.999999999999998</v>
      </c>
    </row>
    <row r="6737" spans="2:5">
      <c r="B6737" s="943">
        <v>45199</v>
      </c>
      <c r="C6737" s="195">
        <f t="shared" si="211"/>
        <v>9</v>
      </c>
      <c r="D6737" s="195" t="s">
        <v>1442</v>
      </c>
      <c r="E6737" s="705">
        <f t="shared" si="212"/>
        <v>16.111111111111111</v>
      </c>
    </row>
    <row r="6738" spans="2:5">
      <c r="B6738" s="943">
        <v>45199</v>
      </c>
      <c r="C6738" s="195">
        <f t="shared" si="211"/>
        <v>9</v>
      </c>
      <c r="D6738" s="195">
        <v>61.3</v>
      </c>
      <c r="E6738" s="705">
        <f t="shared" si="212"/>
        <v>16.277777777777775</v>
      </c>
    </row>
    <row r="6739" spans="2:5">
      <c r="B6739" s="943">
        <v>45199</v>
      </c>
      <c r="C6739" s="195">
        <f t="shared" si="211"/>
        <v>9</v>
      </c>
      <c r="D6739" s="195">
        <v>61.7</v>
      </c>
      <c r="E6739" s="705">
        <f t="shared" si="212"/>
        <v>16.5</v>
      </c>
    </row>
    <row r="6740" spans="2:5">
      <c r="B6740" s="943">
        <v>45199</v>
      </c>
      <c r="C6740" s="195">
        <f t="shared" si="211"/>
        <v>9</v>
      </c>
      <c r="D6740" s="195">
        <v>61.9</v>
      </c>
      <c r="E6740" s="705">
        <f t="shared" si="212"/>
        <v>16.611111111111111</v>
      </c>
    </row>
    <row r="6741" spans="2:5">
      <c r="B6741" s="943">
        <v>45199</v>
      </c>
      <c r="C6741" s="195">
        <f t="shared" si="211"/>
        <v>9</v>
      </c>
      <c r="D6741" s="195">
        <v>62.1</v>
      </c>
      <c r="E6741" s="705">
        <f t="shared" si="212"/>
        <v>16.722222222222221</v>
      </c>
    </row>
    <row r="6742" spans="2:5">
      <c r="B6742" s="943">
        <v>45199</v>
      </c>
      <c r="C6742" s="195">
        <f t="shared" si="211"/>
        <v>9</v>
      </c>
      <c r="D6742" s="195">
        <v>62.1</v>
      </c>
      <c r="E6742" s="705">
        <f t="shared" si="212"/>
        <v>16.722222222222221</v>
      </c>
    </row>
    <row r="6743" spans="2:5">
      <c r="B6743" s="943">
        <v>45199</v>
      </c>
      <c r="C6743" s="195">
        <f t="shared" si="211"/>
        <v>9</v>
      </c>
      <c r="D6743" s="195">
        <v>61.7</v>
      </c>
      <c r="E6743" s="705">
        <f t="shared" si="212"/>
        <v>16.5</v>
      </c>
    </row>
    <row r="6744" spans="2:5">
      <c r="B6744" s="943">
        <v>45199</v>
      </c>
      <c r="C6744" s="195">
        <f t="shared" si="211"/>
        <v>9</v>
      </c>
      <c r="D6744" s="195">
        <v>61.2</v>
      </c>
      <c r="E6744" s="705">
        <f t="shared" si="212"/>
        <v>16.222222222222225</v>
      </c>
    </row>
    <row r="6745" spans="2:5">
      <c r="B6745" s="943">
        <v>45199</v>
      </c>
      <c r="C6745" s="195">
        <f t="shared" si="211"/>
        <v>9</v>
      </c>
      <c r="D6745" s="195" t="s">
        <v>1442</v>
      </c>
      <c r="E6745" s="705">
        <f t="shared" si="212"/>
        <v>16.111111111111111</v>
      </c>
    </row>
    <row r="6746" spans="2:5">
      <c r="B6746" s="943">
        <v>45199</v>
      </c>
      <c r="C6746" s="195">
        <f t="shared" si="211"/>
        <v>9</v>
      </c>
      <c r="D6746" s="195">
        <v>60.8</v>
      </c>
      <c r="E6746" s="705">
        <f t="shared" si="212"/>
        <v>15.999999999999998</v>
      </c>
    </row>
    <row r="6747" spans="2:5">
      <c r="B6747" s="943">
        <v>45199</v>
      </c>
      <c r="C6747" s="195">
        <f t="shared" si="211"/>
        <v>9</v>
      </c>
      <c r="D6747" s="195">
        <v>60.6</v>
      </c>
      <c r="E6747" s="705">
        <f t="shared" si="212"/>
        <v>15.888888888888889</v>
      </c>
    </row>
    <row r="6748" spans="2:5">
      <c r="B6748" s="943">
        <v>45199</v>
      </c>
      <c r="C6748" s="195">
        <f t="shared" si="211"/>
        <v>9</v>
      </c>
      <c r="D6748" s="195">
        <v>60.6</v>
      </c>
      <c r="E6748" s="705">
        <f t="shared" si="212"/>
        <v>15.888888888888889</v>
      </c>
    </row>
    <row r="6749" spans="2:5">
      <c r="B6749" s="943">
        <v>45199</v>
      </c>
      <c r="C6749" s="195">
        <f t="shared" si="211"/>
        <v>9</v>
      </c>
      <c r="D6749" s="195">
        <v>60.8</v>
      </c>
      <c r="E6749" s="705">
        <f t="shared" si="212"/>
        <v>15.999999999999998</v>
      </c>
    </row>
    <row r="6750" spans="2:5">
      <c r="B6750" s="943">
        <v>45199</v>
      </c>
      <c r="C6750" s="195">
        <f t="shared" si="211"/>
        <v>9</v>
      </c>
      <c r="D6750" s="195">
        <v>61.2</v>
      </c>
      <c r="E6750" s="705">
        <f t="shared" si="212"/>
        <v>16.222222222222225</v>
      </c>
    </row>
    <row r="6751" spans="2:5">
      <c r="B6751" s="943">
        <v>45199</v>
      </c>
      <c r="C6751" s="195">
        <f t="shared" si="211"/>
        <v>9</v>
      </c>
      <c r="D6751" s="195">
        <v>61.5</v>
      </c>
      <c r="E6751" s="705">
        <f t="shared" si="212"/>
        <v>16.388888888888889</v>
      </c>
    </row>
    <row r="6752" spans="2:5">
      <c r="B6752" s="943">
        <v>45199</v>
      </c>
      <c r="C6752" s="195">
        <f t="shared" si="211"/>
        <v>9</v>
      </c>
      <c r="D6752" s="195">
        <v>61.9</v>
      </c>
      <c r="E6752" s="705">
        <f t="shared" si="212"/>
        <v>16.611111111111111</v>
      </c>
    </row>
    <row r="6753" spans="2:5">
      <c r="B6753" s="943">
        <v>45200</v>
      </c>
      <c r="C6753" s="195">
        <f t="shared" si="211"/>
        <v>10</v>
      </c>
      <c r="D6753" s="195">
        <v>62.1</v>
      </c>
      <c r="E6753" s="705">
        <f t="shared" si="212"/>
        <v>16.722222222222221</v>
      </c>
    </row>
    <row r="6754" spans="2:5">
      <c r="B6754" s="943">
        <v>45200</v>
      </c>
      <c r="C6754" s="195">
        <f t="shared" si="211"/>
        <v>10</v>
      </c>
      <c r="D6754" s="195">
        <v>62.2</v>
      </c>
      <c r="E6754" s="705">
        <f t="shared" si="212"/>
        <v>16.777777777777779</v>
      </c>
    </row>
    <row r="6755" spans="2:5">
      <c r="B6755" s="943">
        <v>45200</v>
      </c>
      <c r="C6755" s="195">
        <f t="shared" si="211"/>
        <v>10</v>
      </c>
      <c r="D6755" s="195">
        <v>62.1</v>
      </c>
      <c r="E6755" s="705">
        <f t="shared" si="212"/>
        <v>16.722222222222221</v>
      </c>
    </row>
    <row r="6756" spans="2:5">
      <c r="B6756" s="943">
        <v>45200</v>
      </c>
      <c r="C6756" s="195">
        <f t="shared" si="211"/>
        <v>10</v>
      </c>
      <c r="D6756" s="195">
        <v>61.5</v>
      </c>
      <c r="E6756" s="705">
        <f t="shared" si="212"/>
        <v>16.388888888888889</v>
      </c>
    </row>
    <row r="6757" spans="2:5">
      <c r="B6757" s="943">
        <v>45200</v>
      </c>
      <c r="C6757" s="195">
        <f t="shared" si="211"/>
        <v>10</v>
      </c>
      <c r="D6757" s="195">
        <v>61.2</v>
      </c>
      <c r="E6757" s="705">
        <f t="shared" si="212"/>
        <v>16.222222222222225</v>
      </c>
    </row>
    <row r="6758" spans="2:5">
      <c r="B6758" s="943">
        <v>45200</v>
      </c>
      <c r="C6758" s="195">
        <f t="shared" si="211"/>
        <v>10</v>
      </c>
      <c r="D6758" s="195" t="s">
        <v>1442</v>
      </c>
      <c r="E6758" s="705">
        <f t="shared" si="212"/>
        <v>16.111111111111111</v>
      </c>
    </row>
    <row r="6759" spans="2:5">
      <c r="B6759" s="943">
        <v>45200</v>
      </c>
      <c r="C6759" s="195">
        <f t="shared" si="211"/>
        <v>10</v>
      </c>
      <c r="D6759" s="195">
        <v>60.8</v>
      </c>
      <c r="E6759" s="705">
        <f t="shared" si="212"/>
        <v>15.999999999999998</v>
      </c>
    </row>
    <row r="6760" spans="2:5">
      <c r="B6760" s="943">
        <v>45200</v>
      </c>
      <c r="C6760" s="195">
        <f t="shared" si="211"/>
        <v>10</v>
      </c>
      <c r="D6760" s="195">
        <v>60.6</v>
      </c>
      <c r="E6760" s="705">
        <f t="shared" si="212"/>
        <v>15.888888888888889</v>
      </c>
    </row>
    <row r="6761" spans="2:5">
      <c r="B6761" s="943">
        <v>45200</v>
      </c>
      <c r="C6761" s="195">
        <f t="shared" si="211"/>
        <v>10</v>
      </c>
      <c r="D6761" s="195">
        <v>60.6</v>
      </c>
      <c r="E6761" s="705">
        <f t="shared" si="212"/>
        <v>15.888888888888889</v>
      </c>
    </row>
    <row r="6762" spans="2:5">
      <c r="B6762" s="943">
        <v>45200</v>
      </c>
      <c r="C6762" s="195">
        <f t="shared" si="211"/>
        <v>10</v>
      </c>
      <c r="D6762" s="195">
        <v>60.8</v>
      </c>
      <c r="E6762" s="705">
        <f t="shared" si="212"/>
        <v>15.999999999999998</v>
      </c>
    </row>
    <row r="6763" spans="2:5">
      <c r="B6763" s="943">
        <v>45200</v>
      </c>
      <c r="C6763" s="195">
        <f t="shared" si="211"/>
        <v>10</v>
      </c>
      <c r="D6763" s="195">
        <v>61.2</v>
      </c>
      <c r="E6763" s="705">
        <f t="shared" si="212"/>
        <v>16.222222222222225</v>
      </c>
    </row>
    <row r="6764" spans="2:5">
      <c r="B6764" s="943">
        <v>45200</v>
      </c>
      <c r="C6764" s="195">
        <f t="shared" si="211"/>
        <v>10</v>
      </c>
      <c r="D6764" s="195">
        <v>61.3</v>
      </c>
      <c r="E6764" s="705">
        <f t="shared" si="212"/>
        <v>16.277777777777775</v>
      </c>
    </row>
    <row r="6765" spans="2:5">
      <c r="B6765" s="943">
        <v>45200</v>
      </c>
      <c r="C6765" s="195">
        <f t="shared" si="211"/>
        <v>10</v>
      </c>
      <c r="D6765" s="195">
        <v>61.5</v>
      </c>
      <c r="E6765" s="705">
        <f t="shared" si="212"/>
        <v>16.388888888888889</v>
      </c>
    </row>
    <row r="6766" spans="2:5">
      <c r="B6766" s="943">
        <v>45200</v>
      </c>
      <c r="C6766" s="195">
        <f t="shared" si="211"/>
        <v>10</v>
      </c>
      <c r="D6766" s="195">
        <v>61.7</v>
      </c>
      <c r="E6766" s="705">
        <f t="shared" si="212"/>
        <v>16.5</v>
      </c>
    </row>
    <row r="6767" spans="2:5">
      <c r="B6767" s="943">
        <v>45200</v>
      </c>
      <c r="C6767" s="195">
        <f t="shared" si="211"/>
        <v>10</v>
      </c>
      <c r="D6767" s="195">
        <v>61.7</v>
      </c>
      <c r="E6767" s="705">
        <f t="shared" si="212"/>
        <v>16.5</v>
      </c>
    </row>
    <row r="6768" spans="2:5">
      <c r="B6768" s="943">
        <v>45200</v>
      </c>
      <c r="C6768" s="195">
        <f t="shared" si="211"/>
        <v>10</v>
      </c>
      <c r="D6768" s="195">
        <v>61.2</v>
      </c>
      <c r="E6768" s="705">
        <f t="shared" si="212"/>
        <v>16.222222222222225</v>
      </c>
    </row>
    <row r="6769" spans="2:5">
      <c r="B6769" s="943">
        <v>45200</v>
      </c>
      <c r="C6769" s="195">
        <f t="shared" si="211"/>
        <v>10</v>
      </c>
      <c r="D6769" s="195">
        <v>60.8</v>
      </c>
      <c r="E6769" s="705">
        <f t="shared" si="212"/>
        <v>15.999999999999998</v>
      </c>
    </row>
    <row r="6770" spans="2:5">
      <c r="B6770" s="943">
        <v>45200</v>
      </c>
      <c r="C6770" s="195">
        <f t="shared" si="211"/>
        <v>10</v>
      </c>
      <c r="D6770" s="195">
        <v>60.6</v>
      </c>
      <c r="E6770" s="705">
        <f t="shared" si="212"/>
        <v>15.888888888888889</v>
      </c>
    </row>
    <row r="6771" spans="2:5">
      <c r="B6771" s="943">
        <v>45200</v>
      </c>
      <c r="C6771" s="195">
        <f t="shared" si="211"/>
        <v>10</v>
      </c>
      <c r="D6771" s="195">
        <v>60.6</v>
      </c>
      <c r="E6771" s="705">
        <f t="shared" si="212"/>
        <v>15.888888888888889</v>
      </c>
    </row>
    <row r="6772" spans="2:5">
      <c r="B6772" s="943">
        <v>45200</v>
      </c>
      <c r="C6772" s="195">
        <f t="shared" si="211"/>
        <v>10</v>
      </c>
      <c r="D6772" s="195">
        <v>60.6</v>
      </c>
      <c r="E6772" s="705">
        <f t="shared" si="212"/>
        <v>15.888888888888889</v>
      </c>
    </row>
    <row r="6773" spans="2:5">
      <c r="B6773" s="943">
        <v>45200</v>
      </c>
      <c r="C6773" s="195">
        <f t="shared" si="211"/>
        <v>10</v>
      </c>
      <c r="D6773" s="195">
        <v>60.8</v>
      </c>
      <c r="E6773" s="705">
        <f t="shared" si="212"/>
        <v>15.999999999999998</v>
      </c>
    </row>
    <row r="6774" spans="2:5">
      <c r="B6774" s="943">
        <v>45200</v>
      </c>
      <c r="C6774" s="195">
        <f t="shared" si="211"/>
        <v>10</v>
      </c>
      <c r="D6774" s="195" t="s">
        <v>1442</v>
      </c>
      <c r="E6774" s="705">
        <f t="shared" si="212"/>
        <v>16.111111111111111</v>
      </c>
    </row>
    <row r="6775" spans="2:5">
      <c r="B6775" s="943">
        <v>45200</v>
      </c>
      <c r="C6775" s="195">
        <f t="shared" si="211"/>
        <v>10</v>
      </c>
      <c r="D6775" s="195">
        <v>61.3</v>
      </c>
      <c r="E6775" s="705">
        <f t="shared" si="212"/>
        <v>16.277777777777775</v>
      </c>
    </row>
    <row r="6776" spans="2:5">
      <c r="B6776" s="943">
        <v>45200</v>
      </c>
      <c r="C6776" s="195">
        <f t="shared" si="211"/>
        <v>10</v>
      </c>
      <c r="D6776" s="195">
        <v>61.7</v>
      </c>
      <c r="E6776" s="705">
        <f t="shared" si="212"/>
        <v>16.5</v>
      </c>
    </row>
    <row r="6777" spans="2:5">
      <c r="B6777" s="943">
        <v>45201</v>
      </c>
      <c r="C6777" s="195">
        <f t="shared" si="211"/>
        <v>10</v>
      </c>
      <c r="D6777" s="195">
        <v>61.9</v>
      </c>
      <c r="E6777" s="705">
        <f t="shared" si="212"/>
        <v>16.611111111111111</v>
      </c>
    </row>
    <row r="6778" spans="2:5">
      <c r="B6778" s="943">
        <v>45201</v>
      </c>
      <c r="C6778" s="195">
        <f t="shared" si="211"/>
        <v>10</v>
      </c>
      <c r="D6778" s="195">
        <v>62.2</v>
      </c>
      <c r="E6778" s="705">
        <f t="shared" si="212"/>
        <v>16.777777777777779</v>
      </c>
    </row>
    <row r="6779" spans="2:5">
      <c r="B6779" s="943">
        <v>45201</v>
      </c>
      <c r="C6779" s="195">
        <f t="shared" si="211"/>
        <v>10</v>
      </c>
      <c r="D6779" s="195">
        <v>62.2</v>
      </c>
      <c r="E6779" s="705">
        <f t="shared" si="212"/>
        <v>16.777777777777779</v>
      </c>
    </row>
    <row r="6780" spans="2:5">
      <c r="B6780" s="943">
        <v>45201</v>
      </c>
      <c r="C6780" s="195">
        <f t="shared" si="211"/>
        <v>10</v>
      </c>
      <c r="D6780" s="195">
        <v>62.1</v>
      </c>
      <c r="E6780" s="705">
        <f t="shared" si="212"/>
        <v>16.722222222222221</v>
      </c>
    </row>
    <row r="6781" spans="2:5">
      <c r="B6781" s="943">
        <v>45201</v>
      </c>
      <c r="C6781" s="195">
        <f t="shared" si="211"/>
        <v>10</v>
      </c>
      <c r="D6781" s="195">
        <v>61.7</v>
      </c>
      <c r="E6781" s="705">
        <f t="shared" si="212"/>
        <v>16.5</v>
      </c>
    </row>
    <row r="6782" spans="2:5">
      <c r="B6782" s="943">
        <v>45201</v>
      </c>
      <c r="C6782" s="195">
        <f t="shared" si="211"/>
        <v>10</v>
      </c>
      <c r="D6782" s="195">
        <v>61.2</v>
      </c>
      <c r="E6782" s="705">
        <f t="shared" si="212"/>
        <v>16.222222222222225</v>
      </c>
    </row>
    <row r="6783" spans="2:5">
      <c r="B6783" s="943">
        <v>45201</v>
      </c>
      <c r="C6783" s="195">
        <f t="shared" si="211"/>
        <v>10</v>
      </c>
      <c r="D6783" s="195" t="s">
        <v>1442</v>
      </c>
      <c r="E6783" s="705">
        <f t="shared" si="212"/>
        <v>16.111111111111111</v>
      </c>
    </row>
    <row r="6784" spans="2:5">
      <c r="B6784" s="943">
        <v>45201</v>
      </c>
      <c r="C6784" s="195">
        <f t="shared" si="211"/>
        <v>10</v>
      </c>
      <c r="D6784" s="195">
        <v>60.8</v>
      </c>
      <c r="E6784" s="705">
        <f t="shared" si="212"/>
        <v>15.999999999999998</v>
      </c>
    </row>
    <row r="6785" spans="2:5">
      <c r="B6785" s="943">
        <v>45201</v>
      </c>
      <c r="C6785" s="195">
        <f t="shared" si="211"/>
        <v>10</v>
      </c>
      <c r="D6785" s="195">
        <v>60.6</v>
      </c>
      <c r="E6785" s="705">
        <f t="shared" si="212"/>
        <v>15.888888888888889</v>
      </c>
    </row>
    <row r="6786" spans="2:5">
      <c r="B6786" s="943">
        <v>45201</v>
      </c>
      <c r="C6786" s="195">
        <f t="shared" si="211"/>
        <v>10</v>
      </c>
      <c r="D6786" s="195">
        <v>60.8</v>
      </c>
      <c r="E6786" s="705">
        <f t="shared" si="212"/>
        <v>15.999999999999998</v>
      </c>
    </row>
    <row r="6787" spans="2:5">
      <c r="B6787" s="943">
        <v>45201</v>
      </c>
      <c r="C6787" s="195">
        <f t="shared" si="211"/>
        <v>10</v>
      </c>
      <c r="D6787" s="195" t="s">
        <v>1442</v>
      </c>
      <c r="E6787" s="705">
        <f t="shared" si="212"/>
        <v>16.111111111111111</v>
      </c>
    </row>
    <row r="6788" spans="2:5">
      <c r="B6788" s="943">
        <v>45201</v>
      </c>
      <c r="C6788" s="195">
        <f t="shared" si="211"/>
        <v>10</v>
      </c>
      <c r="D6788" s="195">
        <v>61.3</v>
      </c>
      <c r="E6788" s="705">
        <f t="shared" si="212"/>
        <v>16.277777777777775</v>
      </c>
    </row>
    <row r="6789" spans="2:5">
      <c r="B6789" s="943">
        <v>45201</v>
      </c>
      <c r="C6789" s="195">
        <f t="shared" si="211"/>
        <v>10</v>
      </c>
      <c r="D6789" s="195">
        <v>61.7</v>
      </c>
      <c r="E6789" s="705">
        <f t="shared" si="212"/>
        <v>16.5</v>
      </c>
    </row>
    <row r="6790" spans="2:5">
      <c r="B6790" s="943">
        <v>45201</v>
      </c>
      <c r="C6790" s="195">
        <f t="shared" si="211"/>
        <v>10</v>
      </c>
      <c r="D6790" s="195">
        <v>61.9</v>
      </c>
      <c r="E6790" s="705">
        <f t="shared" si="212"/>
        <v>16.611111111111111</v>
      </c>
    </row>
    <row r="6791" spans="2:5">
      <c r="B6791" s="943">
        <v>45201</v>
      </c>
      <c r="C6791" s="195">
        <f t="shared" si="211"/>
        <v>10</v>
      </c>
      <c r="D6791" s="195">
        <v>62.1</v>
      </c>
      <c r="E6791" s="705">
        <f t="shared" si="212"/>
        <v>16.722222222222221</v>
      </c>
    </row>
    <row r="6792" spans="2:5">
      <c r="B6792" s="943">
        <v>45201</v>
      </c>
      <c r="C6792" s="195">
        <f t="shared" si="211"/>
        <v>10</v>
      </c>
      <c r="D6792" s="195">
        <v>61.9</v>
      </c>
      <c r="E6792" s="705">
        <f t="shared" si="212"/>
        <v>16.611111111111111</v>
      </c>
    </row>
    <row r="6793" spans="2:5">
      <c r="B6793" s="943">
        <v>45201</v>
      </c>
      <c r="C6793" s="195">
        <f t="shared" si="211"/>
        <v>10</v>
      </c>
      <c r="D6793" s="195">
        <v>61.3</v>
      </c>
      <c r="E6793" s="705">
        <f t="shared" si="212"/>
        <v>16.277777777777775</v>
      </c>
    </row>
    <row r="6794" spans="2:5">
      <c r="B6794" s="943">
        <v>45201</v>
      </c>
      <c r="C6794" s="195">
        <f t="shared" ref="C6794:C6857" si="213">MONTH(B6794)</f>
        <v>10</v>
      </c>
      <c r="D6794" s="195">
        <v>61.2</v>
      </c>
      <c r="E6794" s="705">
        <f t="shared" ref="E6794:E6857" si="214">CONVERT(D6794,"F","C")</f>
        <v>16.222222222222225</v>
      </c>
    </row>
    <row r="6795" spans="2:5">
      <c r="B6795" s="943">
        <v>45201</v>
      </c>
      <c r="C6795" s="195">
        <f t="shared" si="213"/>
        <v>10</v>
      </c>
      <c r="D6795" s="195" t="s">
        <v>1442</v>
      </c>
      <c r="E6795" s="705">
        <f t="shared" si="214"/>
        <v>16.111111111111111</v>
      </c>
    </row>
    <row r="6796" spans="2:5">
      <c r="B6796" s="943">
        <v>45201</v>
      </c>
      <c r="C6796" s="195">
        <f t="shared" si="213"/>
        <v>10</v>
      </c>
      <c r="D6796" s="195" t="s">
        <v>1442</v>
      </c>
      <c r="E6796" s="705">
        <f t="shared" si="214"/>
        <v>16.111111111111111</v>
      </c>
    </row>
    <row r="6797" spans="2:5">
      <c r="B6797" s="943">
        <v>45201</v>
      </c>
      <c r="C6797" s="195">
        <f t="shared" si="213"/>
        <v>10</v>
      </c>
      <c r="D6797" s="195" t="s">
        <v>1442</v>
      </c>
      <c r="E6797" s="705">
        <f t="shared" si="214"/>
        <v>16.111111111111111</v>
      </c>
    </row>
    <row r="6798" spans="2:5">
      <c r="B6798" s="943">
        <v>45201</v>
      </c>
      <c r="C6798" s="195">
        <f t="shared" si="213"/>
        <v>10</v>
      </c>
      <c r="D6798" s="195" t="s">
        <v>1442</v>
      </c>
      <c r="E6798" s="705">
        <f t="shared" si="214"/>
        <v>16.111111111111111</v>
      </c>
    </row>
    <row r="6799" spans="2:5">
      <c r="B6799" s="943">
        <v>45201</v>
      </c>
      <c r="C6799" s="195">
        <f t="shared" si="213"/>
        <v>10</v>
      </c>
      <c r="D6799" s="195">
        <v>61.2</v>
      </c>
      <c r="E6799" s="705">
        <f t="shared" si="214"/>
        <v>16.222222222222225</v>
      </c>
    </row>
    <row r="6800" spans="2:5">
      <c r="B6800" s="943">
        <v>45201</v>
      </c>
      <c r="C6800" s="195">
        <f t="shared" si="213"/>
        <v>10</v>
      </c>
      <c r="D6800" s="195">
        <v>61.7</v>
      </c>
      <c r="E6800" s="705">
        <f t="shared" si="214"/>
        <v>16.5</v>
      </c>
    </row>
    <row r="6801" spans="2:5">
      <c r="B6801" s="943">
        <v>45202</v>
      </c>
      <c r="C6801" s="195">
        <f t="shared" si="213"/>
        <v>10</v>
      </c>
      <c r="D6801" s="195">
        <v>61.9</v>
      </c>
      <c r="E6801" s="705">
        <f t="shared" si="214"/>
        <v>16.611111111111111</v>
      </c>
    </row>
    <row r="6802" spans="2:5">
      <c r="B6802" s="943">
        <v>45202</v>
      </c>
      <c r="C6802" s="195">
        <f t="shared" si="213"/>
        <v>10</v>
      </c>
      <c r="D6802" s="195">
        <v>62.2</v>
      </c>
      <c r="E6802" s="705">
        <f t="shared" si="214"/>
        <v>16.777777777777779</v>
      </c>
    </row>
    <row r="6803" spans="2:5">
      <c r="B6803" s="943">
        <v>45202</v>
      </c>
      <c r="C6803" s="195">
        <f t="shared" si="213"/>
        <v>10</v>
      </c>
      <c r="D6803" s="195">
        <v>62.4</v>
      </c>
      <c r="E6803" s="705">
        <f t="shared" si="214"/>
        <v>16.888888888888889</v>
      </c>
    </row>
    <row r="6804" spans="2:5">
      <c r="B6804" s="943">
        <v>45202</v>
      </c>
      <c r="C6804" s="195">
        <f t="shared" si="213"/>
        <v>10</v>
      </c>
      <c r="D6804" s="195">
        <v>62.4</v>
      </c>
      <c r="E6804" s="705">
        <f t="shared" si="214"/>
        <v>16.888888888888889</v>
      </c>
    </row>
    <row r="6805" spans="2:5">
      <c r="B6805" s="943">
        <v>45202</v>
      </c>
      <c r="C6805" s="195">
        <f t="shared" si="213"/>
        <v>10</v>
      </c>
      <c r="D6805" s="195">
        <v>62.2</v>
      </c>
      <c r="E6805" s="705">
        <f t="shared" si="214"/>
        <v>16.777777777777779</v>
      </c>
    </row>
    <row r="6806" spans="2:5">
      <c r="B6806" s="943">
        <v>45202</v>
      </c>
      <c r="C6806" s="195">
        <f t="shared" si="213"/>
        <v>10</v>
      </c>
      <c r="D6806" s="195">
        <v>61.9</v>
      </c>
      <c r="E6806" s="705">
        <f t="shared" si="214"/>
        <v>16.611111111111111</v>
      </c>
    </row>
    <row r="6807" spans="2:5">
      <c r="B6807" s="943">
        <v>45202</v>
      </c>
      <c r="C6807" s="195">
        <f t="shared" si="213"/>
        <v>10</v>
      </c>
      <c r="D6807" s="195">
        <v>61.3</v>
      </c>
      <c r="E6807" s="705">
        <f t="shared" si="214"/>
        <v>16.277777777777775</v>
      </c>
    </row>
    <row r="6808" spans="2:5">
      <c r="B6808" s="943">
        <v>45202</v>
      </c>
      <c r="C6808" s="195">
        <f t="shared" si="213"/>
        <v>10</v>
      </c>
      <c r="D6808" s="195">
        <v>61.2</v>
      </c>
      <c r="E6808" s="705">
        <f t="shared" si="214"/>
        <v>16.222222222222225</v>
      </c>
    </row>
    <row r="6809" spans="2:5">
      <c r="B6809" s="943">
        <v>45202</v>
      </c>
      <c r="C6809" s="195">
        <f t="shared" si="213"/>
        <v>10</v>
      </c>
      <c r="D6809" s="195">
        <v>61.2</v>
      </c>
      <c r="E6809" s="705">
        <f t="shared" si="214"/>
        <v>16.222222222222225</v>
      </c>
    </row>
    <row r="6810" spans="2:5">
      <c r="B6810" s="943">
        <v>45202</v>
      </c>
      <c r="C6810" s="195">
        <f t="shared" si="213"/>
        <v>10</v>
      </c>
      <c r="D6810" s="195" t="s">
        <v>1442</v>
      </c>
      <c r="E6810" s="705">
        <f t="shared" si="214"/>
        <v>16.111111111111111</v>
      </c>
    </row>
    <row r="6811" spans="2:5">
      <c r="B6811" s="943">
        <v>45202</v>
      </c>
      <c r="C6811" s="195">
        <f t="shared" si="213"/>
        <v>10</v>
      </c>
      <c r="D6811" s="195" t="s">
        <v>1442</v>
      </c>
      <c r="E6811" s="705">
        <f t="shared" si="214"/>
        <v>16.111111111111111</v>
      </c>
    </row>
    <row r="6812" spans="2:5">
      <c r="B6812" s="943">
        <v>45202</v>
      </c>
      <c r="C6812" s="195">
        <f t="shared" si="213"/>
        <v>10</v>
      </c>
      <c r="D6812" s="195">
        <v>61.2</v>
      </c>
      <c r="E6812" s="705">
        <f t="shared" si="214"/>
        <v>16.222222222222225</v>
      </c>
    </row>
    <row r="6813" spans="2:5">
      <c r="B6813" s="943">
        <v>45202</v>
      </c>
      <c r="C6813" s="195">
        <f t="shared" si="213"/>
        <v>10</v>
      </c>
      <c r="D6813" s="195">
        <v>61.5</v>
      </c>
      <c r="E6813" s="705">
        <f t="shared" si="214"/>
        <v>16.388888888888889</v>
      </c>
    </row>
    <row r="6814" spans="2:5">
      <c r="B6814" s="943">
        <v>45202</v>
      </c>
      <c r="C6814" s="195">
        <f t="shared" si="213"/>
        <v>10</v>
      </c>
      <c r="D6814" s="195">
        <v>61.9</v>
      </c>
      <c r="E6814" s="705">
        <f t="shared" si="214"/>
        <v>16.611111111111111</v>
      </c>
    </row>
    <row r="6815" spans="2:5">
      <c r="B6815" s="943">
        <v>45202</v>
      </c>
      <c r="C6815" s="195">
        <f t="shared" si="213"/>
        <v>10</v>
      </c>
      <c r="D6815" s="195">
        <v>62.1</v>
      </c>
      <c r="E6815" s="705">
        <f t="shared" si="214"/>
        <v>16.722222222222221</v>
      </c>
    </row>
    <row r="6816" spans="2:5">
      <c r="B6816" s="943">
        <v>45202</v>
      </c>
      <c r="C6816" s="195">
        <f t="shared" si="213"/>
        <v>10</v>
      </c>
      <c r="D6816" s="195">
        <v>62.2</v>
      </c>
      <c r="E6816" s="705">
        <f t="shared" si="214"/>
        <v>16.777777777777779</v>
      </c>
    </row>
    <row r="6817" spans="2:5">
      <c r="B6817" s="943">
        <v>45202</v>
      </c>
      <c r="C6817" s="195">
        <f t="shared" si="213"/>
        <v>10</v>
      </c>
      <c r="D6817" s="195">
        <v>61.9</v>
      </c>
      <c r="E6817" s="705">
        <f t="shared" si="214"/>
        <v>16.611111111111111</v>
      </c>
    </row>
    <row r="6818" spans="2:5">
      <c r="B6818" s="943">
        <v>45202</v>
      </c>
      <c r="C6818" s="195">
        <f t="shared" si="213"/>
        <v>10</v>
      </c>
      <c r="D6818" s="195">
        <v>61.5</v>
      </c>
      <c r="E6818" s="705">
        <f t="shared" si="214"/>
        <v>16.388888888888889</v>
      </c>
    </row>
    <row r="6819" spans="2:5">
      <c r="B6819" s="943">
        <v>45202</v>
      </c>
      <c r="C6819" s="195">
        <f t="shared" si="213"/>
        <v>10</v>
      </c>
      <c r="D6819" s="195">
        <v>61.2</v>
      </c>
      <c r="E6819" s="705">
        <f t="shared" si="214"/>
        <v>16.222222222222225</v>
      </c>
    </row>
    <row r="6820" spans="2:5">
      <c r="B6820" s="943">
        <v>45202</v>
      </c>
      <c r="C6820" s="195">
        <f t="shared" si="213"/>
        <v>10</v>
      </c>
      <c r="D6820" s="195">
        <v>60.8</v>
      </c>
      <c r="E6820" s="705">
        <f t="shared" si="214"/>
        <v>15.999999999999998</v>
      </c>
    </row>
    <row r="6821" spans="2:5">
      <c r="B6821" s="943">
        <v>45202</v>
      </c>
      <c r="C6821" s="195">
        <f t="shared" si="213"/>
        <v>10</v>
      </c>
      <c r="D6821" s="195">
        <v>60.6</v>
      </c>
      <c r="E6821" s="705">
        <f t="shared" si="214"/>
        <v>15.888888888888889</v>
      </c>
    </row>
    <row r="6822" spans="2:5">
      <c r="B6822" s="943">
        <v>45202</v>
      </c>
      <c r="C6822" s="195">
        <f t="shared" si="213"/>
        <v>10</v>
      </c>
      <c r="D6822" s="195">
        <v>60.8</v>
      </c>
      <c r="E6822" s="705">
        <f t="shared" si="214"/>
        <v>15.999999999999998</v>
      </c>
    </row>
    <row r="6823" spans="2:5">
      <c r="B6823" s="943">
        <v>45202</v>
      </c>
      <c r="C6823" s="195">
        <f t="shared" si="213"/>
        <v>10</v>
      </c>
      <c r="D6823" s="195" t="s">
        <v>1442</v>
      </c>
      <c r="E6823" s="705">
        <f t="shared" si="214"/>
        <v>16.111111111111111</v>
      </c>
    </row>
    <row r="6824" spans="2:5">
      <c r="B6824" s="943">
        <v>45202</v>
      </c>
      <c r="C6824" s="195">
        <f t="shared" si="213"/>
        <v>10</v>
      </c>
      <c r="D6824" s="195">
        <v>61.3</v>
      </c>
      <c r="E6824" s="705">
        <f t="shared" si="214"/>
        <v>16.277777777777775</v>
      </c>
    </row>
    <row r="6825" spans="2:5">
      <c r="B6825" s="943">
        <v>45203</v>
      </c>
      <c r="C6825" s="195">
        <f t="shared" si="213"/>
        <v>10</v>
      </c>
      <c r="D6825" s="195">
        <v>61.9</v>
      </c>
      <c r="E6825" s="705">
        <f t="shared" si="214"/>
        <v>16.611111111111111</v>
      </c>
    </row>
    <row r="6826" spans="2:5">
      <c r="B6826" s="943">
        <v>45203</v>
      </c>
      <c r="C6826" s="195">
        <f t="shared" si="213"/>
        <v>10</v>
      </c>
      <c r="D6826" s="195">
        <v>62.2</v>
      </c>
      <c r="E6826" s="705">
        <f t="shared" si="214"/>
        <v>16.777777777777779</v>
      </c>
    </row>
    <row r="6827" spans="2:5">
      <c r="B6827" s="943">
        <v>45203</v>
      </c>
      <c r="C6827" s="195">
        <f t="shared" si="213"/>
        <v>10</v>
      </c>
      <c r="D6827" s="195">
        <v>62.6</v>
      </c>
      <c r="E6827" s="705">
        <f t="shared" si="214"/>
        <v>17</v>
      </c>
    </row>
    <row r="6828" spans="2:5">
      <c r="B6828" s="943">
        <v>45203</v>
      </c>
      <c r="C6828" s="195">
        <f t="shared" si="213"/>
        <v>10</v>
      </c>
      <c r="D6828" s="195">
        <v>62.8</v>
      </c>
      <c r="E6828" s="705">
        <f t="shared" si="214"/>
        <v>17.111111111111111</v>
      </c>
    </row>
    <row r="6829" spans="2:5">
      <c r="B6829" s="943">
        <v>45203</v>
      </c>
      <c r="C6829" s="195">
        <f t="shared" si="213"/>
        <v>10</v>
      </c>
      <c r="D6829" s="195">
        <v>62.8</v>
      </c>
      <c r="E6829" s="705">
        <f t="shared" si="214"/>
        <v>17.111111111111111</v>
      </c>
    </row>
    <row r="6830" spans="2:5">
      <c r="B6830" s="943">
        <v>45203</v>
      </c>
      <c r="C6830" s="195">
        <f t="shared" si="213"/>
        <v>10</v>
      </c>
      <c r="D6830" s="195">
        <v>62.4</v>
      </c>
      <c r="E6830" s="705">
        <f t="shared" si="214"/>
        <v>16.888888888888889</v>
      </c>
    </row>
    <row r="6831" spans="2:5">
      <c r="B6831" s="943">
        <v>45203</v>
      </c>
      <c r="C6831" s="195">
        <f t="shared" si="213"/>
        <v>10</v>
      </c>
      <c r="D6831" s="195">
        <v>61.9</v>
      </c>
      <c r="E6831" s="705">
        <f t="shared" si="214"/>
        <v>16.611111111111111</v>
      </c>
    </row>
    <row r="6832" spans="2:5">
      <c r="B6832" s="943">
        <v>45203</v>
      </c>
      <c r="C6832" s="195">
        <f t="shared" si="213"/>
        <v>10</v>
      </c>
      <c r="D6832" s="195">
        <v>61.2</v>
      </c>
      <c r="E6832" s="705">
        <f t="shared" si="214"/>
        <v>16.222222222222225</v>
      </c>
    </row>
    <row r="6833" spans="2:5">
      <c r="B6833" s="943">
        <v>45203</v>
      </c>
      <c r="C6833" s="195">
        <f t="shared" si="213"/>
        <v>10</v>
      </c>
      <c r="D6833" s="195">
        <v>60.8</v>
      </c>
      <c r="E6833" s="705">
        <f t="shared" si="214"/>
        <v>15.999999999999998</v>
      </c>
    </row>
    <row r="6834" spans="2:5">
      <c r="B6834" s="943">
        <v>45203</v>
      </c>
      <c r="C6834" s="195">
        <f t="shared" si="213"/>
        <v>10</v>
      </c>
      <c r="D6834" s="195">
        <v>60.6</v>
      </c>
      <c r="E6834" s="705">
        <f t="shared" si="214"/>
        <v>15.888888888888889</v>
      </c>
    </row>
    <row r="6835" spans="2:5">
      <c r="B6835" s="943">
        <v>45203</v>
      </c>
      <c r="C6835" s="195">
        <f t="shared" si="213"/>
        <v>10</v>
      </c>
      <c r="D6835" s="195">
        <v>60.6</v>
      </c>
      <c r="E6835" s="705">
        <f t="shared" si="214"/>
        <v>15.888888888888889</v>
      </c>
    </row>
    <row r="6836" spans="2:5">
      <c r="B6836" s="943">
        <v>45203</v>
      </c>
      <c r="C6836" s="195">
        <f t="shared" si="213"/>
        <v>10</v>
      </c>
      <c r="D6836" s="195">
        <v>60.6</v>
      </c>
      <c r="E6836" s="705">
        <f t="shared" si="214"/>
        <v>15.888888888888889</v>
      </c>
    </row>
    <row r="6837" spans="2:5">
      <c r="B6837" s="943">
        <v>45203</v>
      </c>
      <c r="C6837" s="195">
        <f t="shared" si="213"/>
        <v>10</v>
      </c>
      <c r="D6837" s="195">
        <v>61.2</v>
      </c>
      <c r="E6837" s="705">
        <f t="shared" si="214"/>
        <v>16.222222222222225</v>
      </c>
    </row>
    <row r="6838" spans="2:5">
      <c r="B6838" s="943">
        <v>45203</v>
      </c>
      <c r="C6838" s="195">
        <f t="shared" si="213"/>
        <v>10</v>
      </c>
      <c r="D6838" s="195">
        <v>61.9</v>
      </c>
      <c r="E6838" s="705">
        <f t="shared" si="214"/>
        <v>16.611111111111111</v>
      </c>
    </row>
    <row r="6839" spans="2:5">
      <c r="B6839" s="943">
        <v>45203</v>
      </c>
      <c r="C6839" s="195">
        <f t="shared" si="213"/>
        <v>10</v>
      </c>
      <c r="D6839" s="195">
        <v>62.2</v>
      </c>
      <c r="E6839" s="705">
        <f t="shared" si="214"/>
        <v>16.777777777777779</v>
      </c>
    </row>
    <row r="6840" spans="2:5">
      <c r="B6840" s="943">
        <v>45203</v>
      </c>
      <c r="C6840" s="195">
        <f t="shared" si="213"/>
        <v>10</v>
      </c>
      <c r="D6840" s="195">
        <v>62.6</v>
      </c>
      <c r="E6840" s="705">
        <f t="shared" si="214"/>
        <v>17</v>
      </c>
    </row>
    <row r="6841" spans="2:5">
      <c r="B6841" s="943">
        <v>45203</v>
      </c>
      <c r="C6841" s="195">
        <f t="shared" si="213"/>
        <v>10</v>
      </c>
      <c r="D6841" s="195">
        <v>62.8</v>
      </c>
      <c r="E6841" s="705">
        <f t="shared" si="214"/>
        <v>17.111111111111111</v>
      </c>
    </row>
    <row r="6842" spans="2:5">
      <c r="B6842" s="943">
        <v>45203</v>
      </c>
      <c r="C6842" s="195">
        <f t="shared" si="213"/>
        <v>10</v>
      </c>
      <c r="D6842" s="195">
        <v>62.1</v>
      </c>
      <c r="E6842" s="705">
        <f t="shared" si="214"/>
        <v>16.722222222222221</v>
      </c>
    </row>
    <row r="6843" spans="2:5">
      <c r="B6843" s="943">
        <v>45203</v>
      </c>
      <c r="C6843" s="195">
        <f t="shared" si="213"/>
        <v>10</v>
      </c>
      <c r="D6843" s="195">
        <v>61.5</v>
      </c>
      <c r="E6843" s="705">
        <f t="shared" si="214"/>
        <v>16.388888888888889</v>
      </c>
    </row>
    <row r="6844" spans="2:5">
      <c r="B6844" s="943">
        <v>45203</v>
      </c>
      <c r="C6844" s="195">
        <f t="shared" si="213"/>
        <v>10</v>
      </c>
      <c r="D6844" s="195">
        <v>61.3</v>
      </c>
      <c r="E6844" s="705">
        <f t="shared" si="214"/>
        <v>16.277777777777775</v>
      </c>
    </row>
    <row r="6845" spans="2:5">
      <c r="B6845" s="943">
        <v>45203</v>
      </c>
      <c r="C6845" s="195">
        <f t="shared" si="213"/>
        <v>10</v>
      </c>
      <c r="D6845" s="195" t="s">
        <v>1442</v>
      </c>
      <c r="E6845" s="705">
        <f t="shared" si="214"/>
        <v>16.111111111111111</v>
      </c>
    </row>
    <row r="6846" spans="2:5">
      <c r="B6846" s="943">
        <v>45203</v>
      </c>
      <c r="C6846" s="195">
        <f t="shared" si="213"/>
        <v>10</v>
      </c>
      <c r="D6846" s="195">
        <v>60.8</v>
      </c>
      <c r="E6846" s="705">
        <f t="shared" si="214"/>
        <v>15.999999999999998</v>
      </c>
    </row>
    <row r="6847" spans="2:5">
      <c r="B6847" s="943">
        <v>45203</v>
      </c>
      <c r="C6847" s="195">
        <f t="shared" si="213"/>
        <v>10</v>
      </c>
      <c r="D6847" s="195">
        <v>60.8</v>
      </c>
      <c r="E6847" s="705">
        <f t="shared" si="214"/>
        <v>15.999999999999998</v>
      </c>
    </row>
    <row r="6848" spans="2:5">
      <c r="B6848" s="943">
        <v>45203</v>
      </c>
      <c r="C6848" s="195">
        <f t="shared" si="213"/>
        <v>10</v>
      </c>
      <c r="D6848" s="195" t="s">
        <v>1442</v>
      </c>
      <c r="E6848" s="705">
        <f t="shared" si="214"/>
        <v>16.111111111111111</v>
      </c>
    </row>
    <row r="6849" spans="2:5">
      <c r="B6849" s="943">
        <v>45204</v>
      </c>
      <c r="C6849" s="195">
        <f t="shared" si="213"/>
        <v>10</v>
      </c>
      <c r="D6849" s="195">
        <v>61.5</v>
      </c>
      <c r="E6849" s="705">
        <f t="shared" si="214"/>
        <v>16.388888888888889</v>
      </c>
    </row>
    <row r="6850" spans="2:5">
      <c r="B6850" s="943">
        <v>45204</v>
      </c>
      <c r="C6850" s="195">
        <f t="shared" si="213"/>
        <v>10</v>
      </c>
      <c r="D6850" s="195">
        <v>62.1</v>
      </c>
      <c r="E6850" s="705">
        <f t="shared" si="214"/>
        <v>16.722222222222221</v>
      </c>
    </row>
    <row r="6851" spans="2:5">
      <c r="B6851" s="943">
        <v>45204</v>
      </c>
      <c r="C6851" s="195">
        <f t="shared" si="213"/>
        <v>10</v>
      </c>
      <c r="D6851" s="195">
        <v>62.4</v>
      </c>
      <c r="E6851" s="705">
        <f t="shared" si="214"/>
        <v>16.888888888888889</v>
      </c>
    </row>
    <row r="6852" spans="2:5">
      <c r="B6852" s="943">
        <v>45204</v>
      </c>
      <c r="C6852" s="195">
        <f t="shared" si="213"/>
        <v>10</v>
      </c>
      <c r="D6852" s="195">
        <v>62.8</v>
      </c>
      <c r="E6852" s="705">
        <f t="shared" si="214"/>
        <v>17.111111111111111</v>
      </c>
    </row>
    <row r="6853" spans="2:5">
      <c r="B6853" s="943">
        <v>45204</v>
      </c>
      <c r="C6853" s="195">
        <f t="shared" si="213"/>
        <v>10</v>
      </c>
      <c r="D6853" s="195">
        <v>63.1</v>
      </c>
      <c r="E6853" s="705">
        <f t="shared" si="214"/>
        <v>17.277777777777779</v>
      </c>
    </row>
    <row r="6854" spans="2:5">
      <c r="B6854" s="943">
        <v>45204</v>
      </c>
      <c r="C6854" s="195">
        <f t="shared" si="213"/>
        <v>10</v>
      </c>
      <c r="D6854" s="195">
        <v>63.1</v>
      </c>
      <c r="E6854" s="705">
        <f t="shared" si="214"/>
        <v>17.277777777777779</v>
      </c>
    </row>
    <row r="6855" spans="2:5">
      <c r="B6855" s="943">
        <v>45204</v>
      </c>
      <c r="C6855" s="195">
        <f t="shared" si="213"/>
        <v>10</v>
      </c>
      <c r="D6855" s="195">
        <v>62.4</v>
      </c>
      <c r="E6855" s="705">
        <f t="shared" si="214"/>
        <v>16.888888888888889</v>
      </c>
    </row>
    <row r="6856" spans="2:5">
      <c r="B6856" s="943">
        <v>45204</v>
      </c>
      <c r="C6856" s="195">
        <f t="shared" si="213"/>
        <v>10</v>
      </c>
      <c r="D6856" s="195">
        <v>62.1</v>
      </c>
      <c r="E6856" s="705">
        <f t="shared" si="214"/>
        <v>16.722222222222221</v>
      </c>
    </row>
    <row r="6857" spans="2:5">
      <c r="B6857" s="943">
        <v>45204</v>
      </c>
      <c r="C6857" s="195">
        <f t="shared" si="213"/>
        <v>10</v>
      </c>
      <c r="D6857" s="195">
        <v>61.9</v>
      </c>
      <c r="E6857" s="705">
        <f t="shared" si="214"/>
        <v>16.611111111111111</v>
      </c>
    </row>
    <row r="6858" spans="2:5">
      <c r="B6858" s="943">
        <v>45204</v>
      </c>
      <c r="C6858" s="195">
        <f t="shared" ref="C6858:C6921" si="215">MONTH(B6858)</f>
        <v>10</v>
      </c>
      <c r="D6858" s="195">
        <v>61.7</v>
      </c>
      <c r="E6858" s="705">
        <f t="shared" ref="E6858:E6921" si="216">CONVERT(D6858,"F","C")</f>
        <v>16.5</v>
      </c>
    </row>
    <row r="6859" spans="2:5">
      <c r="B6859" s="943">
        <v>45204</v>
      </c>
      <c r="C6859" s="195">
        <f t="shared" si="215"/>
        <v>10</v>
      </c>
      <c r="D6859" s="195">
        <v>61.5</v>
      </c>
      <c r="E6859" s="705">
        <f t="shared" si="216"/>
        <v>16.388888888888889</v>
      </c>
    </row>
    <row r="6860" spans="2:5">
      <c r="B6860" s="943">
        <v>45204</v>
      </c>
      <c r="C6860" s="195">
        <f t="shared" si="215"/>
        <v>10</v>
      </c>
      <c r="D6860" s="195">
        <v>61.5</v>
      </c>
      <c r="E6860" s="705">
        <f t="shared" si="216"/>
        <v>16.388888888888889</v>
      </c>
    </row>
    <row r="6861" spans="2:5">
      <c r="B6861" s="943">
        <v>45204</v>
      </c>
      <c r="C6861" s="195">
        <f t="shared" si="215"/>
        <v>10</v>
      </c>
      <c r="D6861" s="195">
        <v>61.5</v>
      </c>
      <c r="E6861" s="705">
        <f t="shared" si="216"/>
        <v>16.388888888888889</v>
      </c>
    </row>
    <row r="6862" spans="2:5">
      <c r="B6862" s="943">
        <v>45204</v>
      </c>
      <c r="C6862" s="195">
        <f t="shared" si="215"/>
        <v>10</v>
      </c>
      <c r="D6862" s="195">
        <v>61.9</v>
      </c>
      <c r="E6862" s="705">
        <f t="shared" si="216"/>
        <v>16.611111111111111</v>
      </c>
    </row>
    <row r="6863" spans="2:5">
      <c r="B6863" s="943">
        <v>45204</v>
      </c>
      <c r="C6863" s="195">
        <f t="shared" si="215"/>
        <v>10</v>
      </c>
      <c r="D6863" s="195">
        <v>62.4</v>
      </c>
      <c r="E6863" s="705">
        <f t="shared" si="216"/>
        <v>16.888888888888889</v>
      </c>
    </row>
    <row r="6864" spans="2:5">
      <c r="B6864" s="943">
        <v>45204</v>
      </c>
      <c r="C6864" s="195">
        <f t="shared" si="215"/>
        <v>10</v>
      </c>
      <c r="D6864" s="195">
        <v>62.8</v>
      </c>
      <c r="E6864" s="705">
        <f t="shared" si="216"/>
        <v>17.111111111111111</v>
      </c>
    </row>
    <row r="6865" spans="2:5">
      <c r="B6865" s="943">
        <v>45204</v>
      </c>
      <c r="C6865" s="195">
        <f t="shared" si="215"/>
        <v>10</v>
      </c>
      <c r="D6865" s="195" t="s">
        <v>1443</v>
      </c>
      <c r="E6865" s="705">
        <f t="shared" si="216"/>
        <v>17.222222222222221</v>
      </c>
    </row>
    <row r="6866" spans="2:5">
      <c r="B6866" s="943">
        <v>45204</v>
      </c>
      <c r="C6866" s="195">
        <f t="shared" si="215"/>
        <v>10</v>
      </c>
      <c r="D6866" s="195" t="s">
        <v>1443</v>
      </c>
      <c r="E6866" s="705">
        <f t="shared" si="216"/>
        <v>17.222222222222221</v>
      </c>
    </row>
    <row r="6867" spans="2:5">
      <c r="B6867" s="943">
        <v>45204</v>
      </c>
      <c r="C6867" s="195">
        <f t="shared" si="215"/>
        <v>10</v>
      </c>
      <c r="D6867" s="195">
        <v>62.2</v>
      </c>
      <c r="E6867" s="705">
        <f t="shared" si="216"/>
        <v>16.777777777777779</v>
      </c>
    </row>
    <row r="6868" spans="2:5">
      <c r="B6868" s="943">
        <v>45204</v>
      </c>
      <c r="C6868" s="195">
        <f t="shared" si="215"/>
        <v>10</v>
      </c>
      <c r="D6868" s="195">
        <v>61.9</v>
      </c>
      <c r="E6868" s="705">
        <f t="shared" si="216"/>
        <v>16.611111111111111</v>
      </c>
    </row>
    <row r="6869" spans="2:5">
      <c r="B6869" s="943">
        <v>45204</v>
      </c>
      <c r="C6869" s="195">
        <f t="shared" si="215"/>
        <v>10</v>
      </c>
      <c r="D6869" s="195">
        <v>61.9</v>
      </c>
      <c r="E6869" s="705">
        <f t="shared" si="216"/>
        <v>16.611111111111111</v>
      </c>
    </row>
    <row r="6870" spans="2:5">
      <c r="B6870" s="943">
        <v>45204</v>
      </c>
      <c r="C6870" s="195">
        <f t="shared" si="215"/>
        <v>10</v>
      </c>
      <c r="D6870" s="195">
        <v>61.5</v>
      </c>
      <c r="E6870" s="705">
        <f t="shared" si="216"/>
        <v>16.388888888888889</v>
      </c>
    </row>
    <row r="6871" spans="2:5">
      <c r="B6871" s="943">
        <v>45204</v>
      </c>
      <c r="C6871" s="195">
        <f t="shared" si="215"/>
        <v>10</v>
      </c>
      <c r="D6871" s="195">
        <v>61.3</v>
      </c>
      <c r="E6871" s="705">
        <f t="shared" si="216"/>
        <v>16.277777777777775</v>
      </c>
    </row>
    <row r="6872" spans="2:5">
      <c r="B6872" s="943">
        <v>45204</v>
      </c>
      <c r="C6872" s="195">
        <f t="shared" si="215"/>
        <v>10</v>
      </c>
      <c r="D6872" s="195">
        <v>61.3</v>
      </c>
      <c r="E6872" s="705">
        <f t="shared" si="216"/>
        <v>16.277777777777775</v>
      </c>
    </row>
    <row r="6873" spans="2:5">
      <c r="B6873" s="943">
        <v>45205</v>
      </c>
      <c r="C6873" s="195">
        <f t="shared" si="215"/>
        <v>10</v>
      </c>
      <c r="D6873" s="195">
        <v>61.5</v>
      </c>
      <c r="E6873" s="705">
        <f t="shared" si="216"/>
        <v>16.388888888888889</v>
      </c>
    </row>
    <row r="6874" spans="2:5">
      <c r="B6874" s="943">
        <v>45205</v>
      </c>
      <c r="C6874" s="195">
        <f t="shared" si="215"/>
        <v>10</v>
      </c>
      <c r="D6874" s="195">
        <v>61.9</v>
      </c>
      <c r="E6874" s="705">
        <f t="shared" si="216"/>
        <v>16.611111111111111</v>
      </c>
    </row>
    <row r="6875" spans="2:5">
      <c r="B6875" s="943">
        <v>45205</v>
      </c>
      <c r="C6875" s="195">
        <f t="shared" si="215"/>
        <v>10</v>
      </c>
      <c r="D6875" s="195">
        <v>62.4</v>
      </c>
      <c r="E6875" s="705">
        <f t="shared" si="216"/>
        <v>16.888888888888889</v>
      </c>
    </row>
    <row r="6876" spans="2:5">
      <c r="B6876" s="943">
        <v>45205</v>
      </c>
      <c r="C6876" s="195">
        <f t="shared" si="215"/>
        <v>10</v>
      </c>
      <c r="D6876" s="195">
        <v>62.8</v>
      </c>
      <c r="E6876" s="705">
        <f t="shared" si="216"/>
        <v>17.111111111111111</v>
      </c>
    </row>
    <row r="6877" spans="2:5">
      <c r="B6877" s="943">
        <v>45205</v>
      </c>
      <c r="C6877" s="195">
        <f t="shared" si="215"/>
        <v>10</v>
      </c>
      <c r="D6877" s="195">
        <v>63.1</v>
      </c>
      <c r="E6877" s="705">
        <f t="shared" si="216"/>
        <v>17.277777777777779</v>
      </c>
    </row>
    <row r="6878" spans="2:5">
      <c r="B6878" s="943">
        <v>45205</v>
      </c>
      <c r="C6878" s="195">
        <f t="shared" si="215"/>
        <v>10</v>
      </c>
      <c r="D6878" s="195">
        <v>63.3</v>
      </c>
      <c r="E6878" s="705">
        <f t="shared" si="216"/>
        <v>17.388888888888886</v>
      </c>
    </row>
    <row r="6879" spans="2:5">
      <c r="B6879" s="943">
        <v>45205</v>
      </c>
      <c r="C6879" s="195">
        <f t="shared" si="215"/>
        <v>10</v>
      </c>
      <c r="D6879" s="195">
        <v>63.3</v>
      </c>
      <c r="E6879" s="705">
        <f t="shared" si="216"/>
        <v>17.388888888888886</v>
      </c>
    </row>
    <row r="6880" spans="2:5">
      <c r="B6880" s="943">
        <v>45205</v>
      </c>
      <c r="C6880" s="195">
        <f t="shared" si="215"/>
        <v>10</v>
      </c>
      <c r="D6880" s="195">
        <v>62.8</v>
      </c>
      <c r="E6880" s="705">
        <f t="shared" si="216"/>
        <v>17.111111111111111</v>
      </c>
    </row>
    <row r="6881" spans="2:5">
      <c r="B6881" s="943">
        <v>45205</v>
      </c>
      <c r="C6881" s="195">
        <f t="shared" si="215"/>
        <v>10</v>
      </c>
      <c r="D6881" s="195">
        <v>62.4</v>
      </c>
      <c r="E6881" s="705">
        <f t="shared" si="216"/>
        <v>16.888888888888889</v>
      </c>
    </row>
    <row r="6882" spans="2:5">
      <c r="B6882" s="943">
        <v>45205</v>
      </c>
      <c r="C6882" s="195">
        <f t="shared" si="215"/>
        <v>10</v>
      </c>
      <c r="D6882" s="195">
        <v>61.9</v>
      </c>
      <c r="E6882" s="705">
        <f t="shared" si="216"/>
        <v>16.611111111111111</v>
      </c>
    </row>
    <row r="6883" spans="2:5">
      <c r="B6883" s="943">
        <v>45205</v>
      </c>
      <c r="C6883" s="195">
        <f t="shared" si="215"/>
        <v>10</v>
      </c>
      <c r="D6883" s="195">
        <v>61.5</v>
      </c>
      <c r="E6883" s="705">
        <f t="shared" si="216"/>
        <v>16.388888888888889</v>
      </c>
    </row>
    <row r="6884" spans="2:5">
      <c r="B6884" s="943">
        <v>45205</v>
      </c>
      <c r="C6884" s="195">
        <f t="shared" si="215"/>
        <v>10</v>
      </c>
      <c r="D6884" s="195">
        <v>61.3</v>
      </c>
      <c r="E6884" s="705">
        <f t="shared" si="216"/>
        <v>16.277777777777775</v>
      </c>
    </row>
    <row r="6885" spans="2:5">
      <c r="B6885" s="943">
        <v>45205</v>
      </c>
      <c r="C6885" s="195">
        <f t="shared" si="215"/>
        <v>10</v>
      </c>
      <c r="D6885" s="195">
        <v>61.2</v>
      </c>
      <c r="E6885" s="705">
        <f t="shared" si="216"/>
        <v>16.222222222222225</v>
      </c>
    </row>
    <row r="6886" spans="2:5">
      <c r="B6886" s="943">
        <v>45205</v>
      </c>
      <c r="C6886" s="195">
        <f t="shared" si="215"/>
        <v>10</v>
      </c>
      <c r="D6886" s="195">
        <v>61.5</v>
      </c>
      <c r="E6886" s="705">
        <f t="shared" si="216"/>
        <v>16.388888888888889</v>
      </c>
    </row>
    <row r="6887" spans="2:5">
      <c r="B6887" s="943">
        <v>45205</v>
      </c>
      <c r="C6887" s="195">
        <f t="shared" si="215"/>
        <v>10</v>
      </c>
      <c r="D6887" s="195">
        <v>61.9</v>
      </c>
      <c r="E6887" s="705">
        <f t="shared" si="216"/>
        <v>16.611111111111111</v>
      </c>
    </row>
    <row r="6888" spans="2:5">
      <c r="B6888" s="943">
        <v>45205</v>
      </c>
      <c r="C6888" s="195">
        <f t="shared" si="215"/>
        <v>10</v>
      </c>
      <c r="D6888" s="195">
        <v>62.6</v>
      </c>
      <c r="E6888" s="705">
        <f t="shared" si="216"/>
        <v>17</v>
      </c>
    </row>
    <row r="6889" spans="2:5">
      <c r="B6889" s="943">
        <v>45205</v>
      </c>
      <c r="C6889" s="195">
        <f t="shared" si="215"/>
        <v>10</v>
      </c>
      <c r="D6889" s="195" t="s">
        <v>1443</v>
      </c>
      <c r="E6889" s="705">
        <f t="shared" si="216"/>
        <v>17.222222222222221</v>
      </c>
    </row>
    <row r="6890" spans="2:5">
      <c r="B6890" s="943">
        <v>45205</v>
      </c>
      <c r="C6890" s="195">
        <f t="shared" si="215"/>
        <v>10</v>
      </c>
      <c r="D6890" s="195">
        <v>63.3</v>
      </c>
      <c r="E6890" s="705">
        <f t="shared" si="216"/>
        <v>17.388888888888886</v>
      </c>
    </row>
    <row r="6891" spans="2:5">
      <c r="B6891" s="943">
        <v>45205</v>
      </c>
      <c r="C6891" s="195">
        <f t="shared" si="215"/>
        <v>10</v>
      </c>
      <c r="D6891" s="195">
        <v>63.3</v>
      </c>
      <c r="E6891" s="705">
        <f t="shared" si="216"/>
        <v>17.388888888888886</v>
      </c>
    </row>
    <row r="6892" spans="2:5">
      <c r="B6892" s="943">
        <v>45205</v>
      </c>
      <c r="C6892" s="195">
        <f t="shared" si="215"/>
        <v>10</v>
      </c>
      <c r="D6892" s="195">
        <v>62.4</v>
      </c>
      <c r="E6892" s="705">
        <f t="shared" si="216"/>
        <v>16.888888888888889</v>
      </c>
    </row>
    <row r="6893" spans="2:5">
      <c r="B6893" s="943">
        <v>45205</v>
      </c>
      <c r="C6893" s="195">
        <f t="shared" si="215"/>
        <v>10</v>
      </c>
      <c r="D6893" s="195">
        <v>61.7</v>
      </c>
      <c r="E6893" s="705">
        <f t="shared" si="216"/>
        <v>16.5</v>
      </c>
    </row>
    <row r="6894" spans="2:5">
      <c r="B6894" s="943">
        <v>45205</v>
      </c>
      <c r="C6894" s="195">
        <f t="shared" si="215"/>
        <v>10</v>
      </c>
      <c r="D6894" s="195">
        <v>60.8</v>
      </c>
      <c r="E6894" s="705">
        <f t="shared" si="216"/>
        <v>15.999999999999998</v>
      </c>
    </row>
    <row r="6895" spans="2:5">
      <c r="B6895" s="943">
        <v>45205</v>
      </c>
      <c r="C6895" s="195">
        <f t="shared" si="215"/>
        <v>10</v>
      </c>
      <c r="D6895" s="195">
        <v>60.3</v>
      </c>
      <c r="E6895" s="705">
        <f t="shared" si="216"/>
        <v>15.72222222222222</v>
      </c>
    </row>
    <row r="6896" spans="2:5">
      <c r="B6896" s="943">
        <v>45205</v>
      </c>
      <c r="C6896" s="195">
        <f t="shared" si="215"/>
        <v>10</v>
      </c>
      <c r="D6896" s="195">
        <v>60.3</v>
      </c>
      <c r="E6896" s="705">
        <f t="shared" si="216"/>
        <v>15.72222222222222</v>
      </c>
    </row>
    <row r="6897" spans="2:5">
      <c r="B6897" s="943">
        <v>45206</v>
      </c>
      <c r="C6897" s="195">
        <f t="shared" si="215"/>
        <v>10</v>
      </c>
      <c r="D6897" s="195">
        <v>60.4</v>
      </c>
      <c r="E6897" s="705">
        <f t="shared" si="216"/>
        <v>15.777777777777777</v>
      </c>
    </row>
    <row r="6898" spans="2:5">
      <c r="B6898" s="943">
        <v>45206</v>
      </c>
      <c r="C6898" s="195">
        <f t="shared" si="215"/>
        <v>10</v>
      </c>
      <c r="D6898" s="195">
        <v>60.4</v>
      </c>
      <c r="E6898" s="705">
        <f t="shared" si="216"/>
        <v>15.777777777777777</v>
      </c>
    </row>
    <row r="6899" spans="2:5">
      <c r="B6899" s="943">
        <v>45206</v>
      </c>
      <c r="C6899" s="195">
        <f t="shared" si="215"/>
        <v>10</v>
      </c>
      <c r="D6899" s="195">
        <v>61.2</v>
      </c>
      <c r="E6899" s="705">
        <f t="shared" si="216"/>
        <v>16.222222222222225</v>
      </c>
    </row>
    <row r="6900" spans="2:5">
      <c r="B6900" s="943">
        <v>45206</v>
      </c>
      <c r="C6900" s="195">
        <f t="shared" si="215"/>
        <v>10</v>
      </c>
      <c r="D6900" s="195">
        <v>62.1</v>
      </c>
      <c r="E6900" s="705">
        <f t="shared" si="216"/>
        <v>16.722222222222221</v>
      </c>
    </row>
    <row r="6901" spans="2:5">
      <c r="B6901" s="943">
        <v>45206</v>
      </c>
      <c r="C6901" s="195">
        <f t="shared" si="215"/>
        <v>10</v>
      </c>
      <c r="D6901" s="195">
        <v>62.8</v>
      </c>
      <c r="E6901" s="705">
        <f t="shared" si="216"/>
        <v>17.111111111111111</v>
      </c>
    </row>
    <row r="6902" spans="2:5">
      <c r="B6902" s="943">
        <v>45206</v>
      </c>
      <c r="C6902" s="195">
        <f t="shared" si="215"/>
        <v>10</v>
      </c>
      <c r="D6902" s="195">
        <v>63.1</v>
      </c>
      <c r="E6902" s="705">
        <f t="shared" si="216"/>
        <v>17.277777777777779</v>
      </c>
    </row>
    <row r="6903" spans="2:5">
      <c r="B6903" s="943">
        <v>45206</v>
      </c>
      <c r="C6903" s="195">
        <f t="shared" si="215"/>
        <v>10</v>
      </c>
      <c r="D6903" s="195">
        <v>63.5</v>
      </c>
      <c r="E6903" s="705">
        <f t="shared" si="216"/>
        <v>17.5</v>
      </c>
    </row>
    <row r="6904" spans="2:5">
      <c r="B6904" s="943">
        <v>45206</v>
      </c>
      <c r="C6904" s="195">
        <f t="shared" si="215"/>
        <v>10</v>
      </c>
      <c r="D6904" s="195">
        <v>63.3</v>
      </c>
      <c r="E6904" s="705">
        <f t="shared" si="216"/>
        <v>17.388888888888886</v>
      </c>
    </row>
    <row r="6905" spans="2:5">
      <c r="B6905" s="943">
        <v>45206</v>
      </c>
      <c r="C6905" s="195">
        <f t="shared" si="215"/>
        <v>10</v>
      </c>
      <c r="D6905" s="195">
        <v>62.4</v>
      </c>
      <c r="E6905" s="705">
        <f t="shared" si="216"/>
        <v>16.888888888888889</v>
      </c>
    </row>
    <row r="6906" spans="2:5">
      <c r="B6906" s="943">
        <v>45206</v>
      </c>
      <c r="C6906" s="195">
        <f t="shared" si="215"/>
        <v>10</v>
      </c>
      <c r="D6906" s="195">
        <v>61.9</v>
      </c>
      <c r="E6906" s="705">
        <f t="shared" si="216"/>
        <v>16.611111111111111</v>
      </c>
    </row>
    <row r="6907" spans="2:5">
      <c r="B6907" s="943">
        <v>45206</v>
      </c>
      <c r="C6907" s="195">
        <f t="shared" si="215"/>
        <v>10</v>
      </c>
      <c r="D6907" s="195">
        <v>61.2</v>
      </c>
      <c r="E6907" s="705">
        <f t="shared" si="216"/>
        <v>16.222222222222225</v>
      </c>
    </row>
    <row r="6908" spans="2:5">
      <c r="B6908" s="943">
        <v>45206</v>
      </c>
      <c r="C6908" s="195">
        <f t="shared" si="215"/>
        <v>10</v>
      </c>
      <c r="D6908" s="195" t="s">
        <v>1442</v>
      </c>
      <c r="E6908" s="705">
        <f t="shared" si="216"/>
        <v>16.111111111111111</v>
      </c>
    </row>
    <row r="6909" spans="2:5">
      <c r="B6909" s="943">
        <v>45206</v>
      </c>
      <c r="C6909" s="195">
        <f t="shared" si="215"/>
        <v>10</v>
      </c>
      <c r="D6909" s="195">
        <v>60.8</v>
      </c>
      <c r="E6909" s="705">
        <f t="shared" si="216"/>
        <v>15.999999999999998</v>
      </c>
    </row>
    <row r="6910" spans="2:5">
      <c r="B6910" s="943">
        <v>45206</v>
      </c>
      <c r="C6910" s="195">
        <f t="shared" si="215"/>
        <v>10</v>
      </c>
      <c r="D6910" s="195">
        <v>60.6</v>
      </c>
      <c r="E6910" s="705">
        <f t="shared" si="216"/>
        <v>15.888888888888889</v>
      </c>
    </row>
    <row r="6911" spans="2:5">
      <c r="B6911" s="943">
        <v>45206</v>
      </c>
      <c r="C6911" s="195">
        <f t="shared" si="215"/>
        <v>10</v>
      </c>
      <c r="D6911" s="195">
        <v>60.8</v>
      </c>
      <c r="E6911" s="705">
        <f t="shared" si="216"/>
        <v>15.999999999999998</v>
      </c>
    </row>
    <row r="6912" spans="2:5">
      <c r="B6912" s="943">
        <v>45206</v>
      </c>
      <c r="C6912" s="195">
        <f t="shared" si="215"/>
        <v>10</v>
      </c>
      <c r="D6912" s="195">
        <v>61.5</v>
      </c>
      <c r="E6912" s="705">
        <f t="shared" si="216"/>
        <v>16.388888888888889</v>
      </c>
    </row>
    <row r="6913" spans="2:5">
      <c r="B6913" s="943">
        <v>45206</v>
      </c>
      <c r="C6913" s="195">
        <f t="shared" si="215"/>
        <v>10</v>
      </c>
      <c r="D6913" s="195">
        <v>62.1</v>
      </c>
      <c r="E6913" s="705">
        <f t="shared" si="216"/>
        <v>16.722222222222221</v>
      </c>
    </row>
    <row r="6914" spans="2:5">
      <c r="B6914" s="943">
        <v>45206</v>
      </c>
      <c r="C6914" s="195">
        <f t="shared" si="215"/>
        <v>10</v>
      </c>
      <c r="D6914" s="195">
        <v>62.8</v>
      </c>
      <c r="E6914" s="705">
        <f t="shared" si="216"/>
        <v>17.111111111111111</v>
      </c>
    </row>
    <row r="6915" spans="2:5">
      <c r="B6915" s="943">
        <v>45206</v>
      </c>
      <c r="C6915" s="195">
        <f t="shared" si="215"/>
        <v>10</v>
      </c>
      <c r="D6915" s="195" t="s">
        <v>1443</v>
      </c>
      <c r="E6915" s="705">
        <f t="shared" si="216"/>
        <v>17.222222222222221</v>
      </c>
    </row>
    <row r="6916" spans="2:5">
      <c r="B6916" s="943">
        <v>45206</v>
      </c>
      <c r="C6916" s="195">
        <f t="shared" si="215"/>
        <v>10</v>
      </c>
      <c r="D6916" s="195" t="s">
        <v>1443</v>
      </c>
      <c r="E6916" s="705">
        <f t="shared" si="216"/>
        <v>17.222222222222221</v>
      </c>
    </row>
    <row r="6917" spans="2:5">
      <c r="B6917" s="943">
        <v>45206</v>
      </c>
      <c r="C6917" s="195">
        <f t="shared" si="215"/>
        <v>10</v>
      </c>
      <c r="D6917" s="195">
        <v>62.1</v>
      </c>
      <c r="E6917" s="705">
        <f t="shared" si="216"/>
        <v>16.722222222222221</v>
      </c>
    </row>
    <row r="6918" spans="2:5">
      <c r="B6918" s="943">
        <v>45206</v>
      </c>
      <c r="C6918" s="195">
        <f t="shared" si="215"/>
        <v>10</v>
      </c>
      <c r="D6918" s="195">
        <v>61.5</v>
      </c>
      <c r="E6918" s="705">
        <f t="shared" si="216"/>
        <v>16.388888888888889</v>
      </c>
    </row>
    <row r="6919" spans="2:5">
      <c r="B6919" s="943">
        <v>45206</v>
      </c>
      <c r="C6919" s="195">
        <f t="shared" si="215"/>
        <v>10</v>
      </c>
      <c r="D6919" s="195">
        <v>61.3</v>
      </c>
      <c r="E6919" s="705">
        <f t="shared" si="216"/>
        <v>16.277777777777775</v>
      </c>
    </row>
    <row r="6920" spans="2:5">
      <c r="B6920" s="943">
        <v>45206</v>
      </c>
      <c r="C6920" s="195">
        <f t="shared" si="215"/>
        <v>10</v>
      </c>
      <c r="D6920" s="195">
        <v>61.2</v>
      </c>
      <c r="E6920" s="705">
        <f t="shared" si="216"/>
        <v>16.222222222222225</v>
      </c>
    </row>
    <row r="6921" spans="2:5">
      <c r="B6921" s="943">
        <v>45207</v>
      </c>
      <c r="C6921" s="195">
        <f t="shared" si="215"/>
        <v>10</v>
      </c>
      <c r="D6921" s="195">
        <v>60.8</v>
      </c>
      <c r="E6921" s="705">
        <f t="shared" si="216"/>
        <v>15.999999999999998</v>
      </c>
    </row>
    <row r="6922" spans="2:5">
      <c r="B6922" s="943">
        <v>45207</v>
      </c>
      <c r="C6922" s="195">
        <f t="shared" ref="C6922:C6985" si="217">MONTH(B6922)</f>
        <v>10</v>
      </c>
      <c r="D6922" s="195">
        <v>60.6</v>
      </c>
      <c r="E6922" s="705">
        <f t="shared" ref="E6922:E6985" si="218">CONVERT(D6922,"F","C")</f>
        <v>15.888888888888889</v>
      </c>
    </row>
    <row r="6923" spans="2:5">
      <c r="B6923" s="943">
        <v>45207</v>
      </c>
      <c r="C6923" s="195">
        <f t="shared" si="217"/>
        <v>10</v>
      </c>
      <c r="D6923" s="195" t="s">
        <v>1442</v>
      </c>
      <c r="E6923" s="705">
        <f t="shared" si="218"/>
        <v>16.111111111111111</v>
      </c>
    </row>
    <row r="6924" spans="2:5">
      <c r="B6924" s="943">
        <v>45207</v>
      </c>
      <c r="C6924" s="195">
        <f t="shared" si="217"/>
        <v>10</v>
      </c>
      <c r="D6924" s="195">
        <v>61.3</v>
      </c>
      <c r="E6924" s="705">
        <f t="shared" si="218"/>
        <v>16.277777777777775</v>
      </c>
    </row>
    <row r="6925" spans="2:5">
      <c r="B6925" s="943">
        <v>45207</v>
      </c>
      <c r="C6925" s="195">
        <f t="shared" si="217"/>
        <v>10</v>
      </c>
      <c r="D6925" s="195">
        <v>61.7</v>
      </c>
      <c r="E6925" s="705">
        <f t="shared" si="218"/>
        <v>16.5</v>
      </c>
    </row>
    <row r="6926" spans="2:5">
      <c r="B6926" s="943">
        <v>45207</v>
      </c>
      <c r="C6926" s="195">
        <f t="shared" si="217"/>
        <v>10</v>
      </c>
      <c r="D6926" s="195">
        <v>62.2</v>
      </c>
      <c r="E6926" s="705">
        <f t="shared" si="218"/>
        <v>16.777777777777779</v>
      </c>
    </row>
    <row r="6927" spans="2:5">
      <c r="B6927" s="943">
        <v>45207</v>
      </c>
      <c r="C6927" s="195">
        <f t="shared" si="217"/>
        <v>10</v>
      </c>
      <c r="D6927" s="195">
        <v>62.6</v>
      </c>
      <c r="E6927" s="705">
        <f t="shared" si="218"/>
        <v>17</v>
      </c>
    </row>
    <row r="6928" spans="2:5">
      <c r="B6928" s="943">
        <v>45207</v>
      </c>
      <c r="C6928" s="195">
        <f t="shared" si="217"/>
        <v>10</v>
      </c>
      <c r="D6928" s="195" t="s">
        <v>1443</v>
      </c>
      <c r="E6928" s="705">
        <f t="shared" si="218"/>
        <v>17.222222222222221</v>
      </c>
    </row>
    <row r="6929" spans="2:5">
      <c r="B6929" s="943">
        <v>45207</v>
      </c>
      <c r="C6929" s="195">
        <f t="shared" si="217"/>
        <v>10</v>
      </c>
      <c r="D6929" s="195" t="s">
        <v>1443</v>
      </c>
      <c r="E6929" s="705">
        <f t="shared" si="218"/>
        <v>17.222222222222221</v>
      </c>
    </row>
    <row r="6930" spans="2:5">
      <c r="B6930" s="943">
        <v>45207</v>
      </c>
      <c r="C6930" s="195">
        <f t="shared" si="217"/>
        <v>10</v>
      </c>
      <c r="D6930" s="195">
        <v>62.4</v>
      </c>
      <c r="E6930" s="705">
        <f t="shared" si="218"/>
        <v>16.888888888888889</v>
      </c>
    </row>
    <row r="6931" spans="2:5">
      <c r="B6931" s="943">
        <v>45207</v>
      </c>
      <c r="C6931" s="195">
        <f t="shared" si="217"/>
        <v>10</v>
      </c>
      <c r="D6931" s="195">
        <v>61.9</v>
      </c>
      <c r="E6931" s="705">
        <f t="shared" si="218"/>
        <v>16.611111111111111</v>
      </c>
    </row>
    <row r="6932" spans="2:5">
      <c r="B6932" s="943">
        <v>45207</v>
      </c>
      <c r="C6932" s="195">
        <f t="shared" si="217"/>
        <v>10</v>
      </c>
      <c r="D6932" s="195">
        <v>61.5</v>
      </c>
      <c r="E6932" s="705">
        <f t="shared" si="218"/>
        <v>16.388888888888889</v>
      </c>
    </row>
    <row r="6933" spans="2:5">
      <c r="B6933" s="943">
        <v>45207</v>
      </c>
      <c r="C6933" s="195">
        <f t="shared" si="217"/>
        <v>10</v>
      </c>
      <c r="D6933" s="195">
        <v>61.3</v>
      </c>
      <c r="E6933" s="705">
        <f t="shared" si="218"/>
        <v>16.277777777777775</v>
      </c>
    </row>
    <row r="6934" spans="2:5">
      <c r="B6934" s="943">
        <v>45207</v>
      </c>
      <c r="C6934" s="195">
        <f t="shared" si="217"/>
        <v>10</v>
      </c>
      <c r="D6934" s="195">
        <v>61.3</v>
      </c>
      <c r="E6934" s="705">
        <f t="shared" si="218"/>
        <v>16.277777777777775</v>
      </c>
    </row>
    <row r="6935" spans="2:5">
      <c r="B6935" s="943">
        <v>45207</v>
      </c>
      <c r="C6935" s="195">
        <f t="shared" si="217"/>
        <v>10</v>
      </c>
      <c r="D6935" s="195">
        <v>61.2</v>
      </c>
      <c r="E6935" s="705">
        <f t="shared" si="218"/>
        <v>16.222222222222225</v>
      </c>
    </row>
    <row r="6936" spans="2:5">
      <c r="B6936" s="943">
        <v>45207</v>
      </c>
      <c r="C6936" s="195">
        <f t="shared" si="217"/>
        <v>10</v>
      </c>
      <c r="D6936" s="195">
        <v>61.3</v>
      </c>
      <c r="E6936" s="705">
        <f t="shared" si="218"/>
        <v>16.277777777777775</v>
      </c>
    </row>
    <row r="6937" spans="2:5">
      <c r="B6937" s="943">
        <v>45207</v>
      </c>
      <c r="C6937" s="195">
        <f t="shared" si="217"/>
        <v>10</v>
      </c>
      <c r="D6937" s="195">
        <v>61.7</v>
      </c>
      <c r="E6937" s="705">
        <f t="shared" si="218"/>
        <v>16.5</v>
      </c>
    </row>
    <row r="6938" spans="2:5">
      <c r="B6938" s="943">
        <v>45207</v>
      </c>
      <c r="C6938" s="195">
        <f t="shared" si="217"/>
        <v>10</v>
      </c>
      <c r="D6938" s="195">
        <v>62.2</v>
      </c>
      <c r="E6938" s="705">
        <f t="shared" si="218"/>
        <v>16.777777777777779</v>
      </c>
    </row>
    <row r="6939" spans="2:5">
      <c r="B6939" s="943">
        <v>45207</v>
      </c>
      <c r="C6939" s="195">
        <f t="shared" si="217"/>
        <v>10</v>
      </c>
      <c r="D6939" s="195">
        <v>62.6</v>
      </c>
      <c r="E6939" s="705">
        <f t="shared" si="218"/>
        <v>17</v>
      </c>
    </row>
    <row r="6940" spans="2:5">
      <c r="B6940" s="943">
        <v>45207</v>
      </c>
      <c r="C6940" s="195">
        <f t="shared" si="217"/>
        <v>10</v>
      </c>
      <c r="D6940" s="195" t="s">
        <v>1443</v>
      </c>
      <c r="E6940" s="705">
        <f t="shared" si="218"/>
        <v>17.222222222222221</v>
      </c>
    </row>
    <row r="6941" spans="2:5">
      <c r="B6941" s="943">
        <v>45207</v>
      </c>
      <c r="C6941" s="195">
        <f t="shared" si="217"/>
        <v>10</v>
      </c>
      <c r="D6941" s="195" t="s">
        <v>1443</v>
      </c>
      <c r="E6941" s="705">
        <f t="shared" si="218"/>
        <v>17.222222222222221</v>
      </c>
    </row>
    <row r="6942" spans="2:5">
      <c r="B6942" s="943">
        <v>45207</v>
      </c>
      <c r="C6942" s="195">
        <f t="shared" si="217"/>
        <v>10</v>
      </c>
      <c r="D6942" s="195">
        <v>62.1</v>
      </c>
      <c r="E6942" s="705">
        <f t="shared" si="218"/>
        <v>16.722222222222221</v>
      </c>
    </row>
    <row r="6943" spans="2:5">
      <c r="B6943" s="943">
        <v>45207</v>
      </c>
      <c r="C6943" s="195">
        <f t="shared" si="217"/>
        <v>10</v>
      </c>
      <c r="D6943" s="195">
        <v>61.7</v>
      </c>
      <c r="E6943" s="705">
        <f t="shared" si="218"/>
        <v>16.5</v>
      </c>
    </row>
    <row r="6944" spans="2:5">
      <c r="B6944" s="943">
        <v>45207</v>
      </c>
      <c r="C6944" s="195">
        <f t="shared" si="217"/>
        <v>10</v>
      </c>
      <c r="D6944" s="195" t="s">
        <v>1442</v>
      </c>
      <c r="E6944" s="705">
        <f t="shared" si="218"/>
        <v>16.111111111111111</v>
      </c>
    </row>
    <row r="6945" spans="2:5">
      <c r="B6945" s="943">
        <v>45208</v>
      </c>
      <c r="C6945" s="195">
        <f t="shared" si="217"/>
        <v>10</v>
      </c>
      <c r="D6945" s="195">
        <v>60.1</v>
      </c>
      <c r="E6945" s="705">
        <f t="shared" si="218"/>
        <v>15.611111111111111</v>
      </c>
    </row>
    <row r="6946" spans="2:5">
      <c r="B6946" s="943">
        <v>45208</v>
      </c>
      <c r="C6946" s="195">
        <f t="shared" si="217"/>
        <v>10</v>
      </c>
      <c r="D6946" s="195">
        <v>59.5</v>
      </c>
      <c r="E6946" s="705">
        <f t="shared" si="218"/>
        <v>15.277777777777777</v>
      </c>
    </row>
    <row r="6947" spans="2:5">
      <c r="B6947" s="943">
        <v>45208</v>
      </c>
      <c r="C6947" s="195">
        <f t="shared" si="217"/>
        <v>10</v>
      </c>
      <c r="D6947" s="195">
        <v>59.7</v>
      </c>
      <c r="E6947" s="705">
        <f t="shared" si="218"/>
        <v>15.388888888888889</v>
      </c>
    </row>
    <row r="6948" spans="2:5">
      <c r="B6948" s="943">
        <v>45208</v>
      </c>
      <c r="C6948" s="195">
        <f t="shared" si="217"/>
        <v>10</v>
      </c>
      <c r="D6948" s="195">
        <v>59.5</v>
      </c>
      <c r="E6948" s="705">
        <f t="shared" si="218"/>
        <v>15.277777777777777</v>
      </c>
    </row>
    <row r="6949" spans="2:5">
      <c r="B6949" s="943">
        <v>45208</v>
      </c>
      <c r="C6949" s="195">
        <f t="shared" si="217"/>
        <v>10</v>
      </c>
      <c r="D6949" s="195">
        <v>60.4</v>
      </c>
      <c r="E6949" s="705">
        <f t="shared" si="218"/>
        <v>15.777777777777777</v>
      </c>
    </row>
    <row r="6950" spans="2:5">
      <c r="B6950" s="943">
        <v>45208</v>
      </c>
      <c r="C6950" s="195">
        <f t="shared" si="217"/>
        <v>10</v>
      </c>
      <c r="D6950" s="195">
        <v>61.3</v>
      </c>
      <c r="E6950" s="705">
        <f t="shared" si="218"/>
        <v>16.277777777777775</v>
      </c>
    </row>
    <row r="6951" spans="2:5">
      <c r="B6951" s="943">
        <v>45208</v>
      </c>
      <c r="C6951" s="195">
        <f t="shared" si="217"/>
        <v>10</v>
      </c>
      <c r="D6951" s="195">
        <v>62.1</v>
      </c>
      <c r="E6951" s="705">
        <f t="shared" si="218"/>
        <v>16.722222222222221</v>
      </c>
    </row>
    <row r="6952" spans="2:5">
      <c r="B6952" s="943">
        <v>45208</v>
      </c>
      <c r="C6952" s="195">
        <f t="shared" si="217"/>
        <v>10</v>
      </c>
      <c r="D6952" s="195">
        <v>62.4</v>
      </c>
      <c r="E6952" s="705">
        <f t="shared" si="218"/>
        <v>16.888888888888889</v>
      </c>
    </row>
    <row r="6953" spans="2:5">
      <c r="B6953" s="943">
        <v>45208</v>
      </c>
      <c r="C6953" s="195">
        <f t="shared" si="217"/>
        <v>10</v>
      </c>
      <c r="D6953" s="195">
        <v>62.6</v>
      </c>
      <c r="E6953" s="705">
        <f t="shared" si="218"/>
        <v>17</v>
      </c>
    </row>
    <row r="6954" spans="2:5">
      <c r="B6954" s="943">
        <v>45208</v>
      </c>
      <c r="C6954" s="195">
        <f t="shared" si="217"/>
        <v>10</v>
      </c>
      <c r="D6954" s="195">
        <v>62.4</v>
      </c>
      <c r="E6954" s="705">
        <f t="shared" si="218"/>
        <v>16.888888888888889</v>
      </c>
    </row>
    <row r="6955" spans="2:5">
      <c r="B6955" s="943">
        <v>45208</v>
      </c>
      <c r="C6955" s="195">
        <f t="shared" si="217"/>
        <v>10</v>
      </c>
      <c r="D6955" s="195">
        <v>61.7</v>
      </c>
      <c r="E6955" s="705">
        <f t="shared" si="218"/>
        <v>16.5</v>
      </c>
    </row>
    <row r="6956" spans="2:5">
      <c r="B6956" s="943">
        <v>45208</v>
      </c>
      <c r="C6956" s="195">
        <f t="shared" si="217"/>
        <v>10</v>
      </c>
      <c r="D6956" s="195">
        <v>61.2</v>
      </c>
      <c r="E6956" s="705">
        <f t="shared" si="218"/>
        <v>16.222222222222225</v>
      </c>
    </row>
    <row r="6957" spans="2:5">
      <c r="B6957" s="943">
        <v>45208</v>
      </c>
      <c r="C6957" s="195">
        <f t="shared" si="217"/>
        <v>10</v>
      </c>
      <c r="D6957" s="195">
        <v>59.9</v>
      </c>
      <c r="E6957" s="705">
        <f t="shared" si="218"/>
        <v>15.499999999999998</v>
      </c>
    </row>
    <row r="6958" spans="2:5">
      <c r="B6958" s="943">
        <v>45208</v>
      </c>
      <c r="C6958" s="195">
        <f t="shared" si="217"/>
        <v>10</v>
      </c>
      <c r="D6958" s="195">
        <v>58.8</v>
      </c>
      <c r="E6958" s="705">
        <f t="shared" si="218"/>
        <v>14.888888888888888</v>
      </c>
    </row>
    <row r="6959" spans="2:5">
      <c r="B6959" s="943">
        <v>45208</v>
      </c>
      <c r="C6959" s="195">
        <f t="shared" si="217"/>
        <v>10</v>
      </c>
      <c r="D6959" s="195">
        <v>58.3</v>
      </c>
      <c r="E6959" s="705">
        <f t="shared" si="218"/>
        <v>14.611111111111109</v>
      </c>
    </row>
    <row r="6960" spans="2:5">
      <c r="B6960" s="943">
        <v>45208</v>
      </c>
      <c r="C6960" s="195">
        <f t="shared" si="217"/>
        <v>10</v>
      </c>
      <c r="D6960" s="195">
        <v>58.8</v>
      </c>
      <c r="E6960" s="705">
        <f t="shared" si="218"/>
        <v>14.888888888888888</v>
      </c>
    </row>
    <row r="6961" spans="2:5">
      <c r="B6961" s="943">
        <v>45208</v>
      </c>
      <c r="C6961" s="195">
        <f t="shared" si="217"/>
        <v>10</v>
      </c>
      <c r="D6961" s="195">
        <v>58.8</v>
      </c>
      <c r="E6961" s="705">
        <f t="shared" si="218"/>
        <v>14.888888888888888</v>
      </c>
    </row>
    <row r="6962" spans="2:5">
      <c r="B6962" s="943">
        <v>45208</v>
      </c>
      <c r="C6962" s="195">
        <f t="shared" si="217"/>
        <v>10</v>
      </c>
      <c r="D6962" s="195">
        <v>59.7</v>
      </c>
      <c r="E6962" s="705">
        <f t="shared" si="218"/>
        <v>15.388888888888889</v>
      </c>
    </row>
    <row r="6963" spans="2:5">
      <c r="B6963" s="943">
        <v>45208</v>
      </c>
      <c r="C6963" s="195">
        <f t="shared" si="217"/>
        <v>10</v>
      </c>
      <c r="D6963" s="195" t="s">
        <v>1442</v>
      </c>
      <c r="E6963" s="705">
        <f t="shared" si="218"/>
        <v>16.111111111111111</v>
      </c>
    </row>
    <row r="6964" spans="2:5">
      <c r="B6964" s="943">
        <v>45208</v>
      </c>
      <c r="C6964" s="195">
        <f t="shared" si="217"/>
        <v>10</v>
      </c>
      <c r="D6964" s="195">
        <v>61.7</v>
      </c>
      <c r="E6964" s="705">
        <f t="shared" si="218"/>
        <v>16.5</v>
      </c>
    </row>
    <row r="6965" spans="2:5">
      <c r="B6965" s="943">
        <v>45208</v>
      </c>
      <c r="C6965" s="195">
        <f t="shared" si="217"/>
        <v>10</v>
      </c>
      <c r="D6965" s="195">
        <v>62.1</v>
      </c>
      <c r="E6965" s="705">
        <f t="shared" si="218"/>
        <v>16.722222222222221</v>
      </c>
    </row>
    <row r="6966" spans="2:5">
      <c r="B6966" s="943">
        <v>45208</v>
      </c>
      <c r="C6966" s="195">
        <f t="shared" si="217"/>
        <v>10</v>
      </c>
      <c r="D6966" s="195">
        <v>62.2</v>
      </c>
      <c r="E6966" s="705">
        <f t="shared" si="218"/>
        <v>16.777777777777779</v>
      </c>
    </row>
    <row r="6967" spans="2:5">
      <c r="B6967" s="943">
        <v>45208</v>
      </c>
      <c r="C6967" s="195">
        <f t="shared" si="217"/>
        <v>10</v>
      </c>
      <c r="D6967" s="195" t="s">
        <v>1442</v>
      </c>
      <c r="E6967" s="705">
        <f t="shared" si="218"/>
        <v>16.111111111111111</v>
      </c>
    </row>
    <row r="6968" spans="2:5">
      <c r="B6968" s="943">
        <v>45208</v>
      </c>
      <c r="C6968" s="195">
        <f t="shared" si="217"/>
        <v>10</v>
      </c>
      <c r="D6968" s="195">
        <v>60.3</v>
      </c>
      <c r="E6968" s="705">
        <f t="shared" si="218"/>
        <v>15.72222222222222</v>
      </c>
    </row>
    <row r="6969" spans="2:5">
      <c r="B6969" s="943">
        <v>45209</v>
      </c>
      <c r="C6969" s="195">
        <f t="shared" si="217"/>
        <v>10</v>
      </c>
      <c r="D6969" s="195">
        <v>59.4</v>
      </c>
      <c r="E6969" s="705">
        <f t="shared" si="218"/>
        <v>15.222222222222221</v>
      </c>
    </row>
    <row r="6970" spans="2:5">
      <c r="B6970" s="943">
        <v>45209</v>
      </c>
      <c r="C6970" s="195">
        <f t="shared" si="217"/>
        <v>10</v>
      </c>
      <c r="D6970" s="195">
        <v>58.6</v>
      </c>
      <c r="E6970" s="705">
        <f t="shared" si="218"/>
        <v>14.777777777777779</v>
      </c>
    </row>
    <row r="6971" spans="2:5">
      <c r="B6971" s="943">
        <v>45209</v>
      </c>
      <c r="C6971" s="195">
        <f t="shared" si="217"/>
        <v>10</v>
      </c>
      <c r="D6971" s="195">
        <v>58.1</v>
      </c>
      <c r="E6971" s="705">
        <f t="shared" si="218"/>
        <v>14.5</v>
      </c>
    </row>
    <row r="6972" spans="2:5">
      <c r="B6972" s="943">
        <v>45209</v>
      </c>
      <c r="C6972" s="195">
        <f t="shared" si="217"/>
        <v>10</v>
      </c>
      <c r="D6972" s="195">
        <v>58.1</v>
      </c>
      <c r="E6972" s="705">
        <f t="shared" si="218"/>
        <v>14.5</v>
      </c>
    </row>
    <row r="6973" spans="2:5">
      <c r="B6973" s="943">
        <v>45209</v>
      </c>
      <c r="C6973" s="195">
        <f t="shared" si="217"/>
        <v>10</v>
      </c>
      <c r="D6973" s="195">
        <v>58.1</v>
      </c>
      <c r="E6973" s="705">
        <f t="shared" si="218"/>
        <v>14.5</v>
      </c>
    </row>
    <row r="6974" spans="2:5">
      <c r="B6974" s="943">
        <v>45209</v>
      </c>
      <c r="C6974" s="195">
        <f t="shared" si="217"/>
        <v>10</v>
      </c>
      <c r="D6974" s="195" t="s">
        <v>1441</v>
      </c>
      <c r="E6974" s="705">
        <f t="shared" si="218"/>
        <v>15</v>
      </c>
    </row>
    <row r="6975" spans="2:5">
      <c r="B6975" s="943">
        <v>45209</v>
      </c>
      <c r="C6975" s="195">
        <f t="shared" si="217"/>
        <v>10</v>
      </c>
      <c r="D6975" s="195">
        <v>59.9</v>
      </c>
      <c r="E6975" s="705">
        <f t="shared" si="218"/>
        <v>15.499999999999998</v>
      </c>
    </row>
    <row r="6976" spans="2:5">
      <c r="B6976" s="943">
        <v>45209</v>
      </c>
      <c r="C6976" s="195">
        <f t="shared" si="217"/>
        <v>10</v>
      </c>
      <c r="D6976" s="195">
        <v>60.8</v>
      </c>
      <c r="E6976" s="705">
        <f t="shared" si="218"/>
        <v>15.999999999999998</v>
      </c>
    </row>
    <row r="6977" spans="2:5">
      <c r="B6977" s="943">
        <v>45209</v>
      </c>
      <c r="C6977" s="195">
        <f t="shared" si="217"/>
        <v>10</v>
      </c>
      <c r="D6977" s="195">
        <v>61.3</v>
      </c>
      <c r="E6977" s="705">
        <f t="shared" si="218"/>
        <v>16.277777777777775</v>
      </c>
    </row>
    <row r="6978" spans="2:5">
      <c r="B6978" s="943">
        <v>45209</v>
      </c>
      <c r="C6978" s="195">
        <f t="shared" si="217"/>
        <v>10</v>
      </c>
      <c r="D6978" s="195">
        <v>61.5</v>
      </c>
      <c r="E6978" s="705">
        <f t="shared" si="218"/>
        <v>16.388888888888889</v>
      </c>
    </row>
    <row r="6979" spans="2:5">
      <c r="B6979" s="943">
        <v>45209</v>
      </c>
      <c r="C6979" s="195">
        <f t="shared" si="217"/>
        <v>10</v>
      </c>
      <c r="D6979" s="195">
        <v>61.5</v>
      </c>
      <c r="E6979" s="705">
        <f t="shared" si="218"/>
        <v>16.388888888888889</v>
      </c>
    </row>
    <row r="6980" spans="2:5">
      <c r="B6980" s="943">
        <v>45209</v>
      </c>
      <c r="C6980" s="195">
        <f t="shared" si="217"/>
        <v>10</v>
      </c>
      <c r="D6980" s="195">
        <v>60.3</v>
      </c>
      <c r="E6980" s="705">
        <f t="shared" si="218"/>
        <v>15.72222222222222</v>
      </c>
    </row>
    <row r="6981" spans="2:5">
      <c r="B6981" s="943">
        <v>45209</v>
      </c>
      <c r="C6981" s="195">
        <f t="shared" si="217"/>
        <v>10</v>
      </c>
      <c r="D6981" s="195">
        <v>59.5</v>
      </c>
      <c r="E6981" s="705">
        <f t="shared" si="218"/>
        <v>15.277777777777777</v>
      </c>
    </row>
    <row r="6982" spans="2:5">
      <c r="B6982" s="943">
        <v>45209</v>
      </c>
      <c r="C6982" s="195">
        <f t="shared" si="217"/>
        <v>10</v>
      </c>
      <c r="D6982" s="195">
        <v>58.6</v>
      </c>
      <c r="E6982" s="705">
        <f t="shared" si="218"/>
        <v>14.777777777777779</v>
      </c>
    </row>
    <row r="6983" spans="2:5">
      <c r="B6983" s="943">
        <v>45209</v>
      </c>
      <c r="C6983" s="195">
        <f t="shared" si="217"/>
        <v>10</v>
      </c>
      <c r="D6983" s="195">
        <v>57.9</v>
      </c>
      <c r="E6983" s="705">
        <f t="shared" si="218"/>
        <v>14.388888888888888</v>
      </c>
    </row>
    <row r="6984" spans="2:5">
      <c r="B6984" s="943">
        <v>45209</v>
      </c>
      <c r="C6984" s="195">
        <f t="shared" si="217"/>
        <v>10</v>
      </c>
      <c r="D6984" s="195">
        <v>57.7</v>
      </c>
      <c r="E6984" s="705">
        <f t="shared" si="218"/>
        <v>14.277777777777779</v>
      </c>
    </row>
    <row r="6985" spans="2:5">
      <c r="B6985" s="943">
        <v>45209</v>
      </c>
      <c r="C6985" s="195">
        <f t="shared" si="217"/>
        <v>10</v>
      </c>
      <c r="D6985" s="195">
        <v>57.7</v>
      </c>
      <c r="E6985" s="705">
        <f t="shared" si="218"/>
        <v>14.277777777777779</v>
      </c>
    </row>
    <row r="6986" spans="2:5">
      <c r="B6986" s="943">
        <v>45209</v>
      </c>
      <c r="C6986" s="195">
        <f t="shared" ref="C6986:C7049" si="219">MONTH(B6986)</f>
        <v>10</v>
      </c>
      <c r="D6986" s="195">
        <v>58.1</v>
      </c>
      <c r="E6986" s="705">
        <f t="shared" ref="E6986:E7049" si="220">CONVERT(D6986,"F","C")</f>
        <v>14.5</v>
      </c>
    </row>
    <row r="6987" spans="2:5">
      <c r="B6987" s="943">
        <v>45209</v>
      </c>
      <c r="C6987" s="195">
        <f t="shared" si="219"/>
        <v>10</v>
      </c>
      <c r="D6987" s="195">
        <v>58.8</v>
      </c>
      <c r="E6987" s="705">
        <f t="shared" si="220"/>
        <v>14.888888888888888</v>
      </c>
    </row>
    <row r="6988" spans="2:5">
      <c r="B6988" s="943">
        <v>45209</v>
      </c>
      <c r="C6988" s="195">
        <f t="shared" si="219"/>
        <v>10</v>
      </c>
      <c r="D6988" s="195">
        <v>59.9</v>
      </c>
      <c r="E6988" s="705">
        <f t="shared" si="220"/>
        <v>15.499999999999998</v>
      </c>
    </row>
    <row r="6989" spans="2:5">
      <c r="B6989" s="943">
        <v>45209</v>
      </c>
      <c r="C6989" s="195">
        <f t="shared" si="219"/>
        <v>10</v>
      </c>
      <c r="D6989" s="195">
        <v>60.8</v>
      </c>
      <c r="E6989" s="705">
        <f t="shared" si="220"/>
        <v>15.999999999999998</v>
      </c>
    </row>
    <row r="6990" spans="2:5">
      <c r="B6990" s="943">
        <v>45209</v>
      </c>
      <c r="C6990" s="195">
        <f t="shared" si="219"/>
        <v>10</v>
      </c>
      <c r="D6990" s="195" t="s">
        <v>1442</v>
      </c>
      <c r="E6990" s="705">
        <f t="shared" si="220"/>
        <v>16.111111111111111</v>
      </c>
    </row>
    <row r="6991" spans="2:5">
      <c r="B6991" s="943">
        <v>45209</v>
      </c>
      <c r="C6991" s="195">
        <f t="shared" si="219"/>
        <v>10</v>
      </c>
      <c r="D6991" s="195" t="s">
        <v>1442</v>
      </c>
      <c r="E6991" s="705">
        <f t="shared" si="220"/>
        <v>16.111111111111111</v>
      </c>
    </row>
    <row r="6992" spans="2:5">
      <c r="B6992" s="943">
        <v>45209</v>
      </c>
      <c r="C6992" s="195">
        <f t="shared" si="219"/>
        <v>10</v>
      </c>
      <c r="D6992" s="195">
        <v>59.5</v>
      </c>
      <c r="E6992" s="705">
        <f t="shared" si="220"/>
        <v>15.277777777777777</v>
      </c>
    </row>
    <row r="6993" spans="2:5">
      <c r="B6993" s="943">
        <v>45210</v>
      </c>
      <c r="C6993" s="195">
        <f t="shared" si="219"/>
        <v>10</v>
      </c>
      <c r="D6993" s="195" t="s">
        <v>1441</v>
      </c>
      <c r="E6993" s="705">
        <f t="shared" si="220"/>
        <v>15</v>
      </c>
    </row>
    <row r="6994" spans="2:5">
      <c r="B6994" s="943">
        <v>45210</v>
      </c>
      <c r="C6994" s="195">
        <f t="shared" si="219"/>
        <v>10</v>
      </c>
      <c r="D6994" s="195">
        <v>58.1</v>
      </c>
      <c r="E6994" s="705">
        <f t="shared" si="220"/>
        <v>14.5</v>
      </c>
    </row>
    <row r="6995" spans="2:5">
      <c r="B6995" s="943">
        <v>45210</v>
      </c>
      <c r="C6995" s="195">
        <f t="shared" si="219"/>
        <v>10</v>
      </c>
      <c r="D6995" s="195">
        <v>57.6</v>
      </c>
      <c r="E6995" s="705">
        <f t="shared" si="220"/>
        <v>14.222222222222223</v>
      </c>
    </row>
    <row r="6996" spans="2:5">
      <c r="B6996" s="943">
        <v>45210</v>
      </c>
      <c r="C6996" s="195">
        <f t="shared" si="219"/>
        <v>10</v>
      </c>
      <c r="D6996" s="195">
        <v>57.4</v>
      </c>
      <c r="E6996" s="705">
        <f t="shared" si="220"/>
        <v>14.111111111111111</v>
      </c>
    </row>
    <row r="6997" spans="2:5">
      <c r="B6997" s="943">
        <v>45210</v>
      </c>
      <c r="C6997" s="195">
        <f t="shared" si="219"/>
        <v>10</v>
      </c>
      <c r="D6997" s="195">
        <v>57.6</v>
      </c>
      <c r="E6997" s="705">
        <f t="shared" si="220"/>
        <v>14.222222222222223</v>
      </c>
    </row>
    <row r="6998" spans="2:5">
      <c r="B6998" s="943">
        <v>45210</v>
      </c>
      <c r="C6998" s="195">
        <f t="shared" si="219"/>
        <v>10</v>
      </c>
      <c r="D6998" s="195">
        <v>57.6</v>
      </c>
      <c r="E6998" s="705">
        <f t="shared" si="220"/>
        <v>14.222222222222223</v>
      </c>
    </row>
    <row r="6999" spans="2:5">
      <c r="B6999" s="943">
        <v>45210</v>
      </c>
      <c r="C6999" s="195">
        <f t="shared" si="219"/>
        <v>10</v>
      </c>
      <c r="D6999" s="195">
        <v>58.3</v>
      </c>
      <c r="E6999" s="705">
        <f t="shared" si="220"/>
        <v>14.611111111111109</v>
      </c>
    </row>
    <row r="7000" spans="2:5">
      <c r="B7000" s="943">
        <v>45210</v>
      </c>
      <c r="C7000" s="195">
        <f t="shared" si="219"/>
        <v>10</v>
      </c>
      <c r="D7000" s="195">
        <v>59.2</v>
      </c>
      <c r="E7000" s="705">
        <f t="shared" si="220"/>
        <v>15.111111111111112</v>
      </c>
    </row>
    <row r="7001" spans="2:5">
      <c r="B7001" s="943">
        <v>45210</v>
      </c>
      <c r="C7001" s="195">
        <f t="shared" si="219"/>
        <v>10</v>
      </c>
      <c r="D7001" s="195">
        <v>60.1</v>
      </c>
      <c r="E7001" s="705">
        <f t="shared" si="220"/>
        <v>15.611111111111111</v>
      </c>
    </row>
    <row r="7002" spans="2:5">
      <c r="B7002" s="943">
        <v>45210</v>
      </c>
      <c r="C7002" s="195">
        <f t="shared" si="219"/>
        <v>10</v>
      </c>
      <c r="D7002" s="195">
        <v>60.4</v>
      </c>
      <c r="E7002" s="705">
        <f t="shared" si="220"/>
        <v>15.777777777777777</v>
      </c>
    </row>
    <row r="7003" spans="2:5">
      <c r="B7003" s="943">
        <v>45210</v>
      </c>
      <c r="C7003" s="195">
        <f t="shared" si="219"/>
        <v>10</v>
      </c>
      <c r="D7003" s="195">
        <v>60.4</v>
      </c>
      <c r="E7003" s="705">
        <f t="shared" si="220"/>
        <v>15.777777777777777</v>
      </c>
    </row>
    <row r="7004" spans="2:5">
      <c r="B7004" s="943">
        <v>45210</v>
      </c>
      <c r="C7004" s="195">
        <f t="shared" si="219"/>
        <v>10</v>
      </c>
      <c r="D7004" s="195">
        <v>60.3</v>
      </c>
      <c r="E7004" s="705">
        <f t="shared" si="220"/>
        <v>15.72222222222222</v>
      </c>
    </row>
    <row r="7005" spans="2:5">
      <c r="B7005" s="943">
        <v>45210</v>
      </c>
      <c r="C7005" s="195">
        <f t="shared" si="219"/>
        <v>10</v>
      </c>
      <c r="D7005" s="195">
        <v>59.2</v>
      </c>
      <c r="E7005" s="705">
        <f t="shared" si="220"/>
        <v>15.111111111111112</v>
      </c>
    </row>
    <row r="7006" spans="2:5">
      <c r="B7006" s="943">
        <v>45210</v>
      </c>
      <c r="C7006" s="195">
        <f t="shared" si="219"/>
        <v>10</v>
      </c>
      <c r="D7006" s="195">
        <v>58.6</v>
      </c>
      <c r="E7006" s="705">
        <f t="shared" si="220"/>
        <v>14.777777777777779</v>
      </c>
    </row>
    <row r="7007" spans="2:5">
      <c r="B7007" s="943">
        <v>45210</v>
      </c>
      <c r="C7007" s="195">
        <f t="shared" si="219"/>
        <v>10</v>
      </c>
      <c r="D7007" s="195">
        <v>57.9</v>
      </c>
      <c r="E7007" s="705">
        <f t="shared" si="220"/>
        <v>14.388888888888888</v>
      </c>
    </row>
    <row r="7008" spans="2:5">
      <c r="B7008" s="943">
        <v>45210</v>
      </c>
      <c r="C7008" s="195">
        <f t="shared" si="219"/>
        <v>10</v>
      </c>
      <c r="D7008" s="195">
        <v>57.6</v>
      </c>
      <c r="E7008" s="705">
        <f t="shared" si="220"/>
        <v>14.222222222222223</v>
      </c>
    </row>
    <row r="7009" spans="2:5">
      <c r="B7009" s="943">
        <v>45210</v>
      </c>
      <c r="C7009" s="195">
        <f t="shared" si="219"/>
        <v>10</v>
      </c>
      <c r="D7009" s="195">
        <v>57.6</v>
      </c>
      <c r="E7009" s="705">
        <f t="shared" si="220"/>
        <v>14.222222222222223</v>
      </c>
    </row>
    <row r="7010" spans="2:5">
      <c r="B7010" s="943">
        <v>45210</v>
      </c>
      <c r="C7010" s="195">
        <f t="shared" si="219"/>
        <v>10</v>
      </c>
      <c r="D7010" s="195">
        <v>57.6</v>
      </c>
      <c r="E7010" s="705">
        <f t="shared" si="220"/>
        <v>14.222222222222223</v>
      </c>
    </row>
    <row r="7011" spans="2:5">
      <c r="B7011" s="943">
        <v>45210</v>
      </c>
      <c r="C7011" s="195">
        <f t="shared" si="219"/>
        <v>10</v>
      </c>
      <c r="D7011" s="195">
        <v>58.1</v>
      </c>
      <c r="E7011" s="705">
        <f t="shared" si="220"/>
        <v>14.5</v>
      </c>
    </row>
    <row r="7012" spans="2:5">
      <c r="B7012" s="943">
        <v>45210</v>
      </c>
      <c r="C7012" s="195">
        <f t="shared" si="219"/>
        <v>10</v>
      </c>
      <c r="D7012" s="195">
        <v>58.8</v>
      </c>
      <c r="E7012" s="705">
        <f t="shared" si="220"/>
        <v>14.888888888888888</v>
      </c>
    </row>
    <row r="7013" spans="2:5">
      <c r="B7013" s="943">
        <v>45210</v>
      </c>
      <c r="C7013" s="195">
        <f t="shared" si="219"/>
        <v>10</v>
      </c>
      <c r="D7013" s="195">
        <v>59.7</v>
      </c>
      <c r="E7013" s="705">
        <f t="shared" si="220"/>
        <v>15.388888888888889</v>
      </c>
    </row>
    <row r="7014" spans="2:5">
      <c r="B7014" s="943">
        <v>45210</v>
      </c>
      <c r="C7014" s="195">
        <f t="shared" si="219"/>
        <v>10</v>
      </c>
      <c r="D7014" s="195">
        <v>60.1</v>
      </c>
      <c r="E7014" s="705">
        <f t="shared" si="220"/>
        <v>15.611111111111111</v>
      </c>
    </row>
    <row r="7015" spans="2:5">
      <c r="B7015" s="943">
        <v>45210</v>
      </c>
      <c r="C7015" s="195">
        <f t="shared" si="219"/>
        <v>10</v>
      </c>
      <c r="D7015" s="195">
        <v>60.3</v>
      </c>
      <c r="E7015" s="705">
        <f t="shared" si="220"/>
        <v>15.72222222222222</v>
      </c>
    </row>
    <row r="7016" spans="2:5">
      <c r="B7016" s="943">
        <v>45210</v>
      </c>
      <c r="C7016" s="195">
        <f t="shared" si="219"/>
        <v>10</v>
      </c>
      <c r="D7016" s="195">
        <v>60.3</v>
      </c>
      <c r="E7016" s="705">
        <f t="shared" si="220"/>
        <v>15.72222222222222</v>
      </c>
    </row>
    <row r="7017" spans="2:5">
      <c r="B7017" s="943">
        <v>45211</v>
      </c>
      <c r="C7017" s="195">
        <f t="shared" si="219"/>
        <v>10</v>
      </c>
      <c r="D7017" s="195">
        <v>59.2</v>
      </c>
      <c r="E7017" s="705">
        <f t="shared" si="220"/>
        <v>15.111111111111112</v>
      </c>
    </row>
    <row r="7018" spans="2:5">
      <c r="B7018" s="943">
        <v>45211</v>
      </c>
      <c r="C7018" s="195">
        <f t="shared" si="219"/>
        <v>10</v>
      </c>
      <c r="D7018" s="195">
        <v>58.6</v>
      </c>
      <c r="E7018" s="705">
        <f t="shared" si="220"/>
        <v>14.777777777777779</v>
      </c>
    </row>
    <row r="7019" spans="2:5">
      <c r="B7019" s="943">
        <v>45211</v>
      </c>
      <c r="C7019" s="195">
        <f t="shared" si="219"/>
        <v>10</v>
      </c>
      <c r="D7019" s="195">
        <v>57.7</v>
      </c>
      <c r="E7019" s="705">
        <f t="shared" si="220"/>
        <v>14.277777777777779</v>
      </c>
    </row>
    <row r="7020" spans="2:5">
      <c r="B7020" s="943">
        <v>45211</v>
      </c>
      <c r="C7020" s="195">
        <f t="shared" si="219"/>
        <v>10</v>
      </c>
      <c r="D7020" s="195">
        <v>57.6</v>
      </c>
      <c r="E7020" s="705">
        <f t="shared" si="220"/>
        <v>14.222222222222223</v>
      </c>
    </row>
    <row r="7021" spans="2:5">
      <c r="B7021" s="943">
        <v>45211</v>
      </c>
      <c r="C7021" s="195">
        <f t="shared" si="219"/>
        <v>10</v>
      </c>
      <c r="D7021" s="195">
        <v>57.6</v>
      </c>
      <c r="E7021" s="705">
        <f t="shared" si="220"/>
        <v>14.222222222222223</v>
      </c>
    </row>
    <row r="7022" spans="2:5">
      <c r="B7022" s="943">
        <v>45211</v>
      </c>
      <c r="C7022" s="195">
        <f t="shared" si="219"/>
        <v>10</v>
      </c>
      <c r="D7022" s="195">
        <v>57.7</v>
      </c>
      <c r="E7022" s="705">
        <f t="shared" si="220"/>
        <v>14.277777777777779</v>
      </c>
    </row>
    <row r="7023" spans="2:5">
      <c r="B7023" s="943">
        <v>45211</v>
      </c>
      <c r="C7023" s="195">
        <f t="shared" si="219"/>
        <v>10</v>
      </c>
      <c r="D7023" s="195">
        <v>57.9</v>
      </c>
      <c r="E7023" s="705">
        <f t="shared" si="220"/>
        <v>14.388888888888888</v>
      </c>
    </row>
    <row r="7024" spans="2:5">
      <c r="B7024" s="943">
        <v>45211</v>
      </c>
      <c r="C7024" s="195">
        <f t="shared" si="219"/>
        <v>10</v>
      </c>
      <c r="D7024" s="195">
        <v>58.5</v>
      </c>
      <c r="E7024" s="705">
        <f t="shared" si="220"/>
        <v>14.722222222222221</v>
      </c>
    </row>
    <row r="7025" spans="2:5">
      <c r="B7025" s="943">
        <v>45211</v>
      </c>
      <c r="C7025" s="195">
        <f t="shared" si="219"/>
        <v>10</v>
      </c>
      <c r="D7025" s="195">
        <v>59.4</v>
      </c>
      <c r="E7025" s="705">
        <f t="shared" si="220"/>
        <v>15.222222222222221</v>
      </c>
    </row>
    <row r="7026" spans="2:5">
      <c r="B7026" s="943">
        <v>45211</v>
      </c>
      <c r="C7026" s="195">
        <f t="shared" si="219"/>
        <v>10</v>
      </c>
      <c r="D7026" s="195">
        <v>59.7</v>
      </c>
      <c r="E7026" s="705">
        <f t="shared" si="220"/>
        <v>15.388888888888889</v>
      </c>
    </row>
    <row r="7027" spans="2:5">
      <c r="B7027" s="943">
        <v>45211</v>
      </c>
      <c r="C7027" s="195">
        <f t="shared" si="219"/>
        <v>10</v>
      </c>
      <c r="D7027" s="195">
        <v>60.1</v>
      </c>
      <c r="E7027" s="705">
        <f t="shared" si="220"/>
        <v>15.611111111111111</v>
      </c>
    </row>
    <row r="7028" spans="2:5">
      <c r="B7028" s="943">
        <v>45211</v>
      </c>
      <c r="C7028" s="195">
        <f t="shared" si="219"/>
        <v>10</v>
      </c>
      <c r="D7028" s="195">
        <v>60.1</v>
      </c>
      <c r="E7028" s="705">
        <f t="shared" si="220"/>
        <v>15.611111111111111</v>
      </c>
    </row>
    <row r="7029" spans="2:5">
      <c r="B7029" s="943">
        <v>45211</v>
      </c>
      <c r="C7029" s="195">
        <f t="shared" si="219"/>
        <v>10</v>
      </c>
      <c r="D7029" s="195">
        <v>59.7</v>
      </c>
      <c r="E7029" s="705">
        <f t="shared" si="220"/>
        <v>15.388888888888889</v>
      </c>
    </row>
    <row r="7030" spans="2:5">
      <c r="B7030" s="943">
        <v>45211</v>
      </c>
      <c r="C7030" s="195">
        <f t="shared" si="219"/>
        <v>10</v>
      </c>
      <c r="D7030" s="195" t="s">
        <v>1441</v>
      </c>
      <c r="E7030" s="705">
        <f t="shared" si="220"/>
        <v>15</v>
      </c>
    </row>
    <row r="7031" spans="2:5">
      <c r="B7031" s="943">
        <v>45211</v>
      </c>
      <c r="C7031" s="195">
        <f t="shared" si="219"/>
        <v>10</v>
      </c>
      <c r="D7031" s="195">
        <v>58.1</v>
      </c>
      <c r="E7031" s="705">
        <f t="shared" si="220"/>
        <v>14.5</v>
      </c>
    </row>
    <row r="7032" spans="2:5">
      <c r="B7032" s="943">
        <v>45211</v>
      </c>
      <c r="C7032" s="195">
        <f t="shared" si="219"/>
        <v>10</v>
      </c>
      <c r="D7032" s="195">
        <v>57.6</v>
      </c>
      <c r="E7032" s="705">
        <f t="shared" si="220"/>
        <v>14.222222222222223</v>
      </c>
    </row>
    <row r="7033" spans="2:5">
      <c r="B7033" s="943">
        <v>45211</v>
      </c>
      <c r="C7033" s="195">
        <f t="shared" si="219"/>
        <v>10</v>
      </c>
      <c r="D7033" s="195">
        <v>57.4</v>
      </c>
      <c r="E7033" s="705">
        <f t="shared" si="220"/>
        <v>14.111111111111111</v>
      </c>
    </row>
    <row r="7034" spans="2:5">
      <c r="B7034" s="943">
        <v>45211</v>
      </c>
      <c r="C7034" s="195">
        <f t="shared" si="219"/>
        <v>10</v>
      </c>
      <c r="D7034" s="195">
        <v>57.4</v>
      </c>
      <c r="E7034" s="705">
        <f t="shared" si="220"/>
        <v>14.111111111111111</v>
      </c>
    </row>
    <row r="7035" spans="2:5">
      <c r="B7035" s="943">
        <v>45211</v>
      </c>
      <c r="C7035" s="195">
        <f t="shared" si="219"/>
        <v>10</v>
      </c>
      <c r="D7035" s="195">
        <v>57.6</v>
      </c>
      <c r="E7035" s="705">
        <f t="shared" si="220"/>
        <v>14.222222222222223</v>
      </c>
    </row>
    <row r="7036" spans="2:5">
      <c r="B7036" s="943">
        <v>45211</v>
      </c>
      <c r="C7036" s="195">
        <f t="shared" si="219"/>
        <v>10</v>
      </c>
      <c r="D7036" s="195">
        <v>58.1</v>
      </c>
      <c r="E7036" s="705">
        <f t="shared" si="220"/>
        <v>14.5</v>
      </c>
    </row>
    <row r="7037" spans="2:5">
      <c r="B7037" s="943">
        <v>45211</v>
      </c>
      <c r="C7037" s="195">
        <f t="shared" si="219"/>
        <v>10</v>
      </c>
      <c r="D7037" s="195" t="s">
        <v>1441</v>
      </c>
      <c r="E7037" s="705">
        <f t="shared" si="220"/>
        <v>15</v>
      </c>
    </row>
    <row r="7038" spans="2:5">
      <c r="B7038" s="943">
        <v>45211</v>
      </c>
      <c r="C7038" s="195">
        <f t="shared" si="219"/>
        <v>10</v>
      </c>
      <c r="D7038" s="195">
        <v>59.7</v>
      </c>
      <c r="E7038" s="705">
        <f t="shared" si="220"/>
        <v>15.388888888888889</v>
      </c>
    </row>
    <row r="7039" spans="2:5">
      <c r="B7039" s="943">
        <v>45211</v>
      </c>
      <c r="C7039" s="195">
        <f t="shared" si="219"/>
        <v>10</v>
      </c>
      <c r="D7039" s="195">
        <v>60.1</v>
      </c>
      <c r="E7039" s="705">
        <f t="shared" si="220"/>
        <v>15.611111111111111</v>
      </c>
    </row>
    <row r="7040" spans="2:5">
      <c r="B7040" s="943">
        <v>45211</v>
      </c>
      <c r="C7040" s="195">
        <f t="shared" si="219"/>
        <v>10</v>
      </c>
      <c r="D7040" s="195">
        <v>60.3</v>
      </c>
      <c r="E7040" s="705">
        <f t="shared" si="220"/>
        <v>15.72222222222222</v>
      </c>
    </row>
    <row r="7041" spans="2:5">
      <c r="B7041" s="943">
        <v>45212</v>
      </c>
      <c r="C7041" s="195">
        <f t="shared" si="219"/>
        <v>10</v>
      </c>
      <c r="D7041" s="195">
        <v>59.9</v>
      </c>
      <c r="E7041" s="705">
        <f t="shared" si="220"/>
        <v>15.499999999999998</v>
      </c>
    </row>
    <row r="7042" spans="2:5">
      <c r="B7042" s="943">
        <v>45212</v>
      </c>
      <c r="C7042" s="195">
        <f t="shared" si="219"/>
        <v>10</v>
      </c>
      <c r="D7042" s="195">
        <v>59.2</v>
      </c>
      <c r="E7042" s="705">
        <f t="shared" si="220"/>
        <v>15.111111111111112</v>
      </c>
    </row>
    <row r="7043" spans="2:5">
      <c r="B7043" s="943">
        <v>45212</v>
      </c>
      <c r="C7043" s="195">
        <f t="shared" si="219"/>
        <v>10</v>
      </c>
      <c r="D7043" s="195">
        <v>58.3</v>
      </c>
      <c r="E7043" s="705">
        <f t="shared" si="220"/>
        <v>14.611111111111109</v>
      </c>
    </row>
    <row r="7044" spans="2:5">
      <c r="B7044" s="943">
        <v>45212</v>
      </c>
      <c r="C7044" s="195">
        <f t="shared" si="219"/>
        <v>10</v>
      </c>
      <c r="D7044" s="195">
        <v>57.7</v>
      </c>
      <c r="E7044" s="705">
        <f t="shared" si="220"/>
        <v>14.277777777777779</v>
      </c>
    </row>
    <row r="7045" spans="2:5">
      <c r="B7045" s="943">
        <v>45212</v>
      </c>
      <c r="C7045" s="195">
        <f t="shared" si="219"/>
        <v>10</v>
      </c>
      <c r="D7045" s="195">
        <v>57.4</v>
      </c>
      <c r="E7045" s="705">
        <f t="shared" si="220"/>
        <v>14.111111111111111</v>
      </c>
    </row>
    <row r="7046" spans="2:5">
      <c r="B7046" s="943">
        <v>45212</v>
      </c>
      <c r="C7046" s="195">
        <f t="shared" si="219"/>
        <v>10</v>
      </c>
      <c r="D7046" s="195">
        <v>57.4</v>
      </c>
      <c r="E7046" s="705">
        <f t="shared" si="220"/>
        <v>14.111111111111111</v>
      </c>
    </row>
    <row r="7047" spans="2:5">
      <c r="B7047" s="943">
        <v>45212</v>
      </c>
      <c r="C7047" s="195">
        <f t="shared" si="219"/>
        <v>10</v>
      </c>
      <c r="D7047" s="195">
        <v>57.4</v>
      </c>
      <c r="E7047" s="705">
        <f t="shared" si="220"/>
        <v>14.111111111111111</v>
      </c>
    </row>
    <row r="7048" spans="2:5">
      <c r="B7048" s="943">
        <v>45212</v>
      </c>
      <c r="C7048" s="195">
        <f t="shared" si="219"/>
        <v>10</v>
      </c>
      <c r="D7048" s="195">
        <v>57.7</v>
      </c>
      <c r="E7048" s="705">
        <f t="shared" si="220"/>
        <v>14.277777777777779</v>
      </c>
    </row>
    <row r="7049" spans="2:5">
      <c r="B7049" s="943">
        <v>45212</v>
      </c>
      <c r="C7049" s="195">
        <f t="shared" si="219"/>
        <v>10</v>
      </c>
      <c r="D7049" s="195">
        <v>58.3</v>
      </c>
      <c r="E7049" s="705">
        <f t="shared" si="220"/>
        <v>14.611111111111109</v>
      </c>
    </row>
    <row r="7050" spans="2:5">
      <c r="B7050" s="943">
        <v>45212</v>
      </c>
      <c r="C7050" s="195">
        <f t="shared" ref="C7050:C7113" si="221">MONTH(B7050)</f>
        <v>10</v>
      </c>
      <c r="D7050" s="195" t="s">
        <v>1441</v>
      </c>
      <c r="E7050" s="705">
        <f t="shared" ref="E7050:E7113" si="222">CONVERT(D7050,"F","C")</f>
        <v>15</v>
      </c>
    </row>
    <row r="7051" spans="2:5">
      <c r="B7051" s="943">
        <v>45212</v>
      </c>
      <c r="C7051" s="195">
        <f t="shared" si="221"/>
        <v>10</v>
      </c>
      <c r="D7051" s="195">
        <v>59.4</v>
      </c>
      <c r="E7051" s="705">
        <f t="shared" si="222"/>
        <v>15.222222222222221</v>
      </c>
    </row>
    <row r="7052" spans="2:5">
      <c r="B7052" s="943">
        <v>45212</v>
      </c>
      <c r="C7052" s="195">
        <f t="shared" si="221"/>
        <v>10</v>
      </c>
      <c r="D7052" s="195">
        <v>59.5</v>
      </c>
      <c r="E7052" s="705">
        <f t="shared" si="222"/>
        <v>15.277777777777777</v>
      </c>
    </row>
    <row r="7053" spans="2:5">
      <c r="B7053" s="943">
        <v>45212</v>
      </c>
      <c r="C7053" s="195">
        <f t="shared" si="221"/>
        <v>10</v>
      </c>
      <c r="D7053" s="195">
        <v>59.5</v>
      </c>
      <c r="E7053" s="705">
        <f t="shared" si="222"/>
        <v>15.277777777777777</v>
      </c>
    </row>
    <row r="7054" spans="2:5">
      <c r="B7054" s="943">
        <v>45212</v>
      </c>
      <c r="C7054" s="195">
        <f t="shared" si="221"/>
        <v>10</v>
      </c>
      <c r="D7054" s="195">
        <v>58.6</v>
      </c>
      <c r="E7054" s="705">
        <f t="shared" si="222"/>
        <v>14.777777777777779</v>
      </c>
    </row>
    <row r="7055" spans="2:5">
      <c r="B7055" s="943">
        <v>45212</v>
      </c>
      <c r="C7055" s="195">
        <f t="shared" si="221"/>
        <v>10</v>
      </c>
      <c r="D7055" s="195">
        <v>57.9</v>
      </c>
      <c r="E7055" s="705">
        <f t="shared" si="222"/>
        <v>14.388888888888888</v>
      </c>
    </row>
    <row r="7056" spans="2:5">
      <c r="B7056" s="943">
        <v>45212</v>
      </c>
      <c r="C7056" s="195">
        <f t="shared" si="221"/>
        <v>10</v>
      </c>
      <c r="D7056" s="195">
        <v>57.4</v>
      </c>
      <c r="E7056" s="705">
        <f t="shared" si="222"/>
        <v>14.111111111111111</v>
      </c>
    </row>
    <row r="7057" spans="2:5">
      <c r="B7057" s="943">
        <v>45212</v>
      </c>
      <c r="C7057" s="195">
        <f t="shared" si="221"/>
        <v>10</v>
      </c>
      <c r="D7057" s="195">
        <v>57.2</v>
      </c>
      <c r="E7057" s="705">
        <f t="shared" si="222"/>
        <v>14.000000000000002</v>
      </c>
    </row>
    <row r="7058" spans="2:5">
      <c r="B7058" s="943">
        <v>45212</v>
      </c>
      <c r="C7058" s="195">
        <f t="shared" si="221"/>
        <v>10</v>
      </c>
      <c r="D7058" s="195" t="s">
        <v>1440</v>
      </c>
      <c r="E7058" s="705">
        <f t="shared" si="222"/>
        <v>13.888888888888889</v>
      </c>
    </row>
    <row r="7059" spans="2:5">
      <c r="B7059" s="943">
        <v>45212</v>
      </c>
      <c r="C7059" s="195">
        <f t="shared" si="221"/>
        <v>10</v>
      </c>
      <c r="D7059" s="195">
        <v>57.2</v>
      </c>
      <c r="E7059" s="705">
        <f t="shared" si="222"/>
        <v>14.000000000000002</v>
      </c>
    </row>
    <row r="7060" spans="2:5">
      <c r="B7060" s="943">
        <v>45212</v>
      </c>
      <c r="C7060" s="195">
        <f t="shared" si="221"/>
        <v>10</v>
      </c>
      <c r="D7060" s="195">
        <v>57.4</v>
      </c>
      <c r="E7060" s="705">
        <f t="shared" si="222"/>
        <v>14.111111111111111</v>
      </c>
    </row>
    <row r="7061" spans="2:5">
      <c r="B7061" s="943">
        <v>45212</v>
      </c>
      <c r="C7061" s="195">
        <f t="shared" si="221"/>
        <v>10</v>
      </c>
      <c r="D7061" s="195">
        <v>57.9</v>
      </c>
      <c r="E7061" s="705">
        <f t="shared" si="222"/>
        <v>14.388888888888888</v>
      </c>
    </row>
    <row r="7062" spans="2:5">
      <c r="B7062" s="943">
        <v>45212</v>
      </c>
      <c r="C7062" s="195">
        <f t="shared" si="221"/>
        <v>10</v>
      </c>
      <c r="D7062" s="195">
        <v>58.8</v>
      </c>
      <c r="E7062" s="705">
        <f t="shared" si="222"/>
        <v>14.888888888888888</v>
      </c>
    </row>
    <row r="7063" spans="2:5">
      <c r="B7063" s="943">
        <v>45212</v>
      </c>
      <c r="C7063" s="195">
        <f t="shared" si="221"/>
        <v>10</v>
      </c>
      <c r="D7063" s="195">
        <v>59.4</v>
      </c>
      <c r="E7063" s="705">
        <f t="shared" si="222"/>
        <v>15.222222222222221</v>
      </c>
    </row>
    <row r="7064" spans="2:5">
      <c r="B7064" s="943">
        <v>45212</v>
      </c>
      <c r="C7064" s="195">
        <f t="shared" si="221"/>
        <v>10</v>
      </c>
      <c r="D7064" s="195">
        <v>59.5</v>
      </c>
      <c r="E7064" s="705">
        <f t="shared" si="222"/>
        <v>15.277777777777777</v>
      </c>
    </row>
    <row r="7065" spans="2:5">
      <c r="B7065" s="943">
        <v>45213</v>
      </c>
      <c r="C7065" s="195">
        <f t="shared" si="221"/>
        <v>10</v>
      </c>
      <c r="D7065" s="195">
        <v>59.5</v>
      </c>
      <c r="E7065" s="705">
        <f t="shared" si="222"/>
        <v>15.277777777777777</v>
      </c>
    </row>
    <row r="7066" spans="2:5">
      <c r="B7066" s="943">
        <v>45213</v>
      </c>
      <c r="C7066" s="195">
        <f t="shared" si="221"/>
        <v>10</v>
      </c>
      <c r="D7066" s="195" t="s">
        <v>1441</v>
      </c>
      <c r="E7066" s="705">
        <f t="shared" si="222"/>
        <v>15</v>
      </c>
    </row>
    <row r="7067" spans="2:5">
      <c r="B7067" s="943">
        <v>45213</v>
      </c>
      <c r="C7067" s="195">
        <f t="shared" si="221"/>
        <v>10</v>
      </c>
      <c r="D7067" s="195">
        <v>58.5</v>
      </c>
      <c r="E7067" s="705">
        <f t="shared" si="222"/>
        <v>14.722222222222221</v>
      </c>
    </row>
    <row r="7068" spans="2:5">
      <c r="B7068" s="943">
        <v>45213</v>
      </c>
      <c r="C7068" s="195">
        <f t="shared" si="221"/>
        <v>10</v>
      </c>
      <c r="D7068" s="195">
        <v>57.6</v>
      </c>
      <c r="E7068" s="705">
        <f t="shared" si="222"/>
        <v>14.222222222222223</v>
      </c>
    </row>
    <row r="7069" spans="2:5">
      <c r="B7069" s="943">
        <v>45213</v>
      </c>
      <c r="C7069" s="195">
        <f t="shared" si="221"/>
        <v>10</v>
      </c>
      <c r="D7069" s="195">
        <v>56.8</v>
      </c>
      <c r="E7069" s="705">
        <f t="shared" si="222"/>
        <v>13.777777777777775</v>
      </c>
    </row>
    <row r="7070" spans="2:5">
      <c r="B7070" s="943">
        <v>45213</v>
      </c>
      <c r="C7070" s="195">
        <f t="shared" si="221"/>
        <v>10</v>
      </c>
      <c r="D7070" s="195">
        <v>56.7</v>
      </c>
      <c r="E7070" s="705">
        <f t="shared" si="222"/>
        <v>13.722222222222223</v>
      </c>
    </row>
    <row r="7071" spans="2:5">
      <c r="B7071" s="943">
        <v>45213</v>
      </c>
      <c r="C7071" s="195">
        <f t="shared" si="221"/>
        <v>10</v>
      </c>
      <c r="D7071" s="195">
        <v>56.5</v>
      </c>
      <c r="E7071" s="705">
        <f t="shared" si="222"/>
        <v>13.611111111111111</v>
      </c>
    </row>
    <row r="7072" spans="2:5">
      <c r="B7072" s="943">
        <v>45213</v>
      </c>
      <c r="C7072" s="195">
        <f t="shared" si="221"/>
        <v>10</v>
      </c>
      <c r="D7072" s="195">
        <v>56.7</v>
      </c>
      <c r="E7072" s="705">
        <f t="shared" si="222"/>
        <v>13.722222222222223</v>
      </c>
    </row>
    <row r="7073" spans="2:5">
      <c r="B7073" s="943">
        <v>45213</v>
      </c>
      <c r="C7073" s="195">
        <f t="shared" si="221"/>
        <v>10</v>
      </c>
      <c r="D7073" s="195">
        <v>57.2</v>
      </c>
      <c r="E7073" s="705">
        <f t="shared" si="222"/>
        <v>14.000000000000002</v>
      </c>
    </row>
    <row r="7074" spans="2:5">
      <c r="B7074" s="943">
        <v>45213</v>
      </c>
      <c r="C7074" s="195">
        <f t="shared" si="221"/>
        <v>10</v>
      </c>
      <c r="D7074" s="195">
        <v>57.9</v>
      </c>
      <c r="E7074" s="705">
        <f t="shared" si="222"/>
        <v>14.388888888888888</v>
      </c>
    </row>
    <row r="7075" spans="2:5">
      <c r="B7075" s="943">
        <v>45213</v>
      </c>
      <c r="C7075" s="195">
        <f t="shared" si="221"/>
        <v>10</v>
      </c>
      <c r="D7075" s="195">
        <v>58.5</v>
      </c>
      <c r="E7075" s="705">
        <f t="shared" si="222"/>
        <v>14.722222222222221</v>
      </c>
    </row>
    <row r="7076" spans="2:5">
      <c r="B7076" s="943">
        <v>45213</v>
      </c>
      <c r="C7076" s="195">
        <f t="shared" si="221"/>
        <v>10</v>
      </c>
      <c r="D7076" s="195">
        <v>58.6</v>
      </c>
      <c r="E7076" s="705">
        <f t="shared" si="222"/>
        <v>14.777777777777779</v>
      </c>
    </row>
    <row r="7077" spans="2:5">
      <c r="B7077" s="943">
        <v>45213</v>
      </c>
      <c r="C7077" s="195">
        <f t="shared" si="221"/>
        <v>10</v>
      </c>
      <c r="D7077" s="195">
        <v>58.8</v>
      </c>
      <c r="E7077" s="705">
        <f t="shared" si="222"/>
        <v>14.888888888888888</v>
      </c>
    </row>
    <row r="7078" spans="2:5">
      <c r="B7078" s="943">
        <v>45213</v>
      </c>
      <c r="C7078" s="195">
        <f t="shared" si="221"/>
        <v>10</v>
      </c>
      <c r="D7078" s="195">
        <v>58.5</v>
      </c>
      <c r="E7078" s="705">
        <f t="shared" si="222"/>
        <v>14.722222222222221</v>
      </c>
    </row>
    <row r="7079" spans="2:5">
      <c r="B7079" s="943">
        <v>45213</v>
      </c>
      <c r="C7079" s="195">
        <f t="shared" si="221"/>
        <v>10</v>
      </c>
      <c r="D7079" s="195">
        <v>57.6</v>
      </c>
      <c r="E7079" s="705">
        <f t="shared" si="222"/>
        <v>14.222222222222223</v>
      </c>
    </row>
    <row r="7080" spans="2:5">
      <c r="B7080" s="943">
        <v>45213</v>
      </c>
      <c r="C7080" s="195">
        <f t="shared" si="221"/>
        <v>10</v>
      </c>
      <c r="D7080" s="195">
        <v>56.8</v>
      </c>
      <c r="E7080" s="705">
        <f t="shared" si="222"/>
        <v>13.777777777777775</v>
      </c>
    </row>
    <row r="7081" spans="2:5">
      <c r="B7081" s="943">
        <v>45213</v>
      </c>
      <c r="C7081" s="195">
        <f t="shared" si="221"/>
        <v>10</v>
      </c>
      <c r="D7081" s="195">
        <v>56.3</v>
      </c>
      <c r="E7081" s="705">
        <f t="shared" si="222"/>
        <v>13.499999999999998</v>
      </c>
    </row>
    <row r="7082" spans="2:5">
      <c r="B7082" s="943">
        <v>45213</v>
      </c>
      <c r="C7082" s="195">
        <f t="shared" si="221"/>
        <v>10</v>
      </c>
      <c r="D7082" s="195">
        <v>56.1</v>
      </c>
      <c r="E7082" s="705">
        <f t="shared" si="222"/>
        <v>13.388888888888889</v>
      </c>
    </row>
    <row r="7083" spans="2:5">
      <c r="B7083" s="943">
        <v>45213</v>
      </c>
      <c r="C7083" s="195">
        <f t="shared" si="221"/>
        <v>10</v>
      </c>
      <c r="D7083" s="195">
        <v>56.3</v>
      </c>
      <c r="E7083" s="705">
        <f t="shared" si="222"/>
        <v>13.499999999999998</v>
      </c>
    </row>
    <row r="7084" spans="2:5">
      <c r="B7084" s="943">
        <v>45213</v>
      </c>
      <c r="C7084" s="195">
        <f t="shared" si="221"/>
        <v>10</v>
      </c>
      <c r="D7084" s="195">
        <v>56.5</v>
      </c>
      <c r="E7084" s="705">
        <f t="shared" si="222"/>
        <v>13.611111111111111</v>
      </c>
    </row>
    <row r="7085" spans="2:5">
      <c r="B7085" s="943">
        <v>45213</v>
      </c>
      <c r="C7085" s="195">
        <f t="shared" si="221"/>
        <v>10</v>
      </c>
      <c r="D7085" s="195">
        <v>56.8</v>
      </c>
      <c r="E7085" s="705">
        <f t="shared" si="222"/>
        <v>13.777777777777775</v>
      </c>
    </row>
    <row r="7086" spans="2:5">
      <c r="B7086" s="943">
        <v>45213</v>
      </c>
      <c r="C7086" s="195">
        <f t="shared" si="221"/>
        <v>10</v>
      </c>
      <c r="D7086" s="195">
        <v>57.6</v>
      </c>
      <c r="E7086" s="705">
        <f t="shared" si="222"/>
        <v>14.222222222222223</v>
      </c>
    </row>
    <row r="7087" spans="2:5">
      <c r="B7087" s="943">
        <v>45213</v>
      </c>
      <c r="C7087" s="195">
        <f t="shared" si="221"/>
        <v>10</v>
      </c>
      <c r="D7087" s="195">
        <v>58.1</v>
      </c>
      <c r="E7087" s="705">
        <f t="shared" si="222"/>
        <v>14.5</v>
      </c>
    </row>
    <row r="7088" spans="2:5">
      <c r="B7088" s="943">
        <v>45213</v>
      </c>
      <c r="C7088" s="195">
        <f t="shared" si="221"/>
        <v>10</v>
      </c>
      <c r="D7088" s="195">
        <v>58.6</v>
      </c>
      <c r="E7088" s="705">
        <f t="shared" si="222"/>
        <v>14.777777777777779</v>
      </c>
    </row>
    <row r="7089" spans="2:5">
      <c r="B7089" s="943">
        <v>45214</v>
      </c>
      <c r="C7089" s="195">
        <f t="shared" si="221"/>
        <v>10</v>
      </c>
      <c r="D7089" s="195">
        <v>58.8</v>
      </c>
      <c r="E7089" s="705">
        <f t="shared" si="222"/>
        <v>14.888888888888888</v>
      </c>
    </row>
    <row r="7090" spans="2:5">
      <c r="B7090" s="943">
        <v>45214</v>
      </c>
      <c r="C7090" s="195">
        <f t="shared" si="221"/>
        <v>10</v>
      </c>
      <c r="D7090" s="195">
        <v>58.6</v>
      </c>
      <c r="E7090" s="705">
        <f t="shared" si="222"/>
        <v>14.777777777777779</v>
      </c>
    </row>
    <row r="7091" spans="2:5">
      <c r="B7091" s="943">
        <v>45214</v>
      </c>
      <c r="C7091" s="195">
        <f t="shared" si="221"/>
        <v>10</v>
      </c>
      <c r="D7091" s="195">
        <v>57.9</v>
      </c>
      <c r="E7091" s="705">
        <f t="shared" si="222"/>
        <v>14.388888888888888</v>
      </c>
    </row>
    <row r="7092" spans="2:5">
      <c r="B7092" s="943">
        <v>45214</v>
      </c>
      <c r="C7092" s="195">
        <f t="shared" si="221"/>
        <v>10</v>
      </c>
      <c r="D7092" s="195">
        <v>57.2</v>
      </c>
      <c r="E7092" s="705">
        <f t="shared" si="222"/>
        <v>14.000000000000002</v>
      </c>
    </row>
    <row r="7093" spans="2:5">
      <c r="B7093" s="943">
        <v>45214</v>
      </c>
      <c r="C7093" s="195">
        <f t="shared" si="221"/>
        <v>10</v>
      </c>
      <c r="D7093" s="195">
        <v>56.5</v>
      </c>
      <c r="E7093" s="705">
        <f t="shared" si="222"/>
        <v>13.611111111111111</v>
      </c>
    </row>
    <row r="7094" spans="2:5">
      <c r="B7094" s="943">
        <v>45214</v>
      </c>
      <c r="C7094" s="195">
        <f t="shared" si="221"/>
        <v>10</v>
      </c>
      <c r="D7094" s="195">
        <v>56.1</v>
      </c>
      <c r="E7094" s="705">
        <f t="shared" si="222"/>
        <v>13.388888888888889</v>
      </c>
    </row>
    <row r="7095" spans="2:5">
      <c r="B7095" s="943">
        <v>45214</v>
      </c>
      <c r="C7095" s="195">
        <f t="shared" si="221"/>
        <v>10</v>
      </c>
      <c r="D7095" s="195">
        <v>56.1</v>
      </c>
      <c r="E7095" s="705">
        <f t="shared" si="222"/>
        <v>13.388888888888889</v>
      </c>
    </row>
    <row r="7096" spans="2:5">
      <c r="B7096" s="943">
        <v>45214</v>
      </c>
      <c r="C7096" s="195">
        <f t="shared" si="221"/>
        <v>10</v>
      </c>
      <c r="D7096" s="195">
        <v>56.1</v>
      </c>
      <c r="E7096" s="705">
        <f t="shared" si="222"/>
        <v>13.388888888888889</v>
      </c>
    </row>
    <row r="7097" spans="2:5">
      <c r="B7097" s="943">
        <v>45214</v>
      </c>
      <c r="C7097" s="195">
        <f t="shared" si="221"/>
        <v>10</v>
      </c>
      <c r="D7097" s="195">
        <v>56.5</v>
      </c>
      <c r="E7097" s="705">
        <f t="shared" si="222"/>
        <v>13.611111111111111</v>
      </c>
    </row>
    <row r="7098" spans="2:5">
      <c r="B7098" s="943">
        <v>45214</v>
      </c>
      <c r="C7098" s="195">
        <f t="shared" si="221"/>
        <v>10</v>
      </c>
      <c r="D7098" s="195">
        <v>56.8</v>
      </c>
      <c r="E7098" s="705">
        <f t="shared" si="222"/>
        <v>13.777777777777775</v>
      </c>
    </row>
    <row r="7099" spans="2:5">
      <c r="B7099" s="943">
        <v>45214</v>
      </c>
      <c r="C7099" s="195">
        <f t="shared" si="221"/>
        <v>10</v>
      </c>
      <c r="D7099" s="195">
        <v>57.4</v>
      </c>
      <c r="E7099" s="705">
        <f t="shared" si="222"/>
        <v>14.111111111111111</v>
      </c>
    </row>
    <row r="7100" spans="2:5">
      <c r="B7100" s="943">
        <v>45214</v>
      </c>
      <c r="C7100" s="195">
        <f t="shared" si="221"/>
        <v>10</v>
      </c>
      <c r="D7100" s="195">
        <v>57.9</v>
      </c>
      <c r="E7100" s="705">
        <f t="shared" si="222"/>
        <v>14.388888888888888</v>
      </c>
    </row>
    <row r="7101" spans="2:5">
      <c r="B7101" s="943">
        <v>45214</v>
      </c>
      <c r="C7101" s="195">
        <f t="shared" si="221"/>
        <v>10</v>
      </c>
      <c r="D7101" s="195">
        <v>58.1</v>
      </c>
      <c r="E7101" s="705">
        <f t="shared" si="222"/>
        <v>14.5</v>
      </c>
    </row>
    <row r="7102" spans="2:5">
      <c r="B7102" s="943">
        <v>45214</v>
      </c>
      <c r="C7102" s="195">
        <f t="shared" si="221"/>
        <v>10</v>
      </c>
      <c r="D7102" s="195">
        <v>58.1</v>
      </c>
      <c r="E7102" s="705">
        <f t="shared" si="222"/>
        <v>14.5</v>
      </c>
    </row>
    <row r="7103" spans="2:5">
      <c r="B7103" s="943">
        <v>45214</v>
      </c>
      <c r="C7103" s="195">
        <f t="shared" si="221"/>
        <v>10</v>
      </c>
      <c r="D7103" s="195">
        <v>57.2</v>
      </c>
      <c r="E7103" s="705">
        <f t="shared" si="222"/>
        <v>14.000000000000002</v>
      </c>
    </row>
    <row r="7104" spans="2:5">
      <c r="B7104" s="943">
        <v>45214</v>
      </c>
      <c r="C7104" s="195">
        <f t="shared" si="221"/>
        <v>10</v>
      </c>
      <c r="D7104" s="195">
        <v>56.7</v>
      </c>
      <c r="E7104" s="705">
        <f t="shared" si="222"/>
        <v>13.722222222222223</v>
      </c>
    </row>
    <row r="7105" spans="2:5">
      <c r="B7105" s="943">
        <v>45214</v>
      </c>
      <c r="C7105" s="195">
        <f t="shared" si="221"/>
        <v>10</v>
      </c>
      <c r="D7105" s="195">
        <v>56.1</v>
      </c>
      <c r="E7105" s="705">
        <f t="shared" si="222"/>
        <v>13.388888888888889</v>
      </c>
    </row>
    <row r="7106" spans="2:5">
      <c r="B7106" s="943">
        <v>45214</v>
      </c>
      <c r="C7106" s="195">
        <f t="shared" si="221"/>
        <v>10</v>
      </c>
      <c r="D7106" s="195">
        <v>55.9</v>
      </c>
      <c r="E7106" s="705">
        <f t="shared" si="222"/>
        <v>13.277777777777777</v>
      </c>
    </row>
    <row r="7107" spans="2:5">
      <c r="B7107" s="943">
        <v>45214</v>
      </c>
      <c r="C7107" s="195">
        <f t="shared" si="221"/>
        <v>10</v>
      </c>
      <c r="D7107" s="195">
        <v>55.9</v>
      </c>
      <c r="E7107" s="705">
        <f t="shared" si="222"/>
        <v>13.277777777777777</v>
      </c>
    </row>
    <row r="7108" spans="2:5">
      <c r="B7108" s="943">
        <v>45214</v>
      </c>
      <c r="C7108" s="195">
        <f t="shared" si="221"/>
        <v>10</v>
      </c>
      <c r="D7108" s="195">
        <v>56.1</v>
      </c>
      <c r="E7108" s="705">
        <f t="shared" si="222"/>
        <v>13.388888888888889</v>
      </c>
    </row>
    <row r="7109" spans="2:5">
      <c r="B7109" s="943">
        <v>45214</v>
      </c>
      <c r="C7109" s="195">
        <f t="shared" si="221"/>
        <v>10</v>
      </c>
      <c r="D7109" s="195">
        <v>56.1</v>
      </c>
      <c r="E7109" s="705">
        <f t="shared" si="222"/>
        <v>13.388888888888889</v>
      </c>
    </row>
    <row r="7110" spans="2:5">
      <c r="B7110" s="943">
        <v>45214</v>
      </c>
      <c r="C7110" s="195">
        <f t="shared" si="221"/>
        <v>10</v>
      </c>
      <c r="D7110" s="195">
        <v>56.7</v>
      </c>
      <c r="E7110" s="705">
        <f t="shared" si="222"/>
        <v>13.722222222222223</v>
      </c>
    </row>
    <row r="7111" spans="2:5">
      <c r="B7111" s="943">
        <v>45214</v>
      </c>
      <c r="C7111" s="195">
        <f t="shared" si="221"/>
        <v>10</v>
      </c>
      <c r="D7111" s="195">
        <v>57.2</v>
      </c>
      <c r="E7111" s="705">
        <f t="shared" si="222"/>
        <v>14.000000000000002</v>
      </c>
    </row>
    <row r="7112" spans="2:5">
      <c r="B7112" s="943">
        <v>45214</v>
      </c>
      <c r="C7112" s="195">
        <f t="shared" si="221"/>
        <v>10</v>
      </c>
      <c r="D7112" s="195">
        <v>57.6</v>
      </c>
      <c r="E7112" s="705">
        <f t="shared" si="222"/>
        <v>14.222222222222223</v>
      </c>
    </row>
    <row r="7113" spans="2:5">
      <c r="B7113" s="943">
        <v>45215</v>
      </c>
      <c r="C7113" s="195">
        <f t="shared" si="221"/>
        <v>10</v>
      </c>
      <c r="D7113" s="195">
        <v>57.9</v>
      </c>
      <c r="E7113" s="705">
        <f t="shared" si="222"/>
        <v>14.388888888888888</v>
      </c>
    </row>
    <row r="7114" spans="2:5">
      <c r="B7114" s="943">
        <v>45215</v>
      </c>
      <c r="C7114" s="195">
        <f t="shared" ref="C7114:C7177" si="223">MONTH(B7114)</f>
        <v>10</v>
      </c>
      <c r="D7114" s="195">
        <v>57.9</v>
      </c>
      <c r="E7114" s="705">
        <f t="shared" ref="E7114:E7177" si="224">CONVERT(D7114,"F","C")</f>
        <v>14.388888888888888</v>
      </c>
    </row>
    <row r="7115" spans="2:5">
      <c r="B7115" s="943">
        <v>45215</v>
      </c>
      <c r="C7115" s="195">
        <f t="shared" si="223"/>
        <v>10</v>
      </c>
      <c r="D7115" s="195">
        <v>57.9</v>
      </c>
      <c r="E7115" s="705">
        <f t="shared" si="224"/>
        <v>14.388888888888888</v>
      </c>
    </row>
    <row r="7116" spans="2:5">
      <c r="B7116" s="943">
        <v>45215</v>
      </c>
      <c r="C7116" s="195">
        <f t="shared" si="223"/>
        <v>10</v>
      </c>
      <c r="D7116" s="195">
        <v>57.2</v>
      </c>
      <c r="E7116" s="705">
        <f t="shared" si="224"/>
        <v>14.000000000000002</v>
      </c>
    </row>
    <row r="7117" spans="2:5">
      <c r="B7117" s="943">
        <v>45215</v>
      </c>
      <c r="C7117" s="195">
        <f t="shared" si="223"/>
        <v>10</v>
      </c>
      <c r="D7117" s="195">
        <v>56.7</v>
      </c>
      <c r="E7117" s="705">
        <f t="shared" si="224"/>
        <v>13.722222222222223</v>
      </c>
    </row>
    <row r="7118" spans="2:5">
      <c r="B7118" s="943">
        <v>45215</v>
      </c>
      <c r="C7118" s="195">
        <f t="shared" si="223"/>
        <v>10</v>
      </c>
      <c r="D7118" s="195">
        <v>56.1</v>
      </c>
      <c r="E7118" s="705">
        <f t="shared" si="224"/>
        <v>13.388888888888889</v>
      </c>
    </row>
    <row r="7119" spans="2:5">
      <c r="B7119" s="943">
        <v>45215</v>
      </c>
      <c r="C7119" s="195">
        <f t="shared" si="223"/>
        <v>10</v>
      </c>
      <c r="D7119" s="195">
        <v>56.1</v>
      </c>
      <c r="E7119" s="705">
        <f t="shared" si="224"/>
        <v>13.388888888888889</v>
      </c>
    </row>
    <row r="7120" spans="2:5">
      <c r="B7120" s="943">
        <v>45215</v>
      </c>
      <c r="C7120" s="195">
        <f t="shared" si="223"/>
        <v>10</v>
      </c>
      <c r="D7120" s="195">
        <v>55.9</v>
      </c>
      <c r="E7120" s="705">
        <f t="shared" si="224"/>
        <v>13.277777777777777</v>
      </c>
    </row>
    <row r="7121" spans="2:5">
      <c r="B7121" s="943">
        <v>45215</v>
      </c>
      <c r="C7121" s="195">
        <f t="shared" si="223"/>
        <v>10</v>
      </c>
      <c r="D7121" s="195">
        <v>56.1</v>
      </c>
      <c r="E7121" s="705">
        <f t="shared" si="224"/>
        <v>13.388888888888889</v>
      </c>
    </row>
    <row r="7122" spans="2:5">
      <c r="B7122" s="943">
        <v>45215</v>
      </c>
      <c r="C7122" s="195">
        <f t="shared" si="223"/>
        <v>10</v>
      </c>
      <c r="D7122" s="195">
        <v>56.3</v>
      </c>
      <c r="E7122" s="705">
        <f t="shared" si="224"/>
        <v>13.499999999999998</v>
      </c>
    </row>
    <row r="7123" spans="2:5">
      <c r="B7123" s="943">
        <v>45215</v>
      </c>
      <c r="C7123" s="195">
        <f t="shared" si="223"/>
        <v>10</v>
      </c>
      <c r="D7123" s="195">
        <v>56.7</v>
      </c>
      <c r="E7123" s="705">
        <f t="shared" si="224"/>
        <v>13.722222222222223</v>
      </c>
    </row>
    <row r="7124" spans="2:5">
      <c r="B7124" s="943">
        <v>45215</v>
      </c>
      <c r="C7124" s="195">
        <f t="shared" si="223"/>
        <v>10</v>
      </c>
      <c r="D7124" s="195">
        <v>57.2</v>
      </c>
      <c r="E7124" s="705">
        <f t="shared" si="224"/>
        <v>14.000000000000002</v>
      </c>
    </row>
    <row r="7125" spans="2:5">
      <c r="B7125" s="943">
        <v>45215</v>
      </c>
      <c r="C7125" s="195">
        <f t="shared" si="223"/>
        <v>10</v>
      </c>
      <c r="D7125" s="195">
        <v>57.4</v>
      </c>
      <c r="E7125" s="705">
        <f t="shared" si="224"/>
        <v>14.111111111111111</v>
      </c>
    </row>
    <row r="7126" spans="2:5">
      <c r="B7126" s="943">
        <v>45215</v>
      </c>
      <c r="C7126" s="195">
        <f t="shared" si="223"/>
        <v>10</v>
      </c>
      <c r="D7126" s="195">
        <v>57.4</v>
      </c>
      <c r="E7126" s="705">
        <f t="shared" si="224"/>
        <v>14.111111111111111</v>
      </c>
    </row>
    <row r="7127" spans="2:5">
      <c r="B7127" s="943">
        <v>45215</v>
      </c>
      <c r="C7127" s="195">
        <f t="shared" si="223"/>
        <v>10</v>
      </c>
      <c r="D7127" s="195">
        <v>57.2</v>
      </c>
      <c r="E7127" s="705">
        <f t="shared" si="224"/>
        <v>14.000000000000002</v>
      </c>
    </row>
    <row r="7128" spans="2:5">
      <c r="B7128" s="943">
        <v>45215</v>
      </c>
      <c r="C7128" s="195">
        <f t="shared" si="223"/>
        <v>10</v>
      </c>
      <c r="D7128" s="195">
        <v>56.7</v>
      </c>
      <c r="E7128" s="705">
        <f t="shared" si="224"/>
        <v>13.722222222222223</v>
      </c>
    </row>
    <row r="7129" spans="2:5">
      <c r="B7129" s="943">
        <v>45215</v>
      </c>
      <c r="C7129" s="195">
        <f t="shared" si="223"/>
        <v>10</v>
      </c>
      <c r="D7129" s="195">
        <v>56.3</v>
      </c>
      <c r="E7129" s="705">
        <f t="shared" si="224"/>
        <v>13.499999999999998</v>
      </c>
    </row>
    <row r="7130" spans="2:5">
      <c r="B7130" s="943">
        <v>45215</v>
      </c>
      <c r="C7130" s="195">
        <f t="shared" si="223"/>
        <v>10</v>
      </c>
      <c r="D7130" s="195">
        <v>55.9</v>
      </c>
      <c r="E7130" s="705">
        <f t="shared" si="224"/>
        <v>13.277777777777777</v>
      </c>
    </row>
    <row r="7131" spans="2:5">
      <c r="B7131" s="943">
        <v>45215</v>
      </c>
      <c r="C7131" s="195">
        <f t="shared" si="223"/>
        <v>10</v>
      </c>
      <c r="D7131" s="195">
        <v>55.9</v>
      </c>
      <c r="E7131" s="705">
        <f t="shared" si="224"/>
        <v>13.277777777777777</v>
      </c>
    </row>
    <row r="7132" spans="2:5">
      <c r="B7132" s="943">
        <v>45215</v>
      </c>
      <c r="C7132" s="195">
        <f t="shared" si="223"/>
        <v>10</v>
      </c>
      <c r="D7132" s="195">
        <v>56.1</v>
      </c>
      <c r="E7132" s="705">
        <f t="shared" si="224"/>
        <v>13.388888888888889</v>
      </c>
    </row>
    <row r="7133" spans="2:5">
      <c r="B7133" s="943">
        <v>45215</v>
      </c>
      <c r="C7133" s="195">
        <f t="shared" si="223"/>
        <v>10</v>
      </c>
      <c r="D7133" s="195">
        <v>56.1</v>
      </c>
      <c r="E7133" s="705">
        <f t="shared" si="224"/>
        <v>13.388888888888889</v>
      </c>
    </row>
    <row r="7134" spans="2:5">
      <c r="B7134" s="943">
        <v>45215</v>
      </c>
      <c r="C7134" s="195">
        <f t="shared" si="223"/>
        <v>10</v>
      </c>
      <c r="D7134" s="195">
        <v>56.3</v>
      </c>
      <c r="E7134" s="705">
        <f t="shared" si="224"/>
        <v>13.499999999999998</v>
      </c>
    </row>
    <row r="7135" spans="2:5">
      <c r="B7135" s="943">
        <v>45215</v>
      </c>
      <c r="C7135" s="195">
        <f t="shared" si="223"/>
        <v>10</v>
      </c>
      <c r="D7135" s="195">
        <v>56.7</v>
      </c>
      <c r="E7135" s="705">
        <f t="shared" si="224"/>
        <v>13.722222222222223</v>
      </c>
    </row>
    <row r="7136" spans="2:5">
      <c r="B7136" s="943">
        <v>45215</v>
      </c>
      <c r="C7136" s="195">
        <f t="shared" si="223"/>
        <v>10</v>
      </c>
      <c r="D7136" s="195">
        <v>57.2</v>
      </c>
      <c r="E7136" s="705">
        <f t="shared" si="224"/>
        <v>14.000000000000002</v>
      </c>
    </row>
    <row r="7137" spans="2:5">
      <c r="B7137" s="943">
        <v>45216</v>
      </c>
      <c r="C7137" s="195">
        <f t="shared" si="223"/>
        <v>10</v>
      </c>
      <c r="D7137" s="195">
        <v>57.4</v>
      </c>
      <c r="E7137" s="705">
        <f t="shared" si="224"/>
        <v>14.111111111111111</v>
      </c>
    </row>
    <row r="7138" spans="2:5">
      <c r="B7138" s="943">
        <v>45216</v>
      </c>
      <c r="C7138" s="195">
        <f t="shared" si="223"/>
        <v>10</v>
      </c>
      <c r="D7138" s="195">
        <v>57.6</v>
      </c>
      <c r="E7138" s="705">
        <f t="shared" si="224"/>
        <v>14.222222222222223</v>
      </c>
    </row>
    <row r="7139" spans="2:5">
      <c r="B7139" s="943">
        <v>45216</v>
      </c>
      <c r="C7139" s="195">
        <f t="shared" si="223"/>
        <v>10</v>
      </c>
      <c r="D7139" s="195">
        <v>57.6</v>
      </c>
      <c r="E7139" s="705">
        <f t="shared" si="224"/>
        <v>14.222222222222223</v>
      </c>
    </row>
    <row r="7140" spans="2:5">
      <c r="B7140" s="943">
        <v>45216</v>
      </c>
      <c r="C7140" s="195">
        <f t="shared" si="223"/>
        <v>10</v>
      </c>
      <c r="D7140" s="195">
        <v>57.2</v>
      </c>
      <c r="E7140" s="705">
        <f t="shared" si="224"/>
        <v>14.000000000000002</v>
      </c>
    </row>
    <row r="7141" spans="2:5">
      <c r="B7141" s="943">
        <v>45216</v>
      </c>
      <c r="C7141" s="195">
        <f t="shared" si="223"/>
        <v>10</v>
      </c>
      <c r="D7141" s="195">
        <v>56.8</v>
      </c>
      <c r="E7141" s="705">
        <f t="shared" si="224"/>
        <v>13.777777777777775</v>
      </c>
    </row>
    <row r="7142" spans="2:5">
      <c r="B7142" s="943">
        <v>45216</v>
      </c>
      <c r="C7142" s="195">
        <f t="shared" si="223"/>
        <v>10</v>
      </c>
      <c r="D7142" s="195">
        <v>56.5</v>
      </c>
      <c r="E7142" s="705">
        <f t="shared" si="224"/>
        <v>13.611111111111111</v>
      </c>
    </row>
    <row r="7143" spans="2:5">
      <c r="B7143" s="943">
        <v>45216</v>
      </c>
      <c r="C7143" s="195">
        <f t="shared" si="223"/>
        <v>10</v>
      </c>
      <c r="D7143" s="195">
        <v>56.3</v>
      </c>
      <c r="E7143" s="705">
        <f t="shared" si="224"/>
        <v>13.499999999999998</v>
      </c>
    </row>
    <row r="7144" spans="2:5">
      <c r="B7144" s="943">
        <v>45216</v>
      </c>
      <c r="C7144" s="195">
        <f t="shared" si="223"/>
        <v>10</v>
      </c>
      <c r="D7144" s="195">
        <v>56.3</v>
      </c>
      <c r="E7144" s="705">
        <f t="shared" si="224"/>
        <v>13.499999999999998</v>
      </c>
    </row>
    <row r="7145" spans="2:5">
      <c r="B7145" s="943">
        <v>45216</v>
      </c>
      <c r="C7145" s="195">
        <f t="shared" si="223"/>
        <v>10</v>
      </c>
      <c r="D7145" s="195">
        <v>56.3</v>
      </c>
      <c r="E7145" s="705">
        <f t="shared" si="224"/>
        <v>13.499999999999998</v>
      </c>
    </row>
    <row r="7146" spans="2:5">
      <c r="B7146" s="943">
        <v>45216</v>
      </c>
      <c r="C7146" s="195">
        <f t="shared" si="223"/>
        <v>10</v>
      </c>
      <c r="D7146" s="195">
        <v>56.3</v>
      </c>
      <c r="E7146" s="705">
        <f t="shared" si="224"/>
        <v>13.499999999999998</v>
      </c>
    </row>
    <row r="7147" spans="2:5">
      <c r="B7147" s="943">
        <v>45216</v>
      </c>
      <c r="C7147" s="195">
        <f t="shared" si="223"/>
        <v>10</v>
      </c>
      <c r="D7147" s="195">
        <v>56.5</v>
      </c>
      <c r="E7147" s="705">
        <f t="shared" si="224"/>
        <v>13.611111111111111</v>
      </c>
    </row>
    <row r="7148" spans="2:5">
      <c r="B7148" s="943">
        <v>45216</v>
      </c>
      <c r="C7148" s="195">
        <f t="shared" si="223"/>
        <v>10</v>
      </c>
      <c r="D7148" s="195">
        <v>56.8</v>
      </c>
      <c r="E7148" s="705">
        <f t="shared" si="224"/>
        <v>13.777777777777775</v>
      </c>
    </row>
    <row r="7149" spans="2:5">
      <c r="B7149" s="943">
        <v>45216</v>
      </c>
      <c r="C7149" s="195">
        <f t="shared" si="223"/>
        <v>10</v>
      </c>
      <c r="D7149" s="195" t="s">
        <v>1440</v>
      </c>
      <c r="E7149" s="705">
        <f t="shared" si="224"/>
        <v>13.888888888888889</v>
      </c>
    </row>
    <row r="7150" spans="2:5">
      <c r="B7150" s="943">
        <v>45216</v>
      </c>
      <c r="C7150" s="195">
        <f t="shared" si="223"/>
        <v>10</v>
      </c>
      <c r="D7150" s="195">
        <v>57.2</v>
      </c>
      <c r="E7150" s="705">
        <f t="shared" si="224"/>
        <v>14.000000000000002</v>
      </c>
    </row>
    <row r="7151" spans="2:5">
      <c r="B7151" s="943">
        <v>45216</v>
      </c>
      <c r="C7151" s="195">
        <f t="shared" si="223"/>
        <v>10</v>
      </c>
      <c r="D7151" s="195">
        <v>57.4</v>
      </c>
      <c r="E7151" s="705">
        <f t="shared" si="224"/>
        <v>14.111111111111111</v>
      </c>
    </row>
    <row r="7152" spans="2:5">
      <c r="B7152" s="943">
        <v>45216</v>
      </c>
      <c r="C7152" s="195">
        <f t="shared" si="223"/>
        <v>10</v>
      </c>
      <c r="D7152" s="195">
        <v>56.8</v>
      </c>
      <c r="E7152" s="705">
        <f t="shared" si="224"/>
        <v>13.777777777777775</v>
      </c>
    </row>
    <row r="7153" spans="2:5">
      <c r="B7153" s="943">
        <v>45216</v>
      </c>
      <c r="C7153" s="195">
        <f t="shared" si="223"/>
        <v>10</v>
      </c>
      <c r="D7153" s="195">
        <v>56.7</v>
      </c>
      <c r="E7153" s="705">
        <f t="shared" si="224"/>
        <v>13.722222222222223</v>
      </c>
    </row>
    <row r="7154" spans="2:5">
      <c r="B7154" s="943">
        <v>45216</v>
      </c>
      <c r="C7154" s="195">
        <f t="shared" si="223"/>
        <v>10</v>
      </c>
      <c r="D7154" s="195">
        <v>56.7</v>
      </c>
      <c r="E7154" s="705">
        <f t="shared" si="224"/>
        <v>13.722222222222223</v>
      </c>
    </row>
    <row r="7155" spans="2:5">
      <c r="B7155" s="943">
        <v>45216</v>
      </c>
      <c r="C7155" s="195">
        <f t="shared" si="223"/>
        <v>10</v>
      </c>
      <c r="D7155" s="195">
        <v>56.8</v>
      </c>
      <c r="E7155" s="705">
        <f t="shared" si="224"/>
        <v>13.777777777777775</v>
      </c>
    </row>
    <row r="7156" spans="2:5">
      <c r="B7156" s="943">
        <v>45216</v>
      </c>
      <c r="C7156" s="195">
        <f t="shared" si="223"/>
        <v>10</v>
      </c>
      <c r="D7156" s="195">
        <v>56.8</v>
      </c>
      <c r="E7156" s="705">
        <f t="shared" si="224"/>
        <v>13.777777777777775</v>
      </c>
    </row>
    <row r="7157" spans="2:5">
      <c r="B7157" s="943">
        <v>45216</v>
      </c>
      <c r="C7157" s="195">
        <f t="shared" si="223"/>
        <v>10</v>
      </c>
      <c r="D7157" s="195">
        <v>56.8</v>
      </c>
      <c r="E7157" s="705">
        <f t="shared" si="224"/>
        <v>13.777777777777775</v>
      </c>
    </row>
    <row r="7158" spans="2:5">
      <c r="B7158" s="943">
        <v>45216</v>
      </c>
      <c r="C7158" s="195">
        <f t="shared" si="223"/>
        <v>10</v>
      </c>
      <c r="D7158" s="195">
        <v>56.8</v>
      </c>
      <c r="E7158" s="705">
        <f t="shared" si="224"/>
        <v>13.777777777777775</v>
      </c>
    </row>
    <row r="7159" spans="2:5">
      <c r="B7159" s="943">
        <v>45216</v>
      </c>
      <c r="C7159" s="195">
        <f t="shared" si="223"/>
        <v>10</v>
      </c>
      <c r="D7159" s="195">
        <v>56.8</v>
      </c>
      <c r="E7159" s="705">
        <f t="shared" si="224"/>
        <v>13.777777777777775</v>
      </c>
    </row>
    <row r="7160" spans="2:5">
      <c r="B7160" s="943">
        <v>45216</v>
      </c>
      <c r="C7160" s="195">
        <f t="shared" si="223"/>
        <v>10</v>
      </c>
      <c r="D7160" s="195" t="s">
        <v>1440</v>
      </c>
      <c r="E7160" s="705">
        <f t="shared" si="224"/>
        <v>13.888888888888889</v>
      </c>
    </row>
    <row r="7161" spans="2:5">
      <c r="B7161" s="943">
        <v>45217</v>
      </c>
      <c r="C7161" s="195">
        <f t="shared" si="223"/>
        <v>10</v>
      </c>
      <c r="D7161" s="195">
        <v>57.2</v>
      </c>
      <c r="E7161" s="705">
        <f t="shared" si="224"/>
        <v>14.000000000000002</v>
      </c>
    </row>
    <row r="7162" spans="2:5">
      <c r="B7162" s="943">
        <v>45217</v>
      </c>
      <c r="C7162" s="195">
        <f t="shared" si="223"/>
        <v>10</v>
      </c>
      <c r="D7162" s="195">
        <v>57.4</v>
      </c>
      <c r="E7162" s="705">
        <f t="shared" si="224"/>
        <v>14.111111111111111</v>
      </c>
    </row>
    <row r="7163" spans="2:5">
      <c r="B7163" s="943">
        <v>45217</v>
      </c>
      <c r="C7163" s="195">
        <f t="shared" si="223"/>
        <v>10</v>
      </c>
      <c r="D7163" s="195">
        <v>57.4</v>
      </c>
      <c r="E7163" s="705">
        <f t="shared" si="224"/>
        <v>14.111111111111111</v>
      </c>
    </row>
    <row r="7164" spans="2:5">
      <c r="B7164" s="943">
        <v>45217</v>
      </c>
      <c r="C7164" s="195">
        <f t="shared" si="223"/>
        <v>10</v>
      </c>
      <c r="D7164" s="195">
        <v>57.4</v>
      </c>
      <c r="E7164" s="705">
        <f t="shared" si="224"/>
        <v>14.111111111111111</v>
      </c>
    </row>
    <row r="7165" spans="2:5">
      <c r="B7165" s="943">
        <v>45217</v>
      </c>
      <c r="C7165" s="195">
        <f t="shared" si="223"/>
        <v>10</v>
      </c>
      <c r="D7165" s="195">
        <v>57.2</v>
      </c>
      <c r="E7165" s="705">
        <f t="shared" si="224"/>
        <v>14.000000000000002</v>
      </c>
    </row>
    <row r="7166" spans="2:5">
      <c r="B7166" s="943">
        <v>45217</v>
      </c>
      <c r="C7166" s="195">
        <f t="shared" si="223"/>
        <v>10</v>
      </c>
      <c r="D7166" s="195" t="s">
        <v>1440</v>
      </c>
      <c r="E7166" s="705">
        <f t="shared" si="224"/>
        <v>13.888888888888889</v>
      </c>
    </row>
    <row r="7167" spans="2:5">
      <c r="B7167" s="943">
        <v>45217</v>
      </c>
      <c r="C7167" s="195">
        <f t="shared" si="223"/>
        <v>10</v>
      </c>
      <c r="D7167" s="195" t="s">
        <v>1440</v>
      </c>
      <c r="E7167" s="705">
        <f t="shared" si="224"/>
        <v>13.888888888888889</v>
      </c>
    </row>
    <row r="7168" spans="2:5">
      <c r="B7168" s="943">
        <v>45217</v>
      </c>
      <c r="C7168" s="195">
        <f t="shared" si="223"/>
        <v>10</v>
      </c>
      <c r="D7168" s="195" t="s">
        <v>1440</v>
      </c>
      <c r="E7168" s="705">
        <f t="shared" si="224"/>
        <v>13.888888888888889</v>
      </c>
    </row>
    <row r="7169" spans="2:5">
      <c r="B7169" s="943">
        <v>45217</v>
      </c>
      <c r="C7169" s="195">
        <f t="shared" si="223"/>
        <v>10</v>
      </c>
      <c r="D7169" s="195" t="s">
        <v>1440</v>
      </c>
      <c r="E7169" s="705">
        <f t="shared" si="224"/>
        <v>13.888888888888889</v>
      </c>
    </row>
    <row r="7170" spans="2:5">
      <c r="B7170" s="943">
        <v>45217</v>
      </c>
      <c r="C7170" s="195">
        <f t="shared" si="223"/>
        <v>10</v>
      </c>
      <c r="D7170" s="195" t="s">
        <v>1440</v>
      </c>
      <c r="E7170" s="705">
        <f t="shared" si="224"/>
        <v>13.888888888888889</v>
      </c>
    </row>
    <row r="7171" spans="2:5">
      <c r="B7171" s="943">
        <v>45217</v>
      </c>
      <c r="C7171" s="195">
        <f t="shared" si="223"/>
        <v>10</v>
      </c>
      <c r="D7171" s="195" t="s">
        <v>1440</v>
      </c>
      <c r="E7171" s="705">
        <f t="shared" si="224"/>
        <v>13.888888888888889</v>
      </c>
    </row>
    <row r="7172" spans="2:5">
      <c r="B7172" s="943">
        <v>45217</v>
      </c>
      <c r="C7172" s="195">
        <f t="shared" si="223"/>
        <v>10</v>
      </c>
      <c r="D7172" s="195" t="s">
        <v>1440</v>
      </c>
      <c r="E7172" s="705">
        <f t="shared" si="224"/>
        <v>13.888888888888889</v>
      </c>
    </row>
    <row r="7173" spans="2:5">
      <c r="B7173" s="943">
        <v>45217</v>
      </c>
      <c r="C7173" s="195">
        <f t="shared" si="223"/>
        <v>10</v>
      </c>
      <c r="D7173" s="195">
        <v>57.2</v>
      </c>
      <c r="E7173" s="705">
        <f t="shared" si="224"/>
        <v>14.000000000000002</v>
      </c>
    </row>
    <row r="7174" spans="2:5">
      <c r="B7174" s="943">
        <v>45217</v>
      </c>
      <c r="C7174" s="195">
        <f t="shared" si="223"/>
        <v>10</v>
      </c>
      <c r="D7174" s="195">
        <v>57.2</v>
      </c>
      <c r="E7174" s="705">
        <f t="shared" si="224"/>
        <v>14.000000000000002</v>
      </c>
    </row>
    <row r="7175" spans="2:5">
      <c r="B7175" s="943">
        <v>45217</v>
      </c>
      <c r="C7175" s="195">
        <f t="shared" si="223"/>
        <v>10</v>
      </c>
      <c r="D7175" s="195">
        <v>57.2</v>
      </c>
      <c r="E7175" s="705">
        <f t="shared" si="224"/>
        <v>14.000000000000002</v>
      </c>
    </row>
    <row r="7176" spans="2:5">
      <c r="B7176" s="943">
        <v>45217</v>
      </c>
      <c r="C7176" s="195">
        <f t="shared" si="223"/>
        <v>10</v>
      </c>
      <c r="D7176" s="195">
        <v>57.2</v>
      </c>
      <c r="E7176" s="705">
        <f t="shared" si="224"/>
        <v>14.000000000000002</v>
      </c>
    </row>
    <row r="7177" spans="2:5">
      <c r="B7177" s="943">
        <v>45217</v>
      </c>
      <c r="C7177" s="195">
        <f t="shared" si="223"/>
        <v>10</v>
      </c>
      <c r="D7177" s="195">
        <v>57.2</v>
      </c>
      <c r="E7177" s="705">
        <f t="shared" si="224"/>
        <v>14.000000000000002</v>
      </c>
    </row>
    <row r="7178" spans="2:5">
      <c r="B7178" s="943">
        <v>45217</v>
      </c>
      <c r="C7178" s="195">
        <f t="shared" ref="C7178:C7241" si="225">MONTH(B7178)</f>
        <v>10</v>
      </c>
      <c r="D7178" s="195" t="s">
        <v>1440</v>
      </c>
      <c r="E7178" s="705">
        <f t="shared" ref="E7178:E7241" si="226">CONVERT(D7178,"F","C")</f>
        <v>13.888888888888889</v>
      </c>
    </row>
    <row r="7179" spans="2:5">
      <c r="B7179" s="943">
        <v>45217</v>
      </c>
      <c r="C7179" s="195">
        <f t="shared" si="225"/>
        <v>10</v>
      </c>
      <c r="D7179" s="195" t="s">
        <v>1440</v>
      </c>
      <c r="E7179" s="705">
        <f t="shared" si="226"/>
        <v>13.888888888888889</v>
      </c>
    </row>
    <row r="7180" spans="2:5">
      <c r="B7180" s="943">
        <v>45217</v>
      </c>
      <c r="C7180" s="195">
        <f t="shared" si="225"/>
        <v>10</v>
      </c>
      <c r="D7180" s="195" t="s">
        <v>1440</v>
      </c>
      <c r="E7180" s="705">
        <f t="shared" si="226"/>
        <v>13.888888888888889</v>
      </c>
    </row>
    <row r="7181" spans="2:5">
      <c r="B7181" s="943">
        <v>45217</v>
      </c>
      <c r="C7181" s="195">
        <f t="shared" si="225"/>
        <v>10</v>
      </c>
      <c r="D7181" s="195" t="s">
        <v>1440</v>
      </c>
      <c r="E7181" s="705">
        <f t="shared" si="226"/>
        <v>13.888888888888889</v>
      </c>
    </row>
    <row r="7182" spans="2:5">
      <c r="B7182" s="943">
        <v>45217</v>
      </c>
      <c r="C7182" s="195">
        <f t="shared" si="225"/>
        <v>10</v>
      </c>
      <c r="D7182" s="195">
        <v>57.2</v>
      </c>
      <c r="E7182" s="705">
        <f t="shared" si="226"/>
        <v>14.000000000000002</v>
      </c>
    </row>
    <row r="7183" spans="2:5">
      <c r="B7183" s="943">
        <v>45217</v>
      </c>
      <c r="C7183" s="195">
        <f t="shared" si="225"/>
        <v>10</v>
      </c>
      <c r="D7183" s="195">
        <v>57.2</v>
      </c>
      <c r="E7183" s="705">
        <f t="shared" si="226"/>
        <v>14.000000000000002</v>
      </c>
    </row>
    <row r="7184" spans="2:5">
      <c r="B7184" s="943">
        <v>45217</v>
      </c>
      <c r="C7184" s="195">
        <f t="shared" si="225"/>
        <v>10</v>
      </c>
      <c r="D7184" s="195">
        <v>57.2</v>
      </c>
      <c r="E7184" s="705">
        <f t="shared" si="226"/>
        <v>14.000000000000002</v>
      </c>
    </row>
    <row r="7185" spans="2:5">
      <c r="B7185" s="943">
        <v>45218</v>
      </c>
      <c r="C7185" s="195">
        <f t="shared" si="225"/>
        <v>10</v>
      </c>
      <c r="D7185" s="195">
        <v>57.4</v>
      </c>
      <c r="E7185" s="705">
        <f t="shared" si="226"/>
        <v>14.111111111111111</v>
      </c>
    </row>
    <row r="7186" spans="2:5">
      <c r="B7186" s="943">
        <v>45218</v>
      </c>
      <c r="C7186" s="195">
        <f t="shared" si="225"/>
        <v>10</v>
      </c>
      <c r="D7186" s="195">
        <v>57.4</v>
      </c>
      <c r="E7186" s="705">
        <f t="shared" si="226"/>
        <v>14.111111111111111</v>
      </c>
    </row>
    <row r="7187" spans="2:5">
      <c r="B7187" s="943">
        <v>45218</v>
      </c>
      <c r="C7187" s="195">
        <f t="shared" si="225"/>
        <v>10</v>
      </c>
      <c r="D7187" s="195">
        <v>57.4</v>
      </c>
      <c r="E7187" s="705">
        <f t="shared" si="226"/>
        <v>14.111111111111111</v>
      </c>
    </row>
    <row r="7188" spans="2:5">
      <c r="B7188" s="943">
        <v>45218</v>
      </c>
      <c r="C7188" s="195">
        <f t="shared" si="225"/>
        <v>10</v>
      </c>
      <c r="D7188" s="195">
        <v>57.6</v>
      </c>
      <c r="E7188" s="705">
        <f t="shared" si="226"/>
        <v>14.222222222222223</v>
      </c>
    </row>
    <row r="7189" spans="2:5">
      <c r="B7189" s="943">
        <v>45218</v>
      </c>
      <c r="C7189" s="195">
        <f t="shared" si="225"/>
        <v>10</v>
      </c>
      <c r="D7189" s="195">
        <v>57.4</v>
      </c>
      <c r="E7189" s="705">
        <f t="shared" si="226"/>
        <v>14.111111111111111</v>
      </c>
    </row>
    <row r="7190" spans="2:5">
      <c r="B7190" s="943">
        <v>45218</v>
      </c>
      <c r="C7190" s="195">
        <f t="shared" si="225"/>
        <v>10</v>
      </c>
      <c r="D7190" s="195">
        <v>57.4</v>
      </c>
      <c r="E7190" s="705">
        <f t="shared" si="226"/>
        <v>14.111111111111111</v>
      </c>
    </row>
    <row r="7191" spans="2:5">
      <c r="B7191" s="943">
        <v>45218</v>
      </c>
      <c r="C7191" s="195">
        <f t="shared" si="225"/>
        <v>10</v>
      </c>
      <c r="D7191" s="195">
        <v>57.2</v>
      </c>
      <c r="E7191" s="705">
        <f t="shared" si="226"/>
        <v>14.000000000000002</v>
      </c>
    </row>
    <row r="7192" spans="2:5">
      <c r="B7192" s="943">
        <v>45218</v>
      </c>
      <c r="C7192" s="195">
        <f t="shared" si="225"/>
        <v>10</v>
      </c>
      <c r="D7192" s="195">
        <v>57.2</v>
      </c>
      <c r="E7192" s="705">
        <f t="shared" si="226"/>
        <v>14.000000000000002</v>
      </c>
    </row>
    <row r="7193" spans="2:5">
      <c r="B7193" s="943">
        <v>45218</v>
      </c>
      <c r="C7193" s="195">
        <f t="shared" si="225"/>
        <v>10</v>
      </c>
      <c r="D7193" s="195">
        <v>57.2</v>
      </c>
      <c r="E7193" s="705">
        <f t="shared" si="226"/>
        <v>14.000000000000002</v>
      </c>
    </row>
    <row r="7194" spans="2:5">
      <c r="B7194" s="943">
        <v>45218</v>
      </c>
      <c r="C7194" s="195">
        <f t="shared" si="225"/>
        <v>10</v>
      </c>
      <c r="D7194" s="195">
        <v>57.2</v>
      </c>
      <c r="E7194" s="705">
        <f t="shared" si="226"/>
        <v>14.000000000000002</v>
      </c>
    </row>
    <row r="7195" spans="2:5">
      <c r="B7195" s="943">
        <v>45218</v>
      </c>
      <c r="C7195" s="195">
        <f t="shared" si="225"/>
        <v>10</v>
      </c>
      <c r="D7195" s="195">
        <v>57.2</v>
      </c>
      <c r="E7195" s="705">
        <f t="shared" si="226"/>
        <v>14.000000000000002</v>
      </c>
    </row>
    <row r="7196" spans="2:5">
      <c r="B7196" s="943">
        <v>45218</v>
      </c>
      <c r="C7196" s="195">
        <f t="shared" si="225"/>
        <v>10</v>
      </c>
      <c r="D7196" s="195">
        <v>57.2</v>
      </c>
      <c r="E7196" s="705">
        <f t="shared" si="226"/>
        <v>14.000000000000002</v>
      </c>
    </row>
    <row r="7197" spans="2:5">
      <c r="B7197" s="943">
        <v>45218</v>
      </c>
      <c r="C7197" s="195">
        <f t="shared" si="225"/>
        <v>10</v>
      </c>
      <c r="D7197" s="195">
        <v>57.2</v>
      </c>
      <c r="E7197" s="705">
        <f t="shared" si="226"/>
        <v>14.000000000000002</v>
      </c>
    </row>
    <row r="7198" spans="2:5">
      <c r="B7198" s="943">
        <v>45218</v>
      </c>
      <c r="C7198" s="195">
        <f t="shared" si="225"/>
        <v>10</v>
      </c>
      <c r="D7198" s="195">
        <v>57.4</v>
      </c>
      <c r="E7198" s="705">
        <f t="shared" si="226"/>
        <v>14.111111111111111</v>
      </c>
    </row>
    <row r="7199" spans="2:5">
      <c r="B7199" s="943">
        <v>45218</v>
      </c>
      <c r="C7199" s="195">
        <f t="shared" si="225"/>
        <v>10</v>
      </c>
      <c r="D7199" s="195">
        <v>57.4</v>
      </c>
      <c r="E7199" s="705">
        <f t="shared" si="226"/>
        <v>14.111111111111111</v>
      </c>
    </row>
    <row r="7200" spans="2:5">
      <c r="B7200" s="943">
        <v>45218</v>
      </c>
      <c r="C7200" s="195">
        <f t="shared" si="225"/>
        <v>10</v>
      </c>
      <c r="D7200" s="195">
        <v>57.6</v>
      </c>
      <c r="E7200" s="705">
        <f t="shared" si="226"/>
        <v>14.222222222222223</v>
      </c>
    </row>
    <row r="7201" spans="2:5">
      <c r="B7201" s="943">
        <v>45218</v>
      </c>
      <c r="C7201" s="195">
        <f t="shared" si="225"/>
        <v>10</v>
      </c>
      <c r="D7201" s="195">
        <v>57.4</v>
      </c>
      <c r="E7201" s="705">
        <f t="shared" si="226"/>
        <v>14.111111111111111</v>
      </c>
    </row>
    <row r="7202" spans="2:5">
      <c r="B7202" s="943">
        <v>45218</v>
      </c>
      <c r="C7202" s="195">
        <f t="shared" si="225"/>
        <v>10</v>
      </c>
      <c r="D7202" s="195">
        <v>57.4</v>
      </c>
      <c r="E7202" s="705">
        <f t="shared" si="226"/>
        <v>14.111111111111111</v>
      </c>
    </row>
    <row r="7203" spans="2:5">
      <c r="B7203" s="943">
        <v>45218</v>
      </c>
      <c r="C7203" s="195">
        <f t="shared" si="225"/>
        <v>10</v>
      </c>
      <c r="D7203" s="195">
        <v>57.4</v>
      </c>
      <c r="E7203" s="705">
        <f t="shared" si="226"/>
        <v>14.111111111111111</v>
      </c>
    </row>
    <row r="7204" spans="2:5">
      <c r="B7204" s="943">
        <v>45218</v>
      </c>
      <c r="C7204" s="195">
        <f t="shared" si="225"/>
        <v>10</v>
      </c>
      <c r="D7204" s="195">
        <v>57.4</v>
      </c>
      <c r="E7204" s="705">
        <f t="shared" si="226"/>
        <v>14.111111111111111</v>
      </c>
    </row>
    <row r="7205" spans="2:5">
      <c r="B7205" s="943">
        <v>45218</v>
      </c>
      <c r="C7205" s="195">
        <f t="shared" si="225"/>
        <v>10</v>
      </c>
      <c r="D7205" s="195">
        <v>57.4</v>
      </c>
      <c r="E7205" s="705">
        <f t="shared" si="226"/>
        <v>14.111111111111111</v>
      </c>
    </row>
    <row r="7206" spans="2:5">
      <c r="B7206" s="943">
        <v>45218</v>
      </c>
      <c r="C7206" s="195">
        <f t="shared" si="225"/>
        <v>10</v>
      </c>
      <c r="D7206" s="195">
        <v>57.4</v>
      </c>
      <c r="E7206" s="705">
        <f t="shared" si="226"/>
        <v>14.111111111111111</v>
      </c>
    </row>
    <row r="7207" spans="2:5">
      <c r="B7207" s="943">
        <v>45218</v>
      </c>
      <c r="C7207" s="195">
        <f t="shared" si="225"/>
        <v>10</v>
      </c>
      <c r="D7207" s="195">
        <v>57.4</v>
      </c>
      <c r="E7207" s="705">
        <f t="shared" si="226"/>
        <v>14.111111111111111</v>
      </c>
    </row>
    <row r="7208" spans="2:5">
      <c r="B7208" s="943">
        <v>45218</v>
      </c>
      <c r="C7208" s="195">
        <f t="shared" si="225"/>
        <v>10</v>
      </c>
      <c r="D7208" s="195">
        <v>57.4</v>
      </c>
      <c r="E7208" s="705">
        <f t="shared" si="226"/>
        <v>14.111111111111111</v>
      </c>
    </row>
    <row r="7209" spans="2:5">
      <c r="B7209" s="943">
        <v>45219</v>
      </c>
      <c r="C7209" s="195">
        <f t="shared" si="225"/>
        <v>10</v>
      </c>
      <c r="D7209" s="195">
        <v>57.6</v>
      </c>
      <c r="E7209" s="705">
        <f t="shared" si="226"/>
        <v>14.222222222222223</v>
      </c>
    </row>
    <row r="7210" spans="2:5">
      <c r="B7210" s="943">
        <v>45219</v>
      </c>
      <c r="C7210" s="195">
        <f t="shared" si="225"/>
        <v>10</v>
      </c>
      <c r="D7210" s="195">
        <v>57.6</v>
      </c>
      <c r="E7210" s="705">
        <f t="shared" si="226"/>
        <v>14.222222222222223</v>
      </c>
    </row>
    <row r="7211" spans="2:5">
      <c r="B7211" s="943">
        <v>45219</v>
      </c>
      <c r="C7211" s="195">
        <f t="shared" si="225"/>
        <v>10</v>
      </c>
      <c r="D7211" s="195">
        <v>57.7</v>
      </c>
      <c r="E7211" s="705">
        <f t="shared" si="226"/>
        <v>14.277777777777779</v>
      </c>
    </row>
    <row r="7212" spans="2:5">
      <c r="B7212" s="943">
        <v>45219</v>
      </c>
      <c r="C7212" s="195">
        <f t="shared" si="225"/>
        <v>10</v>
      </c>
      <c r="D7212" s="195">
        <v>57.7</v>
      </c>
      <c r="E7212" s="705">
        <f t="shared" si="226"/>
        <v>14.277777777777779</v>
      </c>
    </row>
    <row r="7213" spans="2:5">
      <c r="B7213" s="943">
        <v>45219</v>
      </c>
      <c r="C7213" s="195">
        <f t="shared" si="225"/>
        <v>10</v>
      </c>
      <c r="D7213" s="195">
        <v>57.7</v>
      </c>
      <c r="E7213" s="705">
        <f t="shared" si="226"/>
        <v>14.277777777777779</v>
      </c>
    </row>
    <row r="7214" spans="2:5">
      <c r="B7214" s="943">
        <v>45219</v>
      </c>
      <c r="C7214" s="195">
        <f t="shared" si="225"/>
        <v>10</v>
      </c>
      <c r="D7214" s="195">
        <v>57.7</v>
      </c>
      <c r="E7214" s="705">
        <f t="shared" si="226"/>
        <v>14.277777777777779</v>
      </c>
    </row>
    <row r="7215" spans="2:5">
      <c r="B7215" s="943">
        <v>45219</v>
      </c>
      <c r="C7215" s="195">
        <f t="shared" si="225"/>
        <v>10</v>
      </c>
      <c r="D7215" s="195">
        <v>57.6</v>
      </c>
      <c r="E7215" s="705">
        <f t="shared" si="226"/>
        <v>14.222222222222223</v>
      </c>
    </row>
    <row r="7216" spans="2:5">
      <c r="B7216" s="943">
        <v>45219</v>
      </c>
      <c r="C7216" s="195">
        <f t="shared" si="225"/>
        <v>10</v>
      </c>
      <c r="D7216" s="195">
        <v>57.4</v>
      </c>
      <c r="E7216" s="705">
        <f t="shared" si="226"/>
        <v>14.111111111111111</v>
      </c>
    </row>
    <row r="7217" spans="2:5">
      <c r="B7217" s="943">
        <v>45219</v>
      </c>
      <c r="C7217" s="195">
        <f t="shared" si="225"/>
        <v>10</v>
      </c>
      <c r="D7217" s="195">
        <v>57.2</v>
      </c>
      <c r="E7217" s="705">
        <f t="shared" si="226"/>
        <v>14.000000000000002</v>
      </c>
    </row>
    <row r="7218" spans="2:5">
      <c r="B7218" s="943">
        <v>45219</v>
      </c>
      <c r="C7218" s="195">
        <f t="shared" si="225"/>
        <v>10</v>
      </c>
      <c r="D7218" s="195">
        <v>57.2</v>
      </c>
      <c r="E7218" s="705">
        <f t="shared" si="226"/>
        <v>14.000000000000002</v>
      </c>
    </row>
    <row r="7219" spans="2:5">
      <c r="B7219" s="943">
        <v>45219</v>
      </c>
      <c r="C7219" s="195">
        <f t="shared" si="225"/>
        <v>10</v>
      </c>
      <c r="D7219" s="195" t="s">
        <v>1440</v>
      </c>
      <c r="E7219" s="705">
        <f t="shared" si="226"/>
        <v>13.888888888888889</v>
      </c>
    </row>
    <row r="7220" spans="2:5">
      <c r="B7220" s="943">
        <v>45219</v>
      </c>
      <c r="C7220" s="195">
        <f t="shared" si="225"/>
        <v>10</v>
      </c>
      <c r="D7220" s="195">
        <v>57.2</v>
      </c>
      <c r="E7220" s="705">
        <f t="shared" si="226"/>
        <v>14.000000000000002</v>
      </c>
    </row>
    <row r="7221" spans="2:5">
      <c r="B7221" s="943">
        <v>45219</v>
      </c>
      <c r="C7221" s="195">
        <f t="shared" si="225"/>
        <v>10</v>
      </c>
      <c r="D7221" s="195">
        <v>57.2</v>
      </c>
      <c r="E7221" s="705">
        <f t="shared" si="226"/>
        <v>14.000000000000002</v>
      </c>
    </row>
    <row r="7222" spans="2:5">
      <c r="B7222" s="943">
        <v>45219</v>
      </c>
      <c r="C7222" s="195">
        <f t="shared" si="225"/>
        <v>10</v>
      </c>
      <c r="D7222" s="195">
        <v>57.4</v>
      </c>
      <c r="E7222" s="705">
        <f t="shared" si="226"/>
        <v>14.111111111111111</v>
      </c>
    </row>
    <row r="7223" spans="2:5">
      <c r="B7223" s="943">
        <v>45219</v>
      </c>
      <c r="C7223" s="195">
        <f t="shared" si="225"/>
        <v>10</v>
      </c>
      <c r="D7223" s="195">
        <v>57.4</v>
      </c>
      <c r="E7223" s="705">
        <f t="shared" si="226"/>
        <v>14.111111111111111</v>
      </c>
    </row>
    <row r="7224" spans="2:5">
      <c r="B7224" s="943">
        <v>45219</v>
      </c>
      <c r="C7224" s="195">
        <f t="shared" si="225"/>
        <v>10</v>
      </c>
      <c r="D7224" s="195">
        <v>57.6</v>
      </c>
      <c r="E7224" s="705">
        <f t="shared" si="226"/>
        <v>14.222222222222223</v>
      </c>
    </row>
    <row r="7225" spans="2:5">
      <c r="B7225" s="943">
        <v>45219</v>
      </c>
      <c r="C7225" s="195">
        <f t="shared" si="225"/>
        <v>10</v>
      </c>
      <c r="D7225" s="195">
        <v>57.6</v>
      </c>
      <c r="E7225" s="705">
        <f t="shared" si="226"/>
        <v>14.222222222222223</v>
      </c>
    </row>
    <row r="7226" spans="2:5">
      <c r="B7226" s="943">
        <v>45219</v>
      </c>
      <c r="C7226" s="195">
        <f t="shared" si="225"/>
        <v>10</v>
      </c>
      <c r="D7226" s="195">
        <v>57.4</v>
      </c>
      <c r="E7226" s="705">
        <f t="shared" si="226"/>
        <v>14.111111111111111</v>
      </c>
    </row>
    <row r="7227" spans="2:5">
      <c r="B7227" s="943">
        <v>45219</v>
      </c>
      <c r="C7227" s="195">
        <f t="shared" si="225"/>
        <v>10</v>
      </c>
      <c r="D7227" s="195">
        <v>57.4</v>
      </c>
      <c r="E7227" s="705">
        <f t="shared" si="226"/>
        <v>14.111111111111111</v>
      </c>
    </row>
    <row r="7228" spans="2:5">
      <c r="B7228" s="943">
        <v>45219</v>
      </c>
      <c r="C7228" s="195">
        <f t="shared" si="225"/>
        <v>10</v>
      </c>
      <c r="D7228" s="195" t="s">
        <v>1440</v>
      </c>
      <c r="E7228" s="705">
        <f t="shared" si="226"/>
        <v>13.888888888888889</v>
      </c>
    </row>
    <row r="7229" spans="2:5">
      <c r="B7229" s="943">
        <v>45219</v>
      </c>
      <c r="C7229" s="195">
        <f t="shared" si="225"/>
        <v>10</v>
      </c>
      <c r="D7229" s="195">
        <v>56.7</v>
      </c>
      <c r="E7229" s="705">
        <f t="shared" si="226"/>
        <v>13.722222222222223</v>
      </c>
    </row>
    <row r="7230" spans="2:5">
      <c r="B7230" s="943">
        <v>45219</v>
      </c>
      <c r="C7230" s="195">
        <f t="shared" si="225"/>
        <v>10</v>
      </c>
      <c r="D7230" s="195">
        <v>56.5</v>
      </c>
      <c r="E7230" s="705">
        <f t="shared" si="226"/>
        <v>13.611111111111111</v>
      </c>
    </row>
    <row r="7231" spans="2:5">
      <c r="B7231" s="943">
        <v>45219</v>
      </c>
      <c r="C7231" s="195">
        <f t="shared" si="225"/>
        <v>10</v>
      </c>
      <c r="D7231" s="195">
        <v>56.5</v>
      </c>
      <c r="E7231" s="705">
        <f t="shared" si="226"/>
        <v>13.611111111111111</v>
      </c>
    </row>
    <row r="7232" spans="2:5">
      <c r="B7232" s="943">
        <v>45219</v>
      </c>
      <c r="C7232" s="195">
        <f t="shared" si="225"/>
        <v>10</v>
      </c>
      <c r="D7232" s="195">
        <v>56.7</v>
      </c>
      <c r="E7232" s="705">
        <f t="shared" si="226"/>
        <v>13.722222222222223</v>
      </c>
    </row>
    <row r="7233" spans="2:5">
      <c r="B7233" s="943">
        <v>45220</v>
      </c>
      <c r="C7233" s="195">
        <f t="shared" si="225"/>
        <v>10</v>
      </c>
      <c r="D7233" s="195">
        <v>56.8</v>
      </c>
      <c r="E7233" s="705">
        <f t="shared" si="226"/>
        <v>13.777777777777775</v>
      </c>
    </row>
    <row r="7234" spans="2:5">
      <c r="B7234" s="943">
        <v>45220</v>
      </c>
      <c r="C7234" s="195">
        <f t="shared" si="225"/>
        <v>10</v>
      </c>
      <c r="D7234" s="195">
        <v>57.2</v>
      </c>
      <c r="E7234" s="705">
        <f t="shared" si="226"/>
        <v>14.000000000000002</v>
      </c>
    </row>
    <row r="7235" spans="2:5">
      <c r="B7235" s="943">
        <v>45220</v>
      </c>
      <c r="C7235" s="195">
        <f t="shared" si="225"/>
        <v>10</v>
      </c>
      <c r="D7235" s="195">
        <v>57.4</v>
      </c>
      <c r="E7235" s="705">
        <f t="shared" si="226"/>
        <v>14.111111111111111</v>
      </c>
    </row>
    <row r="7236" spans="2:5">
      <c r="B7236" s="943">
        <v>45220</v>
      </c>
      <c r="C7236" s="195">
        <f t="shared" si="225"/>
        <v>10</v>
      </c>
      <c r="D7236" s="195">
        <v>57.6</v>
      </c>
      <c r="E7236" s="705">
        <f t="shared" si="226"/>
        <v>14.222222222222223</v>
      </c>
    </row>
    <row r="7237" spans="2:5">
      <c r="B7237" s="943">
        <v>45220</v>
      </c>
      <c r="C7237" s="195">
        <f t="shared" si="225"/>
        <v>10</v>
      </c>
      <c r="D7237" s="195">
        <v>57.6</v>
      </c>
      <c r="E7237" s="705">
        <f t="shared" si="226"/>
        <v>14.222222222222223</v>
      </c>
    </row>
    <row r="7238" spans="2:5">
      <c r="B7238" s="943">
        <v>45220</v>
      </c>
      <c r="C7238" s="195">
        <f t="shared" si="225"/>
        <v>10</v>
      </c>
      <c r="D7238" s="195">
        <v>57.6</v>
      </c>
      <c r="E7238" s="705">
        <f t="shared" si="226"/>
        <v>14.222222222222223</v>
      </c>
    </row>
    <row r="7239" spans="2:5">
      <c r="B7239" s="943">
        <v>45220</v>
      </c>
      <c r="C7239" s="195">
        <f t="shared" si="225"/>
        <v>10</v>
      </c>
      <c r="D7239" s="195">
        <v>57.6</v>
      </c>
      <c r="E7239" s="705">
        <f t="shared" si="226"/>
        <v>14.222222222222223</v>
      </c>
    </row>
    <row r="7240" spans="2:5">
      <c r="B7240" s="943">
        <v>45220</v>
      </c>
      <c r="C7240" s="195">
        <f t="shared" si="225"/>
        <v>10</v>
      </c>
      <c r="D7240" s="195">
        <v>57.4</v>
      </c>
      <c r="E7240" s="705">
        <f t="shared" si="226"/>
        <v>14.111111111111111</v>
      </c>
    </row>
    <row r="7241" spans="2:5">
      <c r="B7241" s="943">
        <v>45220</v>
      </c>
      <c r="C7241" s="195">
        <f t="shared" si="225"/>
        <v>10</v>
      </c>
      <c r="D7241" s="195" t="s">
        <v>1440</v>
      </c>
      <c r="E7241" s="705">
        <f t="shared" si="226"/>
        <v>13.888888888888889</v>
      </c>
    </row>
    <row r="7242" spans="2:5">
      <c r="B7242" s="943">
        <v>45220</v>
      </c>
      <c r="C7242" s="195">
        <f t="shared" ref="C7242:C7305" si="227">MONTH(B7242)</f>
        <v>10</v>
      </c>
      <c r="D7242" s="195">
        <v>56.8</v>
      </c>
      <c r="E7242" s="705">
        <f t="shared" ref="E7242:E7305" si="228">CONVERT(D7242,"F","C")</f>
        <v>13.777777777777775</v>
      </c>
    </row>
    <row r="7243" spans="2:5">
      <c r="B7243" s="943">
        <v>45220</v>
      </c>
      <c r="C7243" s="195">
        <f t="shared" si="227"/>
        <v>10</v>
      </c>
      <c r="D7243" s="195">
        <v>56.7</v>
      </c>
      <c r="E7243" s="705">
        <f t="shared" si="228"/>
        <v>13.722222222222223</v>
      </c>
    </row>
    <row r="7244" spans="2:5">
      <c r="B7244" s="943">
        <v>45220</v>
      </c>
      <c r="C7244" s="195">
        <f t="shared" si="227"/>
        <v>10</v>
      </c>
      <c r="D7244" s="195">
        <v>56.5</v>
      </c>
      <c r="E7244" s="705">
        <f t="shared" si="228"/>
        <v>13.611111111111111</v>
      </c>
    </row>
    <row r="7245" spans="2:5">
      <c r="B7245" s="943">
        <v>45220</v>
      </c>
      <c r="C7245" s="195">
        <f t="shared" si="227"/>
        <v>10</v>
      </c>
      <c r="D7245" s="195">
        <v>56.7</v>
      </c>
      <c r="E7245" s="705">
        <f t="shared" si="228"/>
        <v>13.722222222222223</v>
      </c>
    </row>
    <row r="7246" spans="2:5">
      <c r="B7246" s="943">
        <v>45220</v>
      </c>
      <c r="C7246" s="195">
        <f t="shared" si="227"/>
        <v>10</v>
      </c>
      <c r="D7246" s="195">
        <v>56.8</v>
      </c>
      <c r="E7246" s="705">
        <f t="shared" si="228"/>
        <v>13.777777777777775</v>
      </c>
    </row>
    <row r="7247" spans="2:5">
      <c r="B7247" s="943">
        <v>45220</v>
      </c>
      <c r="C7247" s="195">
        <f t="shared" si="227"/>
        <v>10</v>
      </c>
      <c r="D7247" s="195">
        <v>57.2</v>
      </c>
      <c r="E7247" s="705">
        <f t="shared" si="228"/>
        <v>14.000000000000002</v>
      </c>
    </row>
    <row r="7248" spans="2:5">
      <c r="B7248" s="943">
        <v>45220</v>
      </c>
      <c r="C7248" s="195">
        <f t="shared" si="227"/>
        <v>10</v>
      </c>
      <c r="D7248" s="195">
        <v>57.4</v>
      </c>
      <c r="E7248" s="705">
        <f t="shared" si="228"/>
        <v>14.111111111111111</v>
      </c>
    </row>
    <row r="7249" spans="2:5">
      <c r="B7249" s="943">
        <v>45220</v>
      </c>
      <c r="C7249" s="195">
        <f t="shared" si="227"/>
        <v>10</v>
      </c>
      <c r="D7249" s="195">
        <v>57.6</v>
      </c>
      <c r="E7249" s="705">
        <f t="shared" si="228"/>
        <v>14.222222222222223</v>
      </c>
    </row>
    <row r="7250" spans="2:5">
      <c r="B7250" s="943">
        <v>45220</v>
      </c>
      <c r="C7250" s="195">
        <f t="shared" si="227"/>
        <v>10</v>
      </c>
      <c r="D7250" s="195">
        <v>57.6</v>
      </c>
      <c r="E7250" s="705">
        <f t="shared" si="228"/>
        <v>14.222222222222223</v>
      </c>
    </row>
    <row r="7251" spans="2:5">
      <c r="B7251" s="943">
        <v>45220</v>
      </c>
      <c r="C7251" s="195">
        <f t="shared" si="227"/>
        <v>10</v>
      </c>
      <c r="D7251" s="195">
        <v>57.2</v>
      </c>
      <c r="E7251" s="705">
        <f t="shared" si="228"/>
        <v>14.000000000000002</v>
      </c>
    </row>
    <row r="7252" spans="2:5">
      <c r="B7252" s="943">
        <v>45220</v>
      </c>
      <c r="C7252" s="195">
        <f t="shared" si="227"/>
        <v>10</v>
      </c>
      <c r="D7252" s="195" t="s">
        <v>1440</v>
      </c>
      <c r="E7252" s="705">
        <f t="shared" si="228"/>
        <v>13.888888888888889</v>
      </c>
    </row>
    <row r="7253" spans="2:5">
      <c r="B7253" s="943">
        <v>45220</v>
      </c>
      <c r="C7253" s="195">
        <f t="shared" si="227"/>
        <v>10</v>
      </c>
      <c r="D7253" s="195" t="s">
        <v>1440</v>
      </c>
      <c r="E7253" s="705">
        <f t="shared" si="228"/>
        <v>13.888888888888889</v>
      </c>
    </row>
    <row r="7254" spans="2:5">
      <c r="B7254" s="943">
        <v>45220</v>
      </c>
      <c r="C7254" s="195">
        <f t="shared" si="227"/>
        <v>10</v>
      </c>
      <c r="D7254" s="195">
        <v>57.2</v>
      </c>
      <c r="E7254" s="705">
        <f t="shared" si="228"/>
        <v>14.000000000000002</v>
      </c>
    </row>
    <row r="7255" spans="2:5">
      <c r="B7255" s="943">
        <v>45220</v>
      </c>
      <c r="C7255" s="195">
        <f t="shared" si="227"/>
        <v>10</v>
      </c>
      <c r="D7255" s="195" t="s">
        <v>1440</v>
      </c>
      <c r="E7255" s="705">
        <f t="shared" si="228"/>
        <v>13.888888888888889</v>
      </c>
    </row>
    <row r="7256" spans="2:5">
      <c r="B7256" s="943">
        <v>45220</v>
      </c>
      <c r="C7256" s="195">
        <f t="shared" si="227"/>
        <v>10</v>
      </c>
      <c r="D7256" s="195" t="s">
        <v>1440</v>
      </c>
      <c r="E7256" s="705">
        <f t="shared" si="228"/>
        <v>13.888888888888889</v>
      </c>
    </row>
    <row r="7257" spans="2:5">
      <c r="B7257" s="943">
        <v>45221</v>
      </c>
      <c r="C7257" s="195">
        <f t="shared" si="227"/>
        <v>10</v>
      </c>
      <c r="D7257" s="195" t="s">
        <v>1440</v>
      </c>
      <c r="E7257" s="705">
        <f t="shared" si="228"/>
        <v>13.888888888888889</v>
      </c>
    </row>
    <row r="7258" spans="2:5">
      <c r="B7258" s="943">
        <v>45221</v>
      </c>
      <c r="C7258" s="195">
        <f t="shared" si="227"/>
        <v>10</v>
      </c>
      <c r="D7258" s="195">
        <v>57.2</v>
      </c>
      <c r="E7258" s="705">
        <f t="shared" si="228"/>
        <v>14.000000000000002</v>
      </c>
    </row>
    <row r="7259" spans="2:5">
      <c r="B7259" s="943">
        <v>45221</v>
      </c>
      <c r="C7259" s="195">
        <f t="shared" si="227"/>
        <v>10</v>
      </c>
      <c r="D7259" s="195">
        <v>57.2</v>
      </c>
      <c r="E7259" s="705">
        <f t="shared" si="228"/>
        <v>14.000000000000002</v>
      </c>
    </row>
    <row r="7260" spans="2:5">
      <c r="B7260" s="943">
        <v>45221</v>
      </c>
      <c r="C7260" s="195">
        <f t="shared" si="227"/>
        <v>10</v>
      </c>
      <c r="D7260" s="195">
        <v>57.4</v>
      </c>
      <c r="E7260" s="705">
        <f t="shared" si="228"/>
        <v>14.111111111111111</v>
      </c>
    </row>
    <row r="7261" spans="2:5">
      <c r="B7261" s="943">
        <v>45221</v>
      </c>
      <c r="C7261" s="195">
        <f t="shared" si="227"/>
        <v>10</v>
      </c>
      <c r="D7261" s="195">
        <v>57.4</v>
      </c>
      <c r="E7261" s="705">
        <f t="shared" si="228"/>
        <v>14.111111111111111</v>
      </c>
    </row>
    <row r="7262" spans="2:5">
      <c r="B7262" s="943">
        <v>45221</v>
      </c>
      <c r="C7262" s="195">
        <f t="shared" si="227"/>
        <v>10</v>
      </c>
      <c r="D7262" s="195">
        <v>57.6</v>
      </c>
      <c r="E7262" s="705">
        <f t="shared" si="228"/>
        <v>14.222222222222223</v>
      </c>
    </row>
    <row r="7263" spans="2:5">
      <c r="B7263" s="943">
        <v>45221</v>
      </c>
      <c r="C7263" s="195">
        <f t="shared" si="227"/>
        <v>10</v>
      </c>
      <c r="D7263" s="195">
        <v>57.6</v>
      </c>
      <c r="E7263" s="705">
        <f t="shared" si="228"/>
        <v>14.222222222222223</v>
      </c>
    </row>
    <row r="7264" spans="2:5">
      <c r="B7264" s="943">
        <v>45221</v>
      </c>
      <c r="C7264" s="195">
        <f t="shared" si="227"/>
        <v>10</v>
      </c>
      <c r="D7264" s="195">
        <v>57.4</v>
      </c>
      <c r="E7264" s="705">
        <f t="shared" si="228"/>
        <v>14.111111111111111</v>
      </c>
    </row>
    <row r="7265" spans="2:5">
      <c r="B7265" s="943">
        <v>45221</v>
      </c>
      <c r="C7265" s="195">
        <f t="shared" si="227"/>
        <v>10</v>
      </c>
      <c r="D7265" s="195">
        <v>57.2</v>
      </c>
      <c r="E7265" s="705">
        <f t="shared" si="228"/>
        <v>14.000000000000002</v>
      </c>
    </row>
    <row r="7266" spans="2:5">
      <c r="B7266" s="943">
        <v>45221</v>
      </c>
      <c r="C7266" s="195">
        <f t="shared" si="227"/>
        <v>10</v>
      </c>
      <c r="D7266" s="195">
        <v>57.2</v>
      </c>
      <c r="E7266" s="705">
        <f t="shared" si="228"/>
        <v>14.000000000000002</v>
      </c>
    </row>
    <row r="7267" spans="2:5">
      <c r="B7267" s="943">
        <v>45221</v>
      </c>
      <c r="C7267" s="195">
        <f t="shared" si="227"/>
        <v>10</v>
      </c>
      <c r="D7267" s="195">
        <v>57.2</v>
      </c>
      <c r="E7267" s="705">
        <f t="shared" si="228"/>
        <v>14.000000000000002</v>
      </c>
    </row>
    <row r="7268" spans="2:5">
      <c r="B7268" s="943">
        <v>45221</v>
      </c>
      <c r="C7268" s="195">
        <f t="shared" si="227"/>
        <v>10</v>
      </c>
      <c r="D7268" s="195" t="s">
        <v>1440</v>
      </c>
      <c r="E7268" s="705">
        <f t="shared" si="228"/>
        <v>13.888888888888889</v>
      </c>
    </row>
    <row r="7269" spans="2:5">
      <c r="B7269" s="943">
        <v>45221</v>
      </c>
      <c r="C7269" s="195">
        <f t="shared" si="227"/>
        <v>10</v>
      </c>
      <c r="D7269" s="195" t="s">
        <v>1440</v>
      </c>
      <c r="E7269" s="705">
        <f t="shared" si="228"/>
        <v>13.888888888888889</v>
      </c>
    </row>
    <row r="7270" spans="2:5">
      <c r="B7270" s="943">
        <v>45221</v>
      </c>
      <c r="C7270" s="195">
        <f t="shared" si="227"/>
        <v>10</v>
      </c>
      <c r="D7270" s="195" t="s">
        <v>1440</v>
      </c>
      <c r="E7270" s="705">
        <f t="shared" si="228"/>
        <v>13.888888888888889</v>
      </c>
    </row>
    <row r="7271" spans="2:5">
      <c r="B7271" s="943">
        <v>45221</v>
      </c>
      <c r="C7271" s="195">
        <f t="shared" si="227"/>
        <v>10</v>
      </c>
      <c r="D7271" s="195" t="s">
        <v>1440</v>
      </c>
      <c r="E7271" s="705">
        <f t="shared" si="228"/>
        <v>13.888888888888889</v>
      </c>
    </row>
    <row r="7272" spans="2:5">
      <c r="B7272" s="943">
        <v>45221</v>
      </c>
      <c r="C7272" s="195">
        <f t="shared" si="227"/>
        <v>10</v>
      </c>
      <c r="D7272" s="195">
        <v>57.2</v>
      </c>
      <c r="E7272" s="705">
        <f t="shared" si="228"/>
        <v>14.000000000000002</v>
      </c>
    </row>
    <row r="7273" spans="2:5">
      <c r="B7273" s="943">
        <v>45221</v>
      </c>
      <c r="C7273" s="195">
        <f t="shared" si="227"/>
        <v>10</v>
      </c>
      <c r="D7273" s="195">
        <v>57.4</v>
      </c>
      <c r="E7273" s="705">
        <f t="shared" si="228"/>
        <v>14.111111111111111</v>
      </c>
    </row>
    <row r="7274" spans="2:5">
      <c r="B7274" s="943">
        <v>45221</v>
      </c>
      <c r="C7274" s="195">
        <f t="shared" si="227"/>
        <v>10</v>
      </c>
      <c r="D7274" s="195">
        <v>57.4</v>
      </c>
      <c r="E7274" s="705">
        <f t="shared" si="228"/>
        <v>14.111111111111111</v>
      </c>
    </row>
    <row r="7275" spans="2:5">
      <c r="B7275" s="943">
        <v>45221</v>
      </c>
      <c r="C7275" s="195">
        <f t="shared" si="227"/>
        <v>10</v>
      </c>
      <c r="D7275" s="195">
        <v>57.4</v>
      </c>
      <c r="E7275" s="705">
        <f t="shared" si="228"/>
        <v>14.111111111111111</v>
      </c>
    </row>
    <row r="7276" spans="2:5">
      <c r="B7276" s="943">
        <v>45221</v>
      </c>
      <c r="C7276" s="195">
        <f t="shared" si="227"/>
        <v>10</v>
      </c>
      <c r="D7276" s="195">
        <v>57.4</v>
      </c>
      <c r="E7276" s="705">
        <f t="shared" si="228"/>
        <v>14.111111111111111</v>
      </c>
    </row>
    <row r="7277" spans="2:5">
      <c r="B7277" s="943">
        <v>45221</v>
      </c>
      <c r="C7277" s="195">
        <f t="shared" si="227"/>
        <v>10</v>
      </c>
      <c r="D7277" s="195">
        <v>57.2</v>
      </c>
      <c r="E7277" s="705">
        <f t="shared" si="228"/>
        <v>14.000000000000002</v>
      </c>
    </row>
    <row r="7278" spans="2:5">
      <c r="B7278" s="943">
        <v>45221</v>
      </c>
      <c r="C7278" s="195">
        <f t="shared" si="227"/>
        <v>10</v>
      </c>
      <c r="D7278" s="195">
        <v>56.7</v>
      </c>
      <c r="E7278" s="705">
        <f t="shared" si="228"/>
        <v>13.722222222222223</v>
      </c>
    </row>
    <row r="7279" spans="2:5">
      <c r="B7279" s="943">
        <v>45221</v>
      </c>
      <c r="C7279" s="195">
        <f t="shared" si="227"/>
        <v>10</v>
      </c>
      <c r="D7279" s="195">
        <v>56.3</v>
      </c>
      <c r="E7279" s="705">
        <f t="shared" si="228"/>
        <v>13.499999999999998</v>
      </c>
    </row>
    <row r="7280" spans="2:5">
      <c r="B7280" s="943">
        <v>45221</v>
      </c>
      <c r="C7280" s="195">
        <f t="shared" si="227"/>
        <v>10</v>
      </c>
      <c r="D7280" s="195">
        <v>56.1</v>
      </c>
      <c r="E7280" s="705">
        <f t="shared" si="228"/>
        <v>13.388888888888889</v>
      </c>
    </row>
    <row r="7281" spans="2:5">
      <c r="B7281" s="943">
        <v>45222</v>
      </c>
      <c r="C7281" s="195">
        <f t="shared" si="227"/>
        <v>10</v>
      </c>
      <c r="D7281" s="195">
        <v>55.9</v>
      </c>
      <c r="E7281" s="705">
        <f t="shared" si="228"/>
        <v>13.277777777777777</v>
      </c>
    </row>
    <row r="7282" spans="2:5">
      <c r="B7282" s="943">
        <v>45222</v>
      </c>
      <c r="C7282" s="195">
        <f t="shared" si="227"/>
        <v>10</v>
      </c>
      <c r="D7282" s="195">
        <v>56.1</v>
      </c>
      <c r="E7282" s="705">
        <f t="shared" si="228"/>
        <v>13.388888888888889</v>
      </c>
    </row>
    <row r="7283" spans="2:5">
      <c r="B7283" s="943">
        <v>45222</v>
      </c>
      <c r="C7283" s="195">
        <f t="shared" si="227"/>
        <v>10</v>
      </c>
      <c r="D7283" s="195">
        <v>56.3</v>
      </c>
      <c r="E7283" s="705">
        <f t="shared" si="228"/>
        <v>13.499999999999998</v>
      </c>
    </row>
    <row r="7284" spans="2:5">
      <c r="B7284" s="943">
        <v>45222</v>
      </c>
      <c r="C7284" s="195">
        <f t="shared" si="227"/>
        <v>10</v>
      </c>
      <c r="D7284" s="195">
        <v>56.7</v>
      </c>
      <c r="E7284" s="705">
        <f t="shared" si="228"/>
        <v>13.722222222222223</v>
      </c>
    </row>
    <row r="7285" spans="2:5">
      <c r="B7285" s="943">
        <v>45222</v>
      </c>
      <c r="C7285" s="195">
        <f t="shared" si="227"/>
        <v>10</v>
      </c>
      <c r="D7285" s="195">
        <v>56.8</v>
      </c>
      <c r="E7285" s="705">
        <f t="shared" si="228"/>
        <v>13.777777777777775</v>
      </c>
    </row>
    <row r="7286" spans="2:5">
      <c r="B7286" s="943">
        <v>45222</v>
      </c>
      <c r="C7286" s="195">
        <f t="shared" si="227"/>
        <v>10</v>
      </c>
      <c r="D7286" s="195" t="s">
        <v>1440</v>
      </c>
      <c r="E7286" s="705">
        <f t="shared" si="228"/>
        <v>13.888888888888889</v>
      </c>
    </row>
    <row r="7287" spans="2:5">
      <c r="B7287" s="943">
        <v>45222</v>
      </c>
      <c r="C7287" s="195">
        <f t="shared" si="227"/>
        <v>10</v>
      </c>
      <c r="D7287" s="195" t="s">
        <v>1440</v>
      </c>
      <c r="E7287" s="705">
        <f t="shared" si="228"/>
        <v>13.888888888888889</v>
      </c>
    </row>
    <row r="7288" spans="2:5">
      <c r="B7288" s="943">
        <v>45222</v>
      </c>
      <c r="C7288" s="195">
        <f t="shared" si="227"/>
        <v>10</v>
      </c>
      <c r="D7288" s="195" t="s">
        <v>1440</v>
      </c>
      <c r="E7288" s="705">
        <f t="shared" si="228"/>
        <v>13.888888888888889</v>
      </c>
    </row>
    <row r="7289" spans="2:5">
      <c r="B7289" s="943">
        <v>45222</v>
      </c>
      <c r="C7289" s="195">
        <f t="shared" si="227"/>
        <v>10</v>
      </c>
      <c r="D7289" s="195">
        <v>56.8</v>
      </c>
      <c r="E7289" s="705">
        <f t="shared" si="228"/>
        <v>13.777777777777775</v>
      </c>
    </row>
    <row r="7290" spans="2:5">
      <c r="B7290" s="943">
        <v>45222</v>
      </c>
      <c r="C7290" s="195">
        <f t="shared" si="227"/>
        <v>10</v>
      </c>
      <c r="D7290" s="195">
        <v>56.7</v>
      </c>
      <c r="E7290" s="705">
        <f t="shared" si="228"/>
        <v>13.722222222222223</v>
      </c>
    </row>
    <row r="7291" spans="2:5">
      <c r="B7291" s="943">
        <v>45222</v>
      </c>
      <c r="C7291" s="195">
        <f t="shared" si="227"/>
        <v>10</v>
      </c>
      <c r="D7291" s="195">
        <v>55.9</v>
      </c>
      <c r="E7291" s="705">
        <f t="shared" si="228"/>
        <v>13.277777777777777</v>
      </c>
    </row>
    <row r="7292" spans="2:5">
      <c r="B7292" s="943">
        <v>45222</v>
      </c>
      <c r="C7292" s="195">
        <f t="shared" si="227"/>
        <v>10</v>
      </c>
      <c r="D7292" s="195">
        <v>55.6</v>
      </c>
      <c r="E7292" s="705">
        <f t="shared" si="228"/>
        <v>13.111111111111111</v>
      </c>
    </row>
    <row r="7293" spans="2:5">
      <c r="B7293" s="943">
        <v>45222</v>
      </c>
      <c r="C7293" s="195">
        <f t="shared" si="227"/>
        <v>10</v>
      </c>
      <c r="D7293" s="195">
        <v>55.4</v>
      </c>
      <c r="E7293" s="705">
        <f t="shared" si="228"/>
        <v>12.999999999999998</v>
      </c>
    </row>
    <row r="7294" spans="2:5">
      <c r="B7294" s="943">
        <v>45222</v>
      </c>
      <c r="C7294" s="195">
        <f t="shared" si="227"/>
        <v>10</v>
      </c>
      <c r="D7294" s="195">
        <v>55.4</v>
      </c>
      <c r="E7294" s="705">
        <f t="shared" si="228"/>
        <v>12.999999999999998</v>
      </c>
    </row>
    <row r="7295" spans="2:5">
      <c r="B7295" s="943">
        <v>45222</v>
      </c>
      <c r="C7295" s="195">
        <f t="shared" si="227"/>
        <v>10</v>
      </c>
      <c r="D7295" s="195">
        <v>55.6</v>
      </c>
      <c r="E7295" s="705">
        <f t="shared" si="228"/>
        <v>13.111111111111111</v>
      </c>
    </row>
    <row r="7296" spans="2:5">
      <c r="B7296" s="943">
        <v>45222</v>
      </c>
      <c r="C7296" s="195">
        <f t="shared" si="227"/>
        <v>10</v>
      </c>
      <c r="D7296" s="195">
        <v>55.8</v>
      </c>
      <c r="E7296" s="705">
        <f t="shared" si="228"/>
        <v>13.22222222222222</v>
      </c>
    </row>
    <row r="7297" spans="2:5">
      <c r="B7297" s="943">
        <v>45222</v>
      </c>
      <c r="C7297" s="195">
        <f t="shared" si="227"/>
        <v>10</v>
      </c>
      <c r="D7297" s="195">
        <v>56.1</v>
      </c>
      <c r="E7297" s="705">
        <f t="shared" si="228"/>
        <v>13.388888888888889</v>
      </c>
    </row>
    <row r="7298" spans="2:5">
      <c r="B7298" s="943">
        <v>45222</v>
      </c>
      <c r="C7298" s="195">
        <f t="shared" si="227"/>
        <v>10</v>
      </c>
      <c r="D7298" s="195">
        <v>56.7</v>
      </c>
      <c r="E7298" s="705">
        <f t="shared" si="228"/>
        <v>13.722222222222223</v>
      </c>
    </row>
    <row r="7299" spans="2:5">
      <c r="B7299" s="943">
        <v>45222</v>
      </c>
      <c r="C7299" s="195">
        <f t="shared" si="227"/>
        <v>10</v>
      </c>
      <c r="D7299" s="195">
        <v>56.7</v>
      </c>
      <c r="E7299" s="705">
        <f t="shared" si="228"/>
        <v>13.722222222222223</v>
      </c>
    </row>
    <row r="7300" spans="2:5">
      <c r="B7300" s="943">
        <v>45222</v>
      </c>
      <c r="C7300" s="195">
        <f t="shared" si="227"/>
        <v>10</v>
      </c>
      <c r="D7300" s="195">
        <v>56.8</v>
      </c>
      <c r="E7300" s="705">
        <f t="shared" si="228"/>
        <v>13.777777777777775</v>
      </c>
    </row>
    <row r="7301" spans="2:5">
      <c r="B7301" s="943">
        <v>45222</v>
      </c>
      <c r="C7301" s="195">
        <f t="shared" si="227"/>
        <v>10</v>
      </c>
      <c r="D7301" s="195">
        <v>56.7</v>
      </c>
      <c r="E7301" s="705">
        <f t="shared" si="228"/>
        <v>13.722222222222223</v>
      </c>
    </row>
    <row r="7302" spans="2:5">
      <c r="B7302" s="943">
        <v>45222</v>
      </c>
      <c r="C7302" s="195">
        <f t="shared" si="227"/>
        <v>10</v>
      </c>
      <c r="D7302" s="195">
        <v>56.1</v>
      </c>
      <c r="E7302" s="705">
        <f t="shared" si="228"/>
        <v>13.388888888888889</v>
      </c>
    </row>
    <row r="7303" spans="2:5">
      <c r="B7303" s="943">
        <v>45222</v>
      </c>
      <c r="C7303" s="195">
        <f t="shared" si="227"/>
        <v>10</v>
      </c>
      <c r="D7303" s="195">
        <v>55.9</v>
      </c>
      <c r="E7303" s="705">
        <f t="shared" si="228"/>
        <v>13.277777777777777</v>
      </c>
    </row>
    <row r="7304" spans="2:5">
      <c r="B7304" s="943">
        <v>45222</v>
      </c>
      <c r="C7304" s="195">
        <f t="shared" si="227"/>
        <v>10</v>
      </c>
      <c r="D7304" s="195">
        <v>55.9</v>
      </c>
      <c r="E7304" s="705">
        <f t="shared" si="228"/>
        <v>13.277777777777777</v>
      </c>
    </row>
    <row r="7305" spans="2:5">
      <c r="B7305" s="943">
        <v>45223</v>
      </c>
      <c r="C7305" s="195">
        <f t="shared" si="227"/>
        <v>10</v>
      </c>
      <c r="D7305" s="195">
        <v>55.9</v>
      </c>
      <c r="E7305" s="705">
        <f t="shared" si="228"/>
        <v>13.277777777777777</v>
      </c>
    </row>
    <row r="7306" spans="2:5">
      <c r="B7306" s="943">
        <v>45223</v>
      </c>
      <c r="C7306" s="195">
        <f t="shared" ref="C7306:C7369" si="229">MONTH(B7306)</f>
        <v>10</v>
      </c>
      <c r="D7306" s="195">
        <v>55.9</v>
      </c>
      <c r="E7306" s="705">
        <f t="shared" ref="E7306:E7369" si="230">CONVERT(D7306,"F","C")</f>
        <v>13.277777777777777</v>
      </c>
    </row>
    <row r="7307" spans="2:5">
      <c r="B7307" s="943">
        <v>45223</v>
      </c>
      <c r="C7307" s="195">
        <f t="shared" si="229"/>
        <v>10</v>
      </c>
      <c r="D7307" s="195">
        <v>55.9</v>
      </c>
      <c r="E7307" s="705">
        <f t="shared" si="230"/>
        <v>13.277777777777777</v>
      </c>
    </row>
    <row r="7308" spans="2:5">
      <c r="B7308" s="943">
        <v>45223</v>
      </c>
      <c r="C7308" s="195">
        <f t="shared" si="229"/>
        <v>10</v>
      </c>
      <c r="D7308" s="195">
        <v>55.9</v>
      </c>
      <c r="E7308" s="705">
        <f t="shared" si="230"/>
        <v>13.277777777777777</v>
      </c>
    </row>
    <row r="7309" spans="2:5">
      <c r="B7309" s="943">
        <v>45223</v>
      </c>
      <c r="C7309" s="195">
        <f t="shared" si="229"/>
        <v>10</v>
      </c>
      <c r="D7309" s="195">
        <v>56.1</v>
      </c>
      <c r="E7309" s="705">
        <f t="shared" si="230"/>
        <v>13.388888888888889</v>
      </c>
    </row>
    <row r="7310" spans="2:5">
      <c r="B7310" s="943">
        <v>45223</v>
      </c>
      <c r="C7310" s="195">
        <f t="shared" si="229"/>
        <v>10</v>
      </c>
      <c r="D7310" s="195">
        <v>56.3</v>
      </c>
      <c r="E7310" s="705">
        <f t="shared" si="230"/>
        <v>13.499999999999998</v>
      </c>
    </row>
    <row r="7311" spans="2:5">
      <c r="B7311" s="943">
        <v>45223</v>
      </c>
      <c r="C7311" s="195">
        <f t="shared" si="229"/>
        <v>10</v>
      </c>
      <c r="D7311" s="195">
        <v>56.5</v>
      </c>
      <c r="E7311" s="705">
        <f t="shared" si="230"/>
        <v>13.611111111111111</v>
      </c>
    </row>
    <row r="7312" spans="2:5">
      <c r="B7312" s="943">
        <v>45223</v>
      </c>
      <c r="C7312" s="195">
        <f t="shared" si="229"/>
        <v>10</v>
      </c>
      <c r="D7312" s="195">
        <v>56.5</v>
      </c>
      <c r="E7312" s="705">
        <f t="shared" si="230"/>
        <v>13.611111111111111</v>
      </c>
    </row>
    <row r="7313" spans="2:5">
      <c r="B7313" s="943">
        <v>45223</v>
      </c>
      <c r="C7313" s="195">
        <f t="shared" si="229"/>
        <v>10</v>
      </c>
      <c r="D7313" s="195">
        <v>56.3</v>
      </c>
      <c r="E7313" s="705">
        <f t="shared" si="230"/>
        <v>13.499999999999998</v>
      </c>
    </row>
    <row r="7314" spans="2:5">
      <c r="B7314" s="943">
        <v>45223</v>
      </c>
      <c r="C7314" s="195">
        <f t="shared" si="229"/>
        <v>10</v>
      </c>
      <c r="D7314" s="195">
        <v>56.3</v>
      </c>
      <c r="E7314" s="705">
        <f t="shared" si="230"/>
        <v>13.499999999999998</v>
      </c>
    </row>
    <row r="7315" spans="2:5">
      <c r="B7315" s="943">
        <v>45223</v>
      </c>
      <c r="C7315" s="195">
        <f t="shared" si="229"/>
        <v>10</v>
      </c>
      <c r="D7315" s="195">
        <v>56.1</v>
      </c>
      <c r="E7315" s="705">
        <f t="shared" si="230"/>
        <v>13.388888888888889</v>
      </c>
    </row>
    <row r="7316" spans="2:5">
      <c r="B7316" s="943">
        <v>45223</v>
      </c>
      <c r="C7316" s="195">
        <f t="shared" si="229"/>
        <v>10</v>
      </c>
      <c r="D7316" s="195">
        <v>55.9</v>
      </c>
      <c r="E7316" s="705">
        <f t="shared" si="230"/>
        <v>13.277777777777777</v>
      </c>
    </row>
    <row r="7317" spans="2:5">
      <c r="B7317" s="943">
        <v>45223</v>
      </c>
      <c r="C7317" s="195">
        <f t="shared" si="229"/>
        <v>10</v>
      </c>
      <c r="D7317" s="195">
        <v>55.9</v>
      </c>
      <c r="E7317" s="705">
        <f t="shared" si="230"/>
        <v>13.277777777777777</v>
      </c>
    </row>
    <row r="7318" spans="2:5">
      <c r="B7318" s="943">
        <v>45223</v>
      </c>
      <c r="C7318" s="195">
        <f t="shared" si="229"/>
        <v>10</v>
      </c>
      <c r="D7318" s="195">
        <v>55.9</v>
      </c>
      <c r="E7318" s="705">
        <f t="shared" si="230"/>
        <v>13.277777777777777</v>
      </c>
    </row>
    <row r="7319" spans="2:5">
      <c r="B7319" s="943">
        <v>45223</v>
      </c>
      <c r="C7319" s="195">
        <f t="shared" si="229"/>
        <v>10</v>
      </c>
      <c r="D7319" s="195">
        <v>55.9</v>
      </c>
      <c r="E7319" s="705">
        <f t="shared" si="230"/>
        <v>13.277777777777777</v>
      </c>
    </row>
    <row r="7320" spans="2:5">
      <c r="B7320" s="943">
        <v>45223</v>
      </c>
      <c r="C7320" s="195">
        <f t="shared" si="229"/>
        <v>10</v>
      </c>
      <c r="D7320" s="195">
        <v>55.9</v>
      </c>
      <c r="E7320" s="705">
        <f t="shared" si="230"/>
        <v>13.277777777777777</v>
      </c>
    </row>
    <row r="7321" spans="2:5">
      <c r="B7321" s="943">
        <v>45223</v>
      </c>
      <c r="C7321" s="195">
        <f t="shared" si="229"/>
        <v>10</v>
      </c>
      <c r="D7321" s="195">
        <v>55.9</v>
      </c>
      <c r="E7321" s="705">
        <f t="shared" si="230"/>
        <v>13.277777777777777</v>
      </c>
    </row>
    <row r="7322" spans="2:5">
      <c r="B7322" s="943">
        <v>45223</v>
      </c>
      <c r="C7322" s="195">
        <f t="shared" si="229"/>
        <v>10</v>
      </c>
      <c r="D7322" s="195">
        <v>56.1</v>
      </c>
      <c r="E7322" s="705">
        <f t="shared" si="230"/>
        <v>13.388888888888889</v>
      </c>
    </row>
    <row r="7323" spans="2:5">
      <c r="B7323" s="943">
        <v>45223</v>
      </c>
      <c r="C7323" s="195">
        <f t="shared" si="229"/>
        <v>10</v>
      </c>
      <c r="D7323" s="195">
        <v>56.3</v>
      </c>
      <c r="E7323" s="705">
        <f t="shared" si="230"/>
        <v>13.499999999999998</v>
      </c>
    </row>
    <row r="7324" spans="2:5">
      <c r="B7324" s="943">
        <v>45223</v>
      </c>
      <c r="C7324" s="195">
        <f t="shared" si="229"/>
        <v>10</v>
      </c>
      <c r="D7324" s="195">
        <v>56.3</v>
      </c>
      <c r="E7324" s="705">
        <f t="shared" si="230"/>
        <v>13.499999999999998</v>
      </c>
    </row>
    <row r="7325" spans="2:5">
      <c r="B7325" s="943">
        <v>45223</v>
      </c>
      <c r="C7325" s="195">
        <f t="shared" si="229"/>
        <v>10</v>
      </c>
      <c r="D7325" s="195">
        <v>56.5</v>
      </c>
      <c r="E7325" s="705">
        <f t="shared" si="230"/>
        <v>13.611111111111111</v>
      </c>
    </row>
    <row r="7326" spans="2:5">
      <c r="B7326" s="943">
        <v>45223</v>
      </c>
      <c r="C7326" s="195">
        <f t="shared" si="229"/>
        <v>10</v>
      </c>
      <c r="D7326" s="195">
        <v>56.3</v>
      </c>
      <c r="E7326" s="705">
        <f t="shared" si="230"/>
        <v>13.499999999999998</v>
      </c>
    </row>
    <row r="7327" spans="2:5">
      <c r="B7327" s="943">
        <v>45223</v>
      </c>
      <c r="C7327" s="195">
        <f t="shared" si="229"/>
        <v>10</v>
      </c>
      <c r="D7327" s="195">
        <v>56.1</v>
      </c>
      <c r="E7327" s="705">
        <f t="shared" si="230"/>
        <v>13.388888888888889</v>
      </c>
    </row>
    <row r="7328" spans="2:5">
      <c r="B7328" s="943">
        <v>45223</v>
      </c>
      <c r="C7328" s="195">
        <f t="shared" si="229"/>
        <v>10</v>
      </c>
      <c r="D7328" s="195">
        <v>56.1</v>
      </c>
      <c r="E7328" s="705">
        <f t="shared" si="230"/>
        <v>13.388888888888889</v>
      </c>
    </row>
    <row r="7329" spans="2:5">
      <c r="B7329" s="943">
        <v>45224</v>
      </c>
      <c r="C7329" s="195">
        <f t="shared" si="229"/>
        <v>10</v>
      </c>
      <c r="D7329" s="195">
        <v>56.1</v>
      </c>
      <c r="E7329" s="705">
        <f t="shared" si="230"/>
        <v>13.388888888888889</v>
      </c>
    </row>
    <row r="7330" spans="2:5">
      <c r="B7330" s="943">
        <v>45224</v>
      </c>
      <c r="C7330" s="195">
        <f t="shared" si="229"/>
        <v>10</v>
      </c>
      <c r="D7330" s="195">
        <v>55.9</v>
      </c>
      <c r="E7330" s="705">
        <f t="shared" si="230"/>
        <v>13.277777777777777</v>
      </c>
    </row>
    <row r="7331" spans="2:5">
      <c r="B7331" s="943">
        <v>45224</v>
      </c>
      <c r="C7331" s="195">
        <f t="shared" si="229"/>
        <v>10</v>
      </c>
      <c r="D7331" s="195">
        <v>55.9</v>
      </c>
      <c r="E7331" s="705">
        <f t="shared" si="230"/>
        <v>13.277777777777777</v>
      </c>
    </row>
    <row r="7332" spans="2:5">
      <c r="B7332" s="943">
        <v>45224</v>
      </c>
      <c r="C7332" s="195">
        <f t="shared" si="229"/>
        <v>10</v>
      </c>
      <c r="D7332" s="195">
        <v>55.9</v>
      </c>
      <c r="E7332" s="705">
        <f t="shared" si="230"/>
        <v>13.277777777777777</v>
      </c>
    </row>
    <row r="7333" spans="2:5">
      <c r="B7333" s="943">
        <v>45224</v>
      </c>
      <c r="C7333" s="195">
        <f t="shared" si="229"/>
        <v>10</v>
      </c>
      <c r="D7333" s="195">
        <v>55.9</v>
      </c>
      <c r="E7333" s="705">
        <f t="shared" si="230"/>
        <v>13.277777777777777</v>
      </c>
    </row>
    <row r="7334" spans="2:5">
      <c r="B7334" s="943">
        <v>45224</v>
      </c>
      <c r="C7334" s="195">
        <f t="shared" si="229"/>
        <v>10</v>
      </c>
      <c r="D7334" s="195">
        <v>56.1</v>
      </c>
      <c r="E7334" s="705">
        <f t="shared" si="230"/>
        <v>13.388888888888889</v>
      </c>
    </row>
    <row r="7335" spans="2:5">
      <c r="B7335" s="943">
        <v>45224</v>
      </c>
      <c r="C7335" s="195">
        <f t="shared" si="229"/>
        <v>10</v>
      </c>
      <c r="D7335" s="195">
        <v>56.1</v>
      </c>
      <c r="E7335" s="705">
        <f t="shared" si="230"/>
        <v>13.388888888888889</v>
      </c>
    </row>
    <row r="7336" spans="2:5">
      <c r="B7336" s="943">
        <v>45224</v>
      </c>
      <c r="C7336" s="195">
        <f t="shared" si="229"/>
        <v>10</v>
      </c>
      <c r="D7336" s="195">
        <v>56.1</v>
      </c>
      <c r="E7336" s="705">
        <f t="shared" si="230"/>
        <v>13.388888888888889</v>
      </c>
    </row>
    <row r="7337" spans="2:5">
      <c r="B7337" s="943">
        <v>45224</v>
      </c>
      <c r="C7337" s="195">
        <f t="shared" si="229"/>
        <v>10</v>
      </c>
      <c r="D7337" s="195">
        <v>56.1</v>
      </c>
      <c r="E7337" s="705">
        <f t="shared" si="230"/>
        <v>13.388888888888889</v>
      </c>
    </row>
    <row r="7338" spans="2:5">
      <c r="B7338" s="943">
        <v>45224</v>
      </c>
      <c r="C7338" s="195">
        <f t="shared" si="229"/>
        <v>10</v>
      </c>
      <c r="D7338" s="195">
        <v>56.1</v>
      </c>
      <c r="E7338" s="705">
        <f t="shared" si="230"/>
        <v>13.388888888888889</v>
      </c>
    </row>
    <row r="7339" spans="2:5">
      <c r="B7339" s="943">
        <v>45224</v>
      </c>
      <c r="C7339" s="195">
        <f t="shared" si="229"/>
        <v>10</v>
      </c>
      <c r="D7339" s="195">
        <v>56.1</v>
      </c>
      <c r="E7339" s="705">
        <f t="shared" si="230"/>
        <v>13.388888888888889</v>
      </c>
    </row>
    <row r="7340" spans="2:5">
      <c r="B7340" s="943">
        <v>45224</v>
      </c>
      <c r="C7340" s="195">
        <f t="shared" si="229"/>
        <v>10</v>
      </c>
      <c r="D7340" s="195">
        <v>56.1</v>
      </c>
      <c r="E7340" s="705">
        <f t="shared" si="230"/>
        <v>13.388888888888889</v>
      </c>
    </row>
    <row r="7341" spans="2:5">
      <c r="B7341" s="943">
        <v>45224</v>
      </c>
      <c r="C7341" s="195">
        <f t="shared" si="229"/>
        <v>10</v>
      </c>
      <c r="D7341" s="195">
        <v>55.9</v>
      </c>
      <c r="E7341" s="705">
        <f t="shared" si="230"/>
        <v>13.277777777777777</v>
      </c>
    </row>
    <row r="7342" spans="2:5">
      <c r="B7342" s="943">
        <v>45224</v>
      </c>
      <c r="C7342" s="195">
        <f t="shared" si="229"/>
        <v>10</v>
      </c>
      <c r="D7342" s="195">
        <v>55.8</v>
      </c>
      <c r="E7342" s="705">
        <f t="shared" si="230"/>
        <v>13.22222222222222</v>
      </c>
    </row>
    <row r="7343" spans="2:5">
      <c r="B7343" s="943">
        <v>45224</v>
      </c>
      <c r="C7343" s="195">
        <f t="shared" si="229"/>
        <v>10</v>
      </c>
      <c r="D7343" s="195">
        <v>55.8</v>
      </c>
      <c r="E7343" s="705">
        <f t="shared" si="230"/>
        <v>13.22222222222222</v>
      </c>
    </row>
    <row r="7344" spans="2:5">
      <c r="B7344" s="943">
        <v>45224</v>
      </c>
      <c r="C7344" s="195">
        <f t="shared" si="229"/>
        <v>10</v>
      </c>
      <c r="D7344" s="195">
        <v>55.8</v>
      </c>
      <c r="E7344" s="705">
        <f t="shared" si="230"/>
        <v>13.22222222222222</v>
      </c>
    </row>
    <row r="7345" spans="2:5">
      <c r="B7345" s="943">
        <v>45224</v>
      </c>
      <c r="C7345" s="195">
        <f t="shared" si="229"/>
        <v>10</v>
      </c>
      <c r="D7345" s="195">
        <v>55.9</v>
      </c>
      <c r="E7345" s="705">
        <f t="shared" si="230"/>
        <v>13.277777777777777</v>
      </c>
    </row>
    <row r="7346" spans="2:5">
      <c r="B7346" s="943">
        <v>45224</v>
      </c>
      <c r="C7346" s="195">
        <f t="shared" si="229"/>
        <v>10</v>
      </c>
      <c r="D7346" s="195">
        <v>56.1</v>
      </c>
      <c r="E7346" s="705">
        <f t="shared" si="230"/>
        <v>13.388888888888889</v>
      </c>
    </row>
    <row r="7347" spans="2:5">
      <c r="B7347" s="943">
        <v>45224</v>
      </c>
      <c r="C7347" s="195">
        <f t="shared" si="229"/>
        <v>10</v>
      </c>
      <c r="D7347" s="195">
        <v>56.3</v>
      </c>
      <c r="E7347" s="705">
        <f t="shared" si="230"/>
        <v>13.499999999999998</v>
      </c>
    </row>
    <row r="7348" spans="2:5">
      <c r="B7348" s="943">
        <v>45224</v>
      </c>
      <c r="C7348" s="195">
        <f t="shared" si="229"/>
        <v>10</v>
      </c>
      <c r="D7348" s="195">
        <v>56.5</v>
      </c>
      <c r="E7348" s="705">
        <f t="shared" si="230"/>
        <v>13.611111111111111</v>
      </c>
    </row>
    <row r="7349" spans="2:5">
      <c r="B7349" s="943">
        <v>45224</v>
      </c>
      <c r="C7349" s="195">
        <f t="shared" si="229"/>
        <v>10</v>
      </c>
      <c r="D7349" s="195">
        <v>56.5</v>
      </c>
      <c r="E7349" s="705">
        <f t="shared" si="230"/>
        <v>13.611111111111111</v>
      </c>
    </row>
    <row r="7350" spans="2:5">
      <c r="B7350" s="943">
        <v>45224</v>
      </c>
      <c r="C7350" s="195">
        <f t="shared" si="229"/>
        <v>10</v>
      </c>
      <c r="D7350" s="195">
        <v>56.7</v>
      </c>
      <c r="E7350" s="705">
        <f t="shared" si="230"/>
        <v>13.722222222222223</v>
      </c>
    </row>
    <row r="7351" spans="2:5">
      <c r="B7351" s="943">
        <v>45224</v>
      </c>
      <c r="C7351" s="195">
        <f t="shared" si="229"/>
        <v>10</v>
      </c>
      <c r="D7351" s="195">
        <v>56.5</v>
      </c>
      <c r="E7351" s="705">
        <f t="shared" si="230"/>
        <v>13.611111111111111</v>
      </c>
    </row>
    <row r="7352" spans="2:5">
      <c r="B7352" s="943">
        <v>45224</v>
      </c>
      <c r="C7352" s="195">
        <f t="shared" si="229"/>
        <v>10</v>
      </c>
      <c r="D7352" s="195">
        <v>56.3</v>
      </c>
      <c r="E7352" s="705">
        <f t="shared" si="230"/>
        <v>13.499999999999998</v>
      </c>
    </row>
    <row r="7353" spans="2:5">
      <c r="B7353" s="943">
        <v>45225</v>
      </c>
      <c r="C7353" s="195">
        <f t="shared" si="229"/>
        <v>10</v>
      </c>
      <c r="D7353" s="195">
        <v>56.1</v>
      </c>
      <c r="E7353" s="705">
        <f t="shared" si="230"/>
        <v>13.388888888888889</v>
      </c>
    </row>
    <row r="7354" spans="2:5">
      <c r="B7354" s="943">
        <v>45225</v>
      </c>
      <c r="C7354" s="195">
        <f t="shared" si="229"/>
        <v>10</v>
      </c>
      <c r="D7354" s="195">
        <v>55.9</v>
      </c>
      <c r="E7354" s="705">
        <f t="shared" si="230"/>
        <v>13.277777777777777</v>
      </c>
    </row>
    <row r="7355" spans="2:5">
      <c r="B7355" s="943">
        <v>45225</v>
      </c>
      <c r="C7355" s="195">
        <f t="shared" si="229"/>
        <v>10</v>
      </c>
      <c r="D7355" s="195">
        <v>55.8</v>
      </c>
      <c r="E7355" s="705">
        <f t="shared" si="230"/>
        <v>13.22222222222222</v>
      </c>
    </row>
    <row r="7356" spans="2:5">
      <c r="B7356" s="943">
        <v>45225</v>
      </c>
      <c r="C7356" s="195">
        <f t="shared" si="229"/>
        <v>10</v>
      </c>
      <c r="D7356" s="195">
        <v>55.8</v>
      </c>
      <c r="E7356" s="705">
        <f t="shared" si="230"/>
        <v>13.22222222222222</v>
      </c>
    </row>
    <row r="7357" spans="2:5">
      <c r="B7357" s="943">
        <v>45225</v>
      </c>
      <c r="C7357" s="195">
        <f t="shared" si="229"/>
        <v>10</v>
      </c>
      <c r="D7357" s="195">
        <v>55.8</v>
      </c>
      <c r="E7357" s="705">
        <f t="shared" si="230"/>
        <v>13.22222222222222</v>
      </c>
    </row>
    <row r="7358" spans="2:5">
      <c r="B7358" s="943">
        <v>45225</v>
      </c>
      <c r="C7358" s="195">
        <f t="shared" si="229"/>
        <v>10</v>
      </c>
      <c r="D7358" s="195">
        <v>55.9</v>
      </c>
      <c r="E7358" s="705">
        <f t="shared" si="230"/>
        <v>13.277777777777777</v>
      </c>
    </row>
    <row r="7359" spans="2:5">
      <c r="B7359" s="943">
        <v>45225</v>
      </c>
      <c r="C7359" s="195">
        <f t="shared" si="229"/>
        <v>10</v>
      </c>
      <c r="D7359" s="195">
        <v>56.1</v>
      </c>
      <c r="E7359" s="705">
        <f t="shared" si="230"/>
        <v>13.388888888888889</v>
      </c>
    </row>
    <row r="7360" spans="2:5">
      <c r="B7360" s="943">
        <v>45225</v>
      </c>
      <c r="C7360" s="195">
        <f t="shared" si="229"/>
        <v>10</v>
      </c>
      <c r="D7360" s="195">
        <v>56.3</v>
      </c>
      <c r="E7360" s="705">
        <f t="shared" si="230"/>
        <v>13.499999999999998</v>
      </c>
    </row>
    <row r="7361" spans="2:5">
      <c r="B7361" s="943">
        <v>45225</v>
      </c>
      <c r="C7361" s="195">
        <f t="shared" si="229"/>
        <v>10</v>
      </c>
      <c r="D7361" s="195">
        <v>56.5</v>
      </c>
      <c r="E7361" s="705">
        <f t="shared" si="230"/>
        <v>13.611111111111111</v>
      </c>
    </row>
    <row r="7362" spans="2:5">
      <c r="B7362" s="943">
        <v>45225</v>
      </c>
      <c r="C7362" s="195">
        <f t="shared" si="229"/>
        <v>10</v>
      </c>
      <c r="D7362" s="195">
        <v>56.5</v>
      </c>
      <c r="E7362" s="705">
        <f t="shared" si="230"/>
        <v>13.611111111111111</v>
      </c>
    </row>
    <row r="7363" spans="2:5">
      <c r="B7363" s="943">
        <v>45225</v>
      </c>
      <c r="C7363" s="195">
        <f t="shared" si="229"/>
        <v>10</v>
      </c>
      <c r="D7363" s="195">
        <v>56.7</v>
      </c>
      <c r="E7363" s="705">
        <f t="shared" si="230"/>
        <v>13.722222222222223</v>
      </c>
    </row>
    <row r="7364" spans="2:5">
      <c r="B7364" s="943">
        <v>45225</v>
      </c>
      <c r="C7364" s="195">
        <f t="shared" si="229"/>
        <v>10</v>
      </c>
      <c r="D7364" s="195">
        <v>56.5</v>
      </c>
      <c r="E7364" s="705">
        <f t="shared" si="230"/>
        <v>13.611111111111111</v>
      </c>
    </row>
    <row r="7365" spans="2:5">
      <c r="B7365" s="943">
        <v>45225</v>
      </c>
      <c r="C7365" s="195">
        <f t="shared" si="229"/>
        <v>10</v>
      </c>
      <c r="D7365" s="195">
        <v>56.3</v>
      </c>
      <c r="E7365" s="705">
        <f t="shared" si="230"/>
        <v>13.499999999999998</v>
      </c>
    </row>
    <row r="7366" spans="2:5">
      <c r="B7366" s="943">
        <v>45225</v>
      </c>
      <c r="C7366" s="195">
        <f t="shared" si="229"/>
        <v>10</v>
      </c>
      <c r="D7366" s="195">
        <v>55.8</v>
      </c>
      <c r="E7366" s="705">
        <f t="shared" si="230"/>
        <v>13.22222222222222</v>
      </c>
    </row>
    <row r="7367" spans="2:5">
      <c r="B7367" s="943">
        <v>45225</v>
      </c>
      <c r="C7367" s="195">
        <f t="shared" si="229"/>
        <v>10</v>
      </c>
      <c r="D7367" s="195">
        <v>55.6</v>
      </c>
      <c r="E7367" s="705">
        <f t="shared" si="230"/>
        <v>13.111111111111111</v>
      </c>
    </row>
    <row r="7368" spans="2:5">
      <c r="B7368" s="943">
        <v>45225</v>
      </c>
      <c r="C7368" s="195">
        <f t="shared" si="229"/>
        <v>10</v>
      </c>
      <c r="D7368" s="195">
        <v>55.6</v>
      </c>
      <c r="E7368" s="705">
        <f t="shared" si="230"/>
        <v>13.111111111111111</v>
      </c>
    </row>
    <row r="7369" spans="2:5">
      <c r="B7369" s="943">
        <v>45225</v>
      </c>
      <c r="C7369" s="195">
        <f t="shared" si="229"/>
        <v>10</v>
      </c>
      <c r="D7369" s="195">
        <v>55.8</v>
      </c>
      <c r="E7369" s="705">
        <f t="shared" si="230"/>
        <v>13.22222222222222</v>
      </c>
    </row>
    <row r="7370" spans="2:5">
      <c r="B7370" s="943">
        <v>45225</v>
      </c>
      <c r="C7370" s="195">
        <f t="shared" ref="C7370:C7433" si="231">MONTH(B7370)</f>
        <v>10</v>
      </c>
      <c r="D7370" s="195">
        <v>55.8</v>
      </c>
      <c r="E7370" s="705">
        <f t="shared" ref="E7370:E7433" si="232">CONVERT(D7370,"F","C")</f>
        <v>13.22222222222222</v>
      </c>
    </row>
    <row r="7371" spans="2:5">
      <c r="B7371" s="943">
        <v>45225</v>
      </c>
      <c r="C7371" s="195">
        <f t="shared" si="231"/>
        <v>10</v>
      </c>
      <c r="D7371" s="195">
        <v>56.1</v>
      </c>
      <c r="E7371" s="705">
        <f t="shared" si="232"/>
        <v>13.388888888888889</v>
      </c>
    </row>
    <row r="7372" spans="2:5">
      <c r="B7372" s="943">
        <v>45225</v>
      </c>
      <c r="C7372" s="195">
        <f t="shared" si="231"/>
        <v>10</v>
      </c>
      <c r="D7372" s="195">
        <v>56.5</v>
      </c>
      <c r="E7372" s="705">
        <f t="shared" si="232"/>
        <v>13.611111111111111</v>
      </c>
    </row>
    <row r="7373" spans="2:5">
      <c r="B7373" s="943">
        <v>45225</v>
      </c>
      <c r="C7373" s="195">
        <f t="shared" si="231"/>
        <v>10</v>
      </c>
      <c r="D7373" s="195">
        <v>56.7</v>
      </c>
      <c r="E7373" s="705">
        <f t="shared" si="232"/>
        <v>13.722222222222223</v>
      </c>
    </row>
    <row r="7374" spans="2:5">
      <c r="B7374" s="943">
        <v>45225</v>
      </c>
      <c r="C7374" s="195">
        <f t="shared" si="231"/>
        <v>10</v>
      </c>
      <c r="D7374" s="195">
        <v>56.8</v>
      </c>
      <c r="E7374" s="705">
        <f t="shared" si="232"/>
        <v>13.777777777777775</v>
      </c>
    </row>
    <row r="7375" spans="2:5">
      <c r="B7375" s="943">
        <v>45225</v>
      </c>
      <c r="C7375" s="195">
        <f t="shared" si="231"/>
        <v>10</v>
      </c>
      <c r="D7375" s="195">
        <v>56.8</v>
      </c>
      <c r="E7375" s="705">
        <f t="shared" si="232"/>
        <v>13.777777777777775</v>
      </c>
    </row>
    <row r="7376" spans="2:5">
      <c r="B7376" s="943">
        <v>45225</v>
      </c>
      <c r="C7376" s="195">
        <f t="shared" si="231"/>
        <v>10</v>
      </c>
      <c r="D7376" s="195">
        <v>56.8</v>
      </c>
      <c r="E7376" s="705">
        <f t="shared" si="232"/>
        <v>13.777777777777775</v>
      </c>
    </row>
    <row r="7377" spans="2:5">
      <c r="B7377" s="943">
        <v>45226</v>
      </c>
      <c r="C7377" s="195">
        <f t="shared" si="231"/>
        <v>10</v>
      </c>
      <c r="D7377" s="195">
        <v>56.5</v>
      </c>
      <c r="E7377" s="705">
        <f t="shared" si="232"/>
        <v>13.611111111111111</v>
      </c>
    </row>
    <row r="7378" spans="2:5">
      <c r="B7378" s="943">
        <v>45226</v>
      </c>
      <c r="C7378" s="195">
        <f t="shared" si="231"/>
        <v>10</v>
      </c>
      <c r="D7378" s="195">
        <v>56.1</v>
      </c>
      <c r="E7378" s="705">
        <f t="shared" si="232"/>
        <v>13.388888888888889</v>
      </c>
    </row>
    <row r="7379" spans="2:5">
      <c r="B7379" s="943">
        <v>45226</v>
      </c>
      <c r="C7379" s="195">
        <f t="shared" si="231"/>
        <v>10</v>
      </c>
      <c r="D7379" s="195">
        <v>55.9</v>
      </c>
      <c r="E7379" s="705">
        <f t="shared" si="232"/>
        <v>13.277777777777777</v>
      </c>
    </row>
    <row r="7380" spans="2:5">
      <c r="B7380" s="943">
        <v>45226</v>
      </c>
      <c r="C7380" s="195">
        <f t="shared" si="231"/>
        <v>10</v>
      </c>
      <c r="D7380" s="195">
        <v>55.8</v>
      </c>
      <c r="E7380" s="705">
        <f t="shared" si="232"/>
        <v>13.22222222222222</v>
      </c>
    </row>
    <row r="7381" spans="2:5">
      <c r="B7381" s="943">
        <v>45226</v>
      </c>
      <c r="C7381" s="195">
        <f t="shared" si="231"/>
        <v>10</v>
      </c>
      <c r="D7381" s="195">
        <v>55.8</v>
      </c>
      <c r="E7381" s="705">
        <f t="shared" si="232"/>
        <v>13.22222222222222</v>
      </c>
    </row>
    <row r="7382" spans="2:5">
      <c r="B7382" s="943">
        <v>45226</v>
      </c>
      <c r="C7382" s="195">
        <f t="shared" si="231"/>
        <v>10</v>
      </c>
      <c r="D7382" s="195">
        <v>55.8</v>
      </c>
      <c r="E7382" s="705">
        <f t="shared" si="232"/>
        <v>13.22222222222222</v>
      </c>
    </row>
    <row r="7383" spans="2:5">
      <c r="B7383" s="943">
        <v>45226</v>
      </c>
      <c r="C7383" s="195">
        <f t="shared" si="231"/>
        <v>10</v>
      </c>
      <c r="D7383" s="195">
        <v>55.9</v>
      </c>
      <c r="E7383" s="705">
        <f t="shared" si="232"/>
        <v>13.277777777777777</v>
      </c>
    </row>
    <row r="7384" spans="2:5">
      <c r="B7384" s="943">
        <v>45226</v>
      </c>
      <c r="C7384" s="195">
        <f t="shared" si="231"/>
        <v>10</v>
      </c>
      <c r="D7384" s="195">
        <v>56.1</v>
      </c>
      <c r="E7384" s="705">
        <f t="shared" si="232"/>
        <v>13.388888888888889</v>
      </c>
    </row>
    <row r="7385" spans="2:5">
      <c r="B7385" s="943">
        <v>45226</v>
      </c>
      <c r="C7385" s="195">
        <f t="shared" si="231"/>
        <v>10</v>
      </c>
      <c r="D7385" s="195">
        <v>56.5</v>
      </c>
      <c r="E7385" s="705">
        <f t="shared" si="232"/>
        <v>13.611111111111111</v>
      </c>
    </row>
    <row r="7386" spans="2:5">
      <c r="B7386" s="943">
        <v>45226</v>
      </c>
      <c r="C7386" s="195">
        <f t="shared" si="231"/>
        <v>10</v>
      </c>
      <c r="D7386" s="195">
        <v>56.7</v>
      </c>
      <c r="E7386" s="705">
        <f t="shared" si="232"/>
        <v>13.722222222222223</v>
      </c>
    </row>
    <row r="7387" spans="2:5">
      <c r="B7387" s="943">
        <v>45226</v>
      </c>
      <c r="C7387" s="195">
        <f t="shared" si="231"/>
        <v>10</v>
      </c>
      <c r="D7387" s="195">
        <v>56.8</v>
      </c>
      <c r="E7387" s="705">
        <f t="shared" si="232"/>
        <v>13.777777777777775</v>
      </c>
    </row>
    <row r="7388" spans="2:5">
      <c r="B7388" s="943">
        <v>45226</v>
      </c>
      <c r="C7388" s="195">
        <f t="shared" si="231"/>
        <v>10</v>
      </c>
      <c r="D7388" s="195">
        <v>56.8</v>
      </c>
      <c r="E7388" s="705">
        <f t="shared" si="232"/>
        <v>13.777777777777775</v>
      </c>
    </row>
    <row r="7389" spans="2:5">
      <c r="B7389" s="943">
        <v>45226</v>
      </c>
      <c r="C7389" s="195">
        <f t="shared" si="231"/>
        <v>10</v>
      </c>
      <c r="D7389" s="195">
        <v>56.5</v>
      </c>
      <c r="E7389" s="705">
        <f t="shared" si="232"/>
        <v>13.611111111111111</v>
      </c>
    </row>
    <row r="7390" spans="2:5">
      <c r="B7390" s="943">
        <v>45226</v>
      </c>
      <c r="C7390" s="195">
        <f t="shared" si="231"/>
        <v>10</v>
      </c>
      <c r="D7390" s="195">
        <v>56.1</v>
      </c>
      <c r="E7390" s="705">
        <f t="shared" si="232"/>
        <v>13.388888888888889</v>
      </c>
    </row>
    <row r="7391" spans="2:5">
      <c r="B7391" s="943">
        <v>45226</v>
      </c>
      <c r="C7391" s="195">
        <f t="shared" si="231"/>
        <v>10</v>
      </c>
      <c r="D7391" s="195">
        <v>55.9</v>
      </c>
      <c r="E7391" s="705">
        <f t="shared" si="232"/>
        <v>13.277777777777777</v>
      </c>
    </row>
    <row r="7392" spans="2:5">
      <c r="B7392" s="943">
        <v>45226</v>
      </c>
      <c r="C7392" s="195">
        <f t="shared" si="231"/>
        <v>10</v>
      </c>
      <c r="D7392" s="195">
        <v>55.8</v>
      </c>
      <c r="E7392" s="705">
        <f t="shared" si="232"/>
        <v>13.22222222222222</v>
      </c>
    </row>
    <row r="7393" spans="2:5">
      <c r="B7393" s="943">
        <v>45226</v>
      </c>
      <c r="C7393" s="195">
        <f t="shared" si="231"/>
        <v>10</v>
      </c>
      <c r="D7393" s="195">
        <v>55.9</v>
      </c>
      <c r="E7393" s="705">
        <f t="shared" si="232"/>
        <v>13.277777777777777</v>
      </c>
    </row>
    <row r="7394" spans="2:5">
      <c r="B7394" s="943">
        <v>45226</v>
      </c>
      <c r="C7394" s="195">
        <f t="shared" si="231"/>
        <v>10</v>
      </c>
      <c r="D7394" s="195">
        <v>56.1</v>
      </c>
      <c r="E7394" s="705">
        <f t="shared" si="232"/>
        <v>13.388888888888889</v>
      </c>
    </row>
    <row r="7395" spans="2:5">
      <c r="B7395" s="943">
        <v>45226</v>
      </c>
      <c r="C7395" s="195">
        <f t="shared" si="231"/>
        <v>10</v>
      </c>
      <c r="D7395" s="195">
        <v>56.1</v>
      </c>
      <c r="E7395" s="705">
        <f t="shared" si="232"/>
        <v>13.388888888888889</v>
      </c>
    </row>
    <row r="7396" spans="2:5">
      <c r="B7396" s="943">
        <v>45226</v>
      </c>
      <c r="C7396" s="195">
        <f t="shared" si="231"/>
        <v>10</v>
      </c>
      <c r="D7396" s="195">
        <v>56.5</v>
      </c>
      <c r="E7396" s="705">
        <f t="shared" si="232"/>
        <v>13.611111111111111</v>
      </c>
    </row>
    <row r="7397" spans="2:5">
      <c r="B7397" s="943">
        <v>45226</v>
      </c>
      <c r="C7397" s="195">
        <f t="shared" si="231"/>
        <v>10</v>
      </c>
      <c r="D7397" s="195">
        <v>56.8</v>
      </c>
      <c r="E7397" s="705">
        <f t="shared" si="232"/>
        <v>13.777777777777775</v>
      </c>
    </row>
    <row r="7398" spans="2:5">
      <c r="B7398" s="943">
        <v>45226</v>
      </c>
      <c r="C7398" s="195">
        <f t="shared" si="231"/>
        <v>10</v>
      </c>
      <c r="D7398" s="195" t="s">
        <v>1440</v>
      </c>
      <c r="E7398" s="705">
        <f t="shared" si="232"/>
        <v>13.888888888888889</v>
      </c>
    </row>
    <row r="7399" spans="2:5">
      <c r="B7399" s="943">
        <v>45226</v>
      </c>
      <c r="C7399" s="195">
        <f t="shared" si="231"/>
        <v>10</v>
      </c>
      <c r="D7399" s="195">
        <v>57.4</v>
      </c>
      <c r="E7399" s="705">
        <f t="shared" si="232"/>
        <v>14.111111111111111</v>
      </c>
    </row>
    <row r="7400" spans="2:5">
      <c r="B7400" s="943">
        <v>45226</v>
      </c>
      <c r="C7400" s="195">
        <f t="shared" si="231"/>
        <v>10</v>
      </c>
      <c r="D7400" s="195">
        <v>57.6</v>
      </c>
      <c r="E7400" s="705">
        <f t="shared" si="232"/>
        <v>14.222222222222223</v>
      </c>
    </row>
    <row r="7401" spans="2:5">
      <c r="B7401" s="943">
        <v>45227</v>
      </c>
      <c r="C7401" s="195">
        <f t="shared" si="231"/>
        <v>10</v>
      </c>
      <c r="D7401" s="195">
        <v>57.4</v>
      </c>
      <c r="E7401" s="705">
        <f t="shared" si="232"/>
        <v>14.111111111111111</v>
      </c>
    </row>
    <row r="7402" spans="2:5">
      <c r="B7402" s="943">
        <v>45227</v>
      </c>
      <c r="C7402" s="195">
        <f t="shared" si="231"/>
        <v>10</v>
      </c>
      <c r="D7402" s="195" t="s">
        <v>1440</v>
      </c>
      <c r="E7402" s="705">
        <f t="shared" si="232"/>
        <v>13.888888888888889</v>
      </c>
    </row>
    <row r="7403" spans="2:5">
      <c r="B7403" s="943">
        <v>45227</v>
      </c>
      <c r="C7403" s="195">
        <f t="shared" si="231"/>
        <v>10</v>
      </c>
      <c r="D7403" s="195">
        <v>56.3</v>
      </c>
      <c r="E7403" s="705">
        <f t="shared" si="232"/>
        <v>13.499999999999998</v>
      </c>
    </row>
    <row r="7404" spans="2:5">
      <c r="B7404" s="943">
        <v>45227</v>
      </c>
      <c r="C7404" s="195">
        <f t="shared" si="231"/>
        <v>10</v>
      </c>
      <c r="D7404" s="195">
        <v>55.9</v>
      </c>
      <c r="E7404" s="705">
        <f t="shared" si="232"/>
        <v>13.277777777777777</v>
      </c>
    </row>
    <row r="7405" spans="2:5">
      <c r="B7405" s="943">
        <v>45227</v>
      </c>
      <c r="C7405" s="195">
        <f t="shared" si="231"/>
        <v>10</v>
      </c>
      <c r="D7405" s="195">
        <v>55.9</v>
      </c>
      <c r="E7405" s="705">
        <f t="shared" si="232"/>
        <v>13.277777777777777</v>
      </c>
    </row>
    <row r="7406" spans="2:5">
      <c r="B7406" s="943">
        <v>45227</v>
      </c>
      <c r="C7406" s="195">
        <f t="shared" si="231"/>
        <v>10</v>
      </c>
      <c r="D7406" s="195">
        <v>55.9</v>
      </c>
      <c r="E7406" s="705">
        <f t="shared" si="232"/>
        <v>13.277777777777777</v>
      </c>
    </row>
    <row r="7407" spans="2:5">
      <c r="B7407" s="943">
        <v>45227</v>
      </c>
      <c r="C7407" s="195">
        <f t="shared" si="231"/>
        <v>10</v>
      </c>
      <c r="D7407" s="195">
        <v>56.1</v>
      </c>
      <c r="E7407" s="705">
        <f t="shared" si="232"/>
        <v>13.388888888888889</v>
      </c>
    </row>
    <row r="7408" spans="2:5">
      <c r="B7408" s="943">
        <v>45227</v>
      </c>
      <c r="C7408" s="195">
        <f t="shared" si="231"/>
        <v>10</v>
      </c>
      <c r="D7408" s="195">
        <v>56.1</v>
      </c>
      <c r="E7408" s="705">
        <f t="shared" si="232"/>
        <v>13.388888888888889</v>
      </c>
    </row>
    <row r="7409" spans="2:5">
      <c r="B7409" s="943">
        <v>45227</v>
      </c>
      <c r="C7409" s="195">
        <f t="shared" si="231"/>
        <v>10</v>
      </c>
      <c r="D7409" s="195">
        <v>56.5</v>
      </c>
      <c r="E7409" s="705">
        <f t="shared" si="232"/>
        <v>13.611111111111111</v>
      </c>
    </row>
    <row r="7410" spans="2:5">
      <c r="B7410" s="943">
        <v>45227</v>
      </c>
      <c r="C7410" s="195">
        <f t="shared" si="231"/>
        <v>10</v>
      </c>
      <c r="D7410" s="195">
        <v>56.8</v>
      </c>
      <c r="E7410" s="705">
        <f t="shared" si="232"/>
        <v>13.777777777777775</v>
      </c>
    </row>
    <row r="7411" spans="2:5">
      <c r="B7411" s="943">
        <v>45227</v>
      </c>
      <c r="C7411" s="195">
        <f t="shared" si="231"/>
        <v>10</v>
      </c>
      <c r="D7411" s="195" t="s">
        <v>1440</v>
      </c>
      <c r="E7411" s="705">
        <f t="shared" si="232"/>
        <v>13.888888888888889</v>
      </c>
    </row>
    <row r="7412" spans="2:5">
      <c r="B7412" s="943">
        <v>45227</v>
      </c>
      <c r="C7412" s="195">
        <f t="shared" si="231"/>
        <v>10</v>
      </c>
      <c r="D7412" s="195">
        <v>57.2</v>
      </c>
      <c r="E7412" s="705">
        <f t="shared" si="232"/>
        <v>14.000000000000002</v>
      </c>
    </row>
    <row r="7413" spans="2:5">
      <c r="B7413" s="943">
        <v>45227</v>
      </c>
      <c r="C7413" s="195">
        <f t="shared" si="231"/>
        <v>10</v>
      </c>
      <c r="D7413" s="195">
        <v>57.2</v>
      </c>
      <c r="E7413" s="705">
        <f t="shared" si="232"/>
        <v>14.000000000000002</v>
      </c>
    </row>
    <row r="7414" spans="2:5">
      <c r="B7414" s="943">
        <v>45227</v>
      </c>
      <c r="C7414" s="195">
        <f t="shared" si="231"/>
        <v>10</v>
      </c>
      <c r="D7414" s="195">
        <v>56.8</v>
      </c>
      <c r="E7414" s="705">
        <f t="shared" si="232"/>
        <v>13.777777777777775</v>
      </c>
    </row>
    <row r="7415" spans="2:5">
      <c r="B7415" s="943">
        <v>45227</v>
      </c>
      <c r="C7415" s="195">
        <f t="shared" si="231"/>
        <v>10</v>
      </c>
      <c r="D7415" s="195">
        <v>56.3</v>
      </c>
      <c r="E7415" s="705">
        <f t="shared" si="232"/>
        <v>13.499999999999998</v>
      </c>
    </row>
    <row r="7416" spans="2:5">
      <c r="B7416" s="943">
        <v>45227</v>
      </c>
      <c r="C7416" s="195">
        <f t="shared" si="231"/>
        <v>10</v>
      </c>
      <c r="D7416" s="195">
        <v>55.9</v>
      </c>
      <c r="E7416" s="705">
        <f t="shared" si="232"/>
        <v>13.277777777777777</v>
      </c>
    </row>
    <row r="7417" spans="2:5">
      <c r="B7417" s="943">
        <v>45227</v>
      </c>
      <c r="C7417" s="195">
        <f t="shared" si="231"/>
        <v>10</v>
      </c>
      <c r="D7417" s="195">
        <v>55.9</v>
      </c>
      <c r="E7417" s="705">
        <f t="shared" si="232"/>
        <v>13.277777777777777</v>
      </c>
    </row>
    <row r="7418" spans="2:5">
      <c r="B7418" s="943">
        <v>45227</v>
      </c>
      <c r="C7418" s="195">
        <f t="shared" si="231"/>
        <v>10</v>
      </c>
      <c r="D7418" s="195">
        <v>55.9</v>
      </c>
      <c r="E7418" s="705">
        <f t="shared" si="232"/>
        <v>13.277777777777777</v>
      </c>
    </row>
    <row r="7419" spans="2:5">
      <c r="B7419" s="943">
        <v>45227</v>
      </c>
      <c r="C7419" s="195">
        <f t="shared" si="231"/>
        <v>10</v>
      </c>
      <c r="D7419" s="195">
        <v>56.3</v>
      </c>
      <c r="E7419" s="705">
        <f t="shared" si="232"/>
        <v>13.499999999999998</v>
      </c>
    </row>
    <row r="7420" spans="2:5">
      <c r="B7420" s="943">
        <v>45227</v>
      </c>
      <c r="C7420" s="195">
        <f t="shared" si="231"/>
        <v>10</v>
      </c>
      <c r="D7420" s="195">
        <v>56.3</v>
      </c>
      <c r="E7420" s="705">
        <f t="shared" si="232"/>
        <v>13.499999999999998</v>
      </c>
    </row>
    <row r="7421" spans="2:5">
      <c r="B7421" s="943">
        <v>45227</v>
      </c>
      <c r="C7421" s="195">
        <f t="shared" si="231"/>
        <v>10</v>
      </c>
      <c r="D7421" s="195">
        <v>56.8</v>
      </c>
      <c r="E7421" s="705">
        <f t="shared" si="232"/>
        <v>13.777777777777775</v>
      </c>
    </row>
    <row r="7422" spans="2:5">
      <c r="B7422" s="943">
        <v>45227</v>
      </c>
      <c r="C7422" s="195">
        <f t="shared" si="231"/>
        <v>10</v>
      </c>
      <c r="D7422" s="195">
        <v>57.4</v>
      </c>
      <c r="E7422" s="705">
        <f t="shared" si="232"/>
        <v>14.111111111111111</v>
      </c>
    </row>
    <row r="7423" spans="2:5">
      <c r="B7423" s="943">
        <v>45227</v>
      </c>
      <c r="C7423" s="195">
        <f t="shared" si="231"/>
        <v>10</v>
      </c>
      <c r="D7423" s="195">
        <v>57.6</v>
      </c>
      <c r="E7423" s="705">
        <f t="shared" si="232"/>
        <v>14.222222222222223</v>
      </c>
    </row>
    <row r="7424" spans="2:5">
      <c r="B7424" s="943">
        <v>45227</v>
      </c>
      <c r="C7424" s="195">
        <f t="shared" si="231"/>
        <v>10</v>
      </c>
      <c r="D7424" s="195">
        <v>57.9</v>
      </c>
      <c r="E7424" s="705">
        <f t="shared" si="232"/>
        <v>14.388888888888888</v>
      </c>
    </row>
    <row r="7425" spans="2:5">
      <c r="B7425" s="943">
        <v>45228</v>
      </c>
      <c r="C7425" s="195">
        <f t="shared" si="231"/>
        <v>10</v>
      </c>
      <c r="D7425" s="195">
        <v>58.1</v>
      </c>
      <c r="E7425" s="705">
        <f t="shared" si="232"/>
        <v>14.5</v>
      </c>
    </row>
    <row r="7426" spans="2:5">
      <c r="B7426" s="943">
        <v>45228</v>
      </c>
      <c r="C7426" s="195">
        <f t="shared" si="231"/>
        <v>10</v>
      </c>
      <c r="D7426" s="195">
        <v>57.9</v>
      </c>
      <c r="E7426" s="705">
        <f t="shared" si="232"/>
        <v>14.388888888888888</v>
      </c>
    </row>
    <row r="7427" spans="2:5">
      <c r="B7427" s="943">
        <v>45228</v>
      </c>
      <c r="C7427" s="195">
        <f t="shared" si="231"/>
        <v>10</v>
      </c>
      <c r="D7427" s="195">
        <v>57.4</v>
      </c>
      <c r="E7427" s="705">
        <f t="shared" si="232"/>
        <v>14.111111111111111</v>
      </c>
    </row>
    <row r="7428" spans="2:5">
      <c r="B7428" s="943">
        <v>45228</v>
      </c>
      <c r="C7428" s="195">
        <f t="shared" si="231"/>
        <v>10</v>
      </c>
      <c r="D7428" s="195">
        <v>56.5</v>
      </c>
      <c r="E7428" s="705">
        <f t="shared" si="232"/>
        <v>13.611111111111111</v>
      </c>
    </row>
    <row r="7429" spans="2:5">
      <c r="B7429" s="943">
        <v>45228</v>
      </c>
      <c r="C7429" s="195">
        <f t="shared" si="231"/>
        <v>10</v>
      </c>
      <c r="D7429" s="195">
        <v>56.1</v>
      </c>
      <c r="E7429" s="705">
        <f t="shared" si="232"/>
        <v>13.388888888888889</v>
      </c>
    </row>
    <row r="7430" spans="2:5">
      <c r="B7430" s="943">
        <v>45228</v>
      </c>
      <c r="C7430" s="195">
        <f t="shared" si="231"/>
        <v>10</v>
      </c>
      <c r="D7430" s="195">
        <v>55.9</v>
      </c>
      <c r="E7430" s="705">
        <f t="shared" si="232"/>
        <v>13.277777777777777</v>
      </c>
    </row>
    <row r="7431" spans="2:5">
      <c r="B7431" s="943">
        <v>45228</v>
      </c>
      <c r="C7431" s="195">
        <f t="shared" si="231"/>
        <v>10</v>
      </c>
      <c r="D7431" s="195">
        <v>55.8</v>
      </c>
      <c r="E7431" s="705">
        <f t="shared" si="232"/>
        <v>13.22222222222222</v>
      </c>
    </row>
    <row r="7432" spans="2:5">
      <c r="B7432" s="943">
        <v>45228</v>
      </c>
      <c r="C7432" s="195">
        <f t="shared" si="231"/>
        <v>10</v>
      </c>
      <c r="D7432" s="195">
        <v>55.9</v>
      </c>
      <c r="E7432" s="705">
        <f t="shared" si="232"/>
        <v>13.277777777777777</v>
      </c>
    </row>
    <row r="7433" spans="2:5">
      <c r="B7433" s="943">
        <v>45228</v>
      </c>
      <c r="C7433" s="195">
        <f t="shared" si="231"/>
        <v>10</v>
      </c>
      <c r="D7433" s="195">
        <v>56.3</v>
      </c>
      <c r="E7433" s="705">
        <f t="shared" si="232"/>
        <v>13.499999999999998</v>
      </c>
    </row>
    <row r="7434" spans="2:5">
      <c r="B7434" s="943">
        <v>45228</v>
      </c>
      <c r="C7434" s="195">
        <f t="shared" ref="C7434:C7497" si="233">MONTH(B7434)</f>
        <v>10</v>
      </c>
      <c r="D7434" s="195">
        <v>56.8</v>
      </c>
      <c r="E7434" s="705">
        <f t="shared" ref="E7434:E7497" si="234">CONVERT(D7434,"F","C")</f>
        <v>13.777777777777775</v>
      </c>
    </row>
    <row r="7435" spans="2:5">
      <c r="B7435" s="943">
        <v>45228</v>
      </c>
      <c r="C7435" s="195">
        <f t="shared" si="233"/>
        <v>10</v>
      </c>
      <c r="D7435" s="195">
        <v>57.2</v>
      </c>
      <c r="E7435" s="705">
        <f t="shared" si="234"/>
        <v>14.000000000000002</v>
      </c>
    </row>
    <row r="7436" spans="2:5">
      <c r="B7436" s="943">
        <v>45228</v>
      </c>
      <c r="C7436" s="195">
        <f t="shared" si="233"/>
        <v>10</v>
      </c>
      <c r="D7436" s="195">
        <v>57.4</v>
      </c>
      <c r="E7436" s="705">
        <f t="shared" si="234"/>
        <v>14.111111111111111</v>
      </c>
    </row>
    <row r="7437" spans="2:5">
      <c r="B7437" s="943">
        <v>45228</v>
      </c>
      <c r="C7437" s="195">
        <f t="shared" si="233"/>
        <v>10</v>
      </c>
      <c r="D7437" s="195">
        <v>57.6</v>
      </c>
      <c r="E7437" s="705">
        <f t="shared" si="234"/>
        <v>14.222222222222223</v>
      </c>
    </row>
    <row r="7438" spans="2:5">
      <c r="B7438" s="943">
        <v>45228</v>
      </c>
      <c r="C7438" s="195">
        <f t="shared" si="233"/>
        <v>10</v>
      </c>
      <c r="D7438" s="195">
        <v>57.4</v>
      </c>
      <c r="E7438" s="705">
        <f t="shared" si="234"/>
        <v>14.111111111111111</v>
      </c>
    </row>
    <row r="7439" spans="2:5">
      <c r="B7439" s="943">
        <v>45228</v>
      </c>
      <c r="C7439" s="195">
        <f t="shared" si="233"/>
        <v>10</v>
      </c>
      <c r="D7439" s="195">
        <v>56.8</v>
      </c>
      <c r="E7439" s="705">
        <f t="shared" si="234"/>
        <v>13.777777777777775</v>
      </c>
    </row>
    <row r="7440" spans="2:5">
      <c r="B7440" s="943">
        <v>45228</v>
      </c>
      <c r="C7440" s="195">
        <f t="shared" si="233"/>
        <v>10</v>
      </c>
      <c r="D7440" s="195">
        <v>55.9</v>
      </c>
      <c r="E7440" s="705">
        <f t="shared" si="234"/>
        <v>13.277777777777777</v>
      </c>
    </row>
    <row r="7441" spans="2:5">
      <c r="B7441" s="943">
        <v>45228</v>
      </c>
      <c r="C7441" s="195">
        <f t="shared" si="233"/>
        <v>10</v>
      </c>
      <c r="D7441" s="195">
        <v>55.6</v>
      </c>
      <c r="E7441" s="705">
        <f t="shared" si="234"/>
        <v>13.111111111111111</v>
      </c>
    </row>
    <row r="7442" spans="2:5">
      <c r="B7442" s="943">
        <v>45228</v>
      </c>
      <c r="C7442" s="195">
        <f t="shared" si="233"/>
        <v>10</v>
      </c>
      <c r="D7442" s="195">
        <v>55.6</v>
      </c>
      <c r="E7442" s="705">
        <f t="shared" si="234"/>
        <v>13.111111111111111</v>
      </c>
    </row>
    <row r="7443" spans="2:5">
      <c r="B7443" s="943">
        <v>45228</v>
      </c>
      <c r="C7443" s="195">
        <f t="shared" si="233"/>
        <v>10</v>
      </c>
      <c r="D7443" s="195">
        <v>55.6</v>
      </c>
      <c r="E7443" s="705">
        <f t="shared" si="234"/>
        <v>13.111111111111111</v>
      </c>
    </row>
    <row r="7444" spans="2:5">
      <c r="B7444" s="943">
        <v>45228</v>
      </c>
      <c r="C7444" s="195">
        <f t="shared" si="233"/>
        <v>10</v>
      </c>
      <c r="D7444" s="195">
        <v>55.6</v>
      </c>
      <c r="E7444" s="705">
        <f t="shared" si="234"/>
        <v>13.111111111111111</v>
      </c>
    </row>
    <row r="7445" spans="2:5">
      <c r="B7445" s="943">
        <v>45228</v>
      </c>
      <c r="C7445" s="195">
        <f t="shared" si="233"/>
        <v>10</v>
      </c>
      <c r="D7445" s="195">
        <v>55.8</v>
      </c>
      <c r="E7445" s="705">
        <f t="shared" si="234"/>
        <v>13.22222222222222</v>
      </c>
    </row>
    <row r="7446" spans="2:5">
      <c r="B7446" s="943">
        <v>45228</v>
      </c>
      <c r="C7446" s="195">
        <f t="shared" si="233"/>
        <v>10</v>
      </c>
      <c r="D7446" s="195">
        <v>56.1</v>
      </c>
      <c r="E7446" s="705">
        <f t="shared" si="234"/>
        <v>13.388888888888889</v>
      </c>
    </row>
    <row r="7447" spans="2:5">
      <c r="B7447" s="943">
        <v>45228</v>
      </c>
      <c r="C7447" s="195">
        <f t="shared" si="233"/>
        <v>10</v>
      </c>
      <c r="D7447" s="195">
        <v>56.5</v>
      </c>
      <c r="E7447" s="705">
        <f t="shared" si="234"/>
        <v>13.611111111111111</v>
      </c>
    </row>
    <row r="7448" spans="2:5">
      <c r="B7448" s="943">
        <v>45228</v>
      </c>
      <c r="C7448" s="195">
        <f t="shared" si="233"/>
        <v>10</v>
      </c>
      <c r="D7448" s="195">
        <v>56.8</v>
      </c>
      <c r="E7448" s="705">
        <f t="shared" si="234"/>
        <v>13.777777777777775</v>
      </c>
    </row>
    <row r="7449" spans="2:5">
      <c r="B7449" s="943">
        <v>45229</v>
      </c>
      <c r="C7449" s="195">
        <f t="shared" si="233"/>
        <v>10</v>
      </c>
      <c r="D7449" s="195" t="s">
        <v>1440</v>
      </c>
      <c r="E7449" s="705">
        <f t="shared" si="234"/>
        <v>13.888888888888889</v>
      </c>
    </row>
    <row r="7450" spans="2:5">
      <c r="B7450" s="943">
        <v>45229</v>
      </c>
      <c r="C7450" s="195">
        <f t="shared" si="233"/>
        <v>10</v>
      </c>
      <c r="D7450" s="195">
        <v>57.2</v>
      </c>
      <c r="E7450" s="705">
        <f t="shared" si="234"/>
        <v>14.000000000000002</v>
      </c>
    </row>
    <row r="7451" spans="2:5">
      <c r="B7451" s="943">
        <v>45229</v>
      </c>
      <c r="C7451" s="195">
        <f t="shared" si="233"/>
        <v>10</v>
      </c>
      <c r="D7451" s="195" t="s">
        <v>1440</v>
      </c>
      <c r="E7451" s="705">
        <f t="shared" si="234"/>
        <v>13.888888888888889</v>
      </c>
    </row>
    <row r="7452" spans="2:5">
      <c r="B7452" s="943">
        <v>45229</v>
      </c>
      <c r="C7452" s="195">
        <f t="shared" si="233"/>
        <v>10</v>
      </c>
      <c r="D7452" s="195">
        <v>56.5</v>
      </c>
      <c r="E7452" s="705">
        <f t="shared" si="234"/>
        <v>13.611111111111111</v>
      </c>
    </row>
    <row r="7453" spans="2:5">
      <c r="B7453" s="943">
        <v>45229</v>
      </c>
      <c r="C7453" s="195">
        <f t="shared" si="233"/>
        <v>10</v>
      </c>
      <c r="D7453" s="195">
        <v>56.1</v>
      </c>
      <c r="E7453" s="705">
        <f t="shared" si="234"/>
        <v>13.388888888888889</v>
      </c>
    </row>
    <row r="7454" spans="2:5">
      <c r="B7454" s="943">
        <v>45229</v>
      </c>
      <c r="C7454" s="195">
        <f t="shared" si="233"/>
        <v>10</v>
      </c>
      <c r="D7454" s="195">
        <v>55.8</v>
      </c>
      <c r="E7454" s="705">
        <f t="shared" si="234"/>
        <v>13.22222222222222</v>
      </c>
    </row>
    <row r="7455" spans="2:5">
      <c r="B7455" s="943">
        <v>45229</v>
      </c>
      <c r="C7455" s="195">
        <f t="shared" si="233"/>
        <v>10</v>
      </c>
      <c r="D7455" s="195">
        <v>55.8</v>
      </c>
      <c r="E7455" s="705">
        <f t="shared" si="234"/>
        <v>13.22222222222222</v>
      </c>
    </row>
    <row r="7456" spans="2:5">
      <c r="B7456" s="943">
        <v>45229</v>
      </c>
      <c r="C7456" s="195">
        <f t="shared" si="233"/>
        <v>10</v>
      </c>
      <c r="D7456" s="195">
        <v>55.8</v>
      </c>
      <c r="E7456" s="705">
        <f t="shared" si="234"/>
        <v>13.22222222222222</v>
      </c>
    </row>
    <row r="7457" spans="2:5">
      <c r="B7457" s="943">
        <v>45229</v>
      </c>
      <c r="C7457" s="195">
        <f t="shared" si="233"/>
        <v>10</v>
      </c>
      <c r="D7457" s="195">
        <v>55.8</v>
      </c>
      <c r="E7457" s="705">
        <f t="shared" si="234"/>
        <v>13.22222222222222</v>
      </c>
    </row>
    <row r="7458" spans="2:5">
      <c r="B7458" s="943">
        <v>45229</v>
      </c>
      <c r="C7458" s="195">
        <f t="shared" si="233"/>
        <v>10</v>
      </c>
      <c r="D7458" s="195">
        <v>55.9</v>
      </c>
      <c r="E7458" s="705">
        <f t="shared" si="234"/>
        <v>13.277777777777777</v>
      </c>
    </row>
    <row r="7459" spans="2:5">
      <c r="B7459" s="943">
        <v>45229</v>
      </c>
      <c r="C7459" s="195">
        <f t="shared" si="233"/>
        <v>10</v>
      </c>
      <c r="D7459" s="195">
        <v>56.1</v>
      </c>
      <c r="E7459" s="705">
        <f t="shared" si="234"/>
        <v>13.388888888888889</v>
      </c>
    </row>
    <row r="7460" spans="2:5">
      <c r="B7460" s="943">
        <v>45229</v>
      </c>
      <c r="C7460" s="195">
        <f t="shared" si="233"/>
        <v>10</v>
      </c>
      <c r="D7460" s="195">
        <v>56.3</v>
      </c>
      <c r="E7460" s="705">
        <f t="shared" si="234"/>
        <v>13.499999999999998</v>
      </c>
    </row>
    <row r="7461" spans="2:5">
      <c r="B7461" s="943">
        <v>45229</v>
      </c>
      <c r="C7461" s="195">
        <f t="shared" si="233"/>
        <v>10</v>
      </c>
      <c r="D7461" s="195">
        <v>56.5</v>
      </c>
      <c r="E7461" s="705">
        <f t="shared" si="234"/>
        <v>13.611111111111111</v>
      </c>
    </row>
    <row r="7462" spans="2:5">
      <c r="B7462" s="943">
        <v>45229</v>
      </c>
      <c r="C7462" s="195">
        <f t="shared" si="233"/>
        <v>10</v>
      </c>
      <c r="D7462" s="195">
        <v>56.5</v>
      </c>
      <c r="E7462" s="705">
        <f t="shared" si="234"/>
        <v>13.611111111111111</v>
      </c>
    </row>
    <row r="7463" spans="2:5">
      <c r="B7463" s="943">
        <v>45229</v>
      </c>
      <c r="C7463" s="195">
        <f t="shared" si="233"/>
        <v>10</v>
      </c>
      <c r="D7463" s="195">
        <v>56.5</v>
      </c>
      <c r="E7463" s="705">
        <f t="shared" si="234"/>
        <v>13.611111111111111</v>
      </c>
    </row>
    <row r="7464" spans="2:5">
      <c r="B7464" s="943">
        <v>45229</v>
      </c>
      <c r="C7464" s="195">
        <f t="shared" si="233"/>
        <v>10</v>
      </c>
      <c r="D7464" s="195">
        <v>56.1</v>
      </c>
      <c r="E7464" s="705">
        <f t="shared" si="234"/>
        <v>13.388888888888889</v>
      </c>
    </row>
    <row r="7465" spans="2:5">
      <c r="B7465" s="943">
        <v>45229</v>
      </c>
      <c r="C7465" s="195">
        <f t="shared" si="233"/>
        <v>10</v>
      </c>
      <c r="D7465" s="195">
        <v>55.8</v>
      </c>
      <c r="E7465" s="705">
        <f t="shared" si="234"/>
        <v>13.22222222222222</v>
      </c>
    </row>
    <row r="7466" spans="2:5">
      <c r="B7466" s="943">
        <v>45229</v>
      </c>
      <c r="C7466" s="195">
        <f t="shared" si="233"/>
        <v>10</v>
      </c>
      <c r="D7466" s="195">
        <v>55.6</v>
      </c>
      <c r="E7466" s="705">
        <f t="shared" si="234"/>
        <v>13.111111111111111</v>
      </c>
    </row>
    <row r="7467" spans="2:5">
      <c r="B7467" s="943">
        <v>45229</v>
      </c>
      <c r="C7467" s="195">
        <f t="shared" si="233"/>
        <v>10</v>
      </c>
      <c r="D7467" s="195">
        <v>55.6</v>
      </c>
      <c r="E7467" s="705">
        <f t="shared" si="234"/>
        <v>13.111111111111111</v>
      </c>
    </row>
    <row r="7468" spans="2:5">
      <c r="B7468" s="943">
        <v>45229</v>
      </c>
      <c r="C7468" s="195">
        <f t="shared" si="233"/>
        <v>10</v>
      </c>
      <c r="D7468" s="195">
        <v>55.6</v>
      </c>
      <c r="E7468" s="705">
        <f t="shared" si="234"/>
        <v>13.111111111111111</v>
      </c>
    </row>
    <row r="7469" spans="2:5">
      <c r="B7469" s="943">
        <v>45229</v>
      </c>
      <c r="C7469" s="195">
        <f t="shared" si="233"/>
        <v>10</v>
      </c>
      <c r="D7469" s="195">
        <v>55.6</v>
      </c>
      <c r="E7469" s="705">
        <f t="shared" si="234"/>
        <v>13.111111111111111</v>
      </c>
    </row>
    <row r="7470" spans="2:5">
      <c r="B7470" s="943">
        <v>45229</v>
      </c>
      <c r="C7470" s="195">
        <f t="shared" si="233"/>
        <v>10</v>
      </c>
      <c r="D7470" s="195">
        <v>55.6</v>
      </c>
      <c r="E7470" s="705">
        <f t="shared" si="234"/>
        <v>13.111111111111111</v>
      </c>
    </row>
    <row r="7471" spans="2:5">
      <c r="B7471" s="943">
        <v>45229</v>
      </c>
      <c r="C7471" s="195">
        <f t="shared" si="233"/>
        <v>10</v>
      </c>
      <c r="D7471" s="195">
        <v>55.8</v>
      </c>
      <c r="E7471" s="705">
        <f t="shared" si="234"/>
        <v>13.22222222222222</v>
      </c>
    </row>
    <row r="7472" spans="2:5">
      <c r="B7472" s="943">
        <v>45229</v>
      </c>
      <c r="C7472" s="195">
        <f t="shared" si="233"/>
        <v>10</v>
      </c>
      <c r="D7472" s="195">
        <v>55.9</v>
      </c>
      <c r="E7472" s="705">
        <f t="shared" si="234"/>
        <v>13.277777777777777</v>
      </c>
    </row>
    <row r="7473" spans="2:5">
      <c r="B7473" s="943">
        <v>45230</v>
      </c>
      <c r="C7473" s="195">
        <f t="shared" si="233"/>
        <v>10</v>
      </c>
      <c r="D7473" s="195">
        <v>56.1</v>
      </c>
      <c r="E7473" s="705">
        <f t="shared" si="234"/>
        <v>13.388888888888889</v>
      </c>
    </row>
    <row r="7474" spans="2:5">
      <c r="B7474" s="943">
        <v>45230</v>
      </c>
      <c r="C7474" s="195">
        <f t="shared" si="233"/>
        <v>10</v>
      </c>
      <c r="D7474" s="195">
        <v>56.1</v>
      </c>
      <c r="E7474" s="705">
        <f t="shared" si="234"/>
        <v>13.388888888888889</v>
      </c>
    </row>
    <row r="7475" spans="2:5">
      <c r="B7475" s="943">
        <v>45230</v>
      </c>
      <c r="C7475" s="195">
        <f t="shared" si="233"/>
        <v>10</v>
      </c>
      <c r="D7475" s="195">
        <v>56.1</v>
      </c>
      <c r="E7475" s="705">
        <f t="shared" si="234"/>
        <v>13.388888888888889</v>
      </c>
    </row>
    <row r="7476" spans="2:5">
      <c r="B7476" s="943">
        <v>45230</v>
      </c>
      <c r="C7476" s="195">
        <f t="shared" si="233"/>
        <v>10</v>
      </c>
      <c r="D7476" s="195">
        <v>55.9</v>
      </c>
      <c r="E7476" s="705">
        <f t="shared" si="234"/>
        <v>13.277777777777777</v>
      </c>
    </row>
    <row r="7477" spans="2:5">
      <c r="B7477" s="943">
        <v>45230</v>
      </c>
      <c r="C7477" s="195">
        <f t="shared" si="233"/>
        <v>10</v>
      </c>
      <c r="D7477" s="195">
        <v>55.8</v>
      </c>
      <c r="E7477" s="705">
        <f t="shared" si="234"/>
        <v>13.22222222222222</v>
      </c>
    </row>
    <row r="7478" spans="2:5">
      <c r="B7478" s="943">
        <v>45230</v>
      </c>
      <c r="C7478" s="195">
        <f t="shared" si="233"/>
        <v>10</v>
      </c>
      <c r="D7478" s="195">
        <v>55.8</v>
      </c>
      <c r="E7478" s="705">
        <f t="shared" si="234"/>
        <v>13.22222222222222</v>
      </c>
    </row>
    <row r="7479" spans="2:5">
      <c r="B7479" s="943">
        <v>45230</v>
      </c>
      <c r="C7479" s="195">
        <f t="shared" si="233"/>
        <v>10</v>
      </c>
      <c r="D7479" s="195">
        <v>55.6</v>
      </c>
      <c r="E7479" s="705">
        <f t="shared" si="234"/>
        <v>13.111111111111111</v>
      </c>
    </row>
    <row r="7480" spans="2:5">
      <c r="B7480" s="943">
        <v>45230</v>
      </c>
      <c r="C7480" s="195">
        <f t="shared" si="233"/>
        <v>10</v>
      </c>
      <c r="D7480" s="195">
        <v>55.6</v>
      </c>
      <c r="E7480" s="705">
        <f t="shared" si="234"/>
        <v>13.111111111111111</v>
      </c>
    </row>
    <row r="7481" spans="2:5">
      <c r="B7481" s="943">
        <v>45230</v>
      </c>
      <c r="C7481" s="195">
        <f t="shared" si="233"/>
        <v>10</v>
      </c>
      <c r="D7481" s="195">
        <v>55.4</v>
      </c>
      <c r="E7481" s="705">
        <f t="shared" si="234"/>
        <v>12.999999999999998</v>
      </c>
    </row>
    <row r="7482" spans="2:5">
      <c r="B7482" s="943">
        <v>45230</v>
      </c>
      <c r="C7482" s="195">
        <f t="shared" si="233"/>
        <v>10</v>
      </c>
      <c r="D7482" s="195">
        <v>55.4</v>
      </c>
      <c r="E7482" s="705">
        <f t="shared" si="234"/>
        <v>12.999999999999998</v>
      </c>
    </row>
    <row r="7483" spans="2:5">
      <c r="B7483" s="943">
        <v>45230</v>
      </c>
      <c r="C7483" s="195">
        <f t="shared" si="233"/>
        <v>10</v>
      </c>
      <c r="D7483" s="195">
        <v>55.4</v>
      </c>
      <c r="E7483" s="705">
        <f t="shared" si="234"/>
        <v>12.999999999999998</v>
      </c>
    </row>
    <row r="7484" spans="2:5">
      <c r="B7484" s="943">
        <v>45230</v>
      </c>
      <c r="C7484" s="195">
        <f t="shared" si="233"/>
        <v>10</v>
      </c>
      <c r="D7484" s="195">
        <v>55.4</v>
      </c>
      <c r="E7484" s="705">
        <f t="shared" si="234"/>
        <v>12.999999999999998</v>
      </c>
    </row>
    <row r="7485" spans="2:5">
      <c r="B7485" s="943">
        <v>45230</v>
      </c>
      <c r="C7485" s="195">
        <f t="shared" si="233"/>
        <v>10</v>
      </c>
      <c r="D7485" s="195">
        <v>55.4</v>
      </c>
      <c r="E7485" s="705">
        <f t="shared" si="234"/>
        <v>12.999999999999998</v>
      </c>
    </row>
    <row r="7486" spans="2:5">
      <c r="B7486" s="943">
        <v>45230</v>
      </c>
      <c r="C7486" s="195">
        <f t="shared" si="233"/>
        <v>10</v>
      </c>
      <c r="D7486" s="195">
        <v>55.4</v>
      </c>
      <c r="E7486" s="705">
        <f t="shared" si="234"/>
        <v>12.999999999999998</v>
      </c>
    </row>
    <row r="7487" spans="2:5">
      <c r="B7487" s="943">
        <v>45230</v>
      </c>
      <c r="C7487" s="195">
        <f t="shared" si="233"/>
        <v>10</v>
      </c>
      <c r="D7487" s="195">
        <v>55.4</v>
      </c>
      <c r="E7487" s="705">
        <f t="shared" si="234"/>
        <v>12.999999999999998</v>
      </c>
    </row>
    <row r="7488" spans="2:5">
      <c r="B7488" s="943">
        <v>45230</v>
      </c>
      <c r="C7488" s="195">
        <f t="shared" si="233"/>
        <v>10</v>
      </c>
      <c r="D7488" s="195">
        <v>55.4</v>
      </c>
      <c r="E7488" s="705">
        <f t="shared" si="234"/>
        <v>12.999999999999998</v>
      </c>
    </row>
    <row r="7489" spans="2:5">
      <c r="B7489" s="943">
        <v>45230</v>
      </c>
      <c r="C7489" s="195">
        <f t="shared" si="233"/>
        <v>10</v>
      </c>
      <c r="D7489" s="195">
        <v>55.2</v>
      </c>
      <c r="E7489" s="705">
        <f t="shared" si="234"/>
        <v>12.888888888888889</v>
      </c>
    </row>
    <row r="7490" spans="2:5">
      <c r="B7490" s="943">
        <v>45230</v>
      </c>
      <c r="C7490" s="195">
        <f t="shared" si="233"/>
        <v>10</v>
      </c>
      <c r="D7490" s="195">
        <v>55.4</v>
      </c>
      <c r="E7490" s="705">
        <f t="shared" si="234"/>
        <v>12.999999999999998</v>
      </c>
    </row>
    <row r="7491" spans="2:5">
      <c r="B7491" s="943">
        <v>45230</v>
      </c>
      <c r="C7491" s="195">
        <f t="shared" si="233"/>
        <v>10</v>
      </c>
      <c r="D7491" s="195">
        <v>55.6</v>
      </c>
      <c r="E7491" s="705">
        <f t="shared" si="234"/>
        <v>13.111111111111111</v>
      </c>
    </row>
    <row r="7492" spans="2:5">
      <c r="B7492" s="943">
        <v>45230</v>
      </c>
      <c r="C7492" s="195">
        <f t="shared" si="233"/>
        <v>10</v>
      </c>
      <c r="D7492" s="195">
        <v>55.6</v>
      </c>
      <c r="E7492" s="705">
        <f t="shared" si="234"/>
        <v>13.111111111111111</v>
      </c>
    </row>
    <row r="7493" spans="2:5">
      <c r="B7493" s="943">
        <v>45230</v>
      </c>
      <c r="C7493" s="195">
        <f t="shared" si="233"/>
        <v>10</v>
      </c>
      <c r="D7493" s="195">
        <v>55.6</v>
      </c>
      <c r="E7493" s="705">
        <f t="shared" si="234"/>
        <v>13.111111111111111</v>
      </c>
    </row>
    <row r="7494" spans="2:5">
      <c r="B7494" s="943">
        <v>45230</v>
      </c>
      <c r="C7494" s="195">
        <f t="shared" si="233"/>
        <v>10</v>
      </c>
      <c r="D7494" s="195">
        <v>55.6</v>
      </c>
      <c r="E7494" s="705">
        <f t="shared" si="234"/>
        <v>13.111111111111111</v>
      </c>
    </row>
    <row r="7495" spans="2:5">
      <c r="B7495" s="943">
        <v>45230</v>
      </c>
      <c r="C7495" s="195">
        <f t="shared" si="233"/>
        <v>10</v>
      </c>
      <c r="D7495" s="195">
        <v>55.4</v>
      </c>
      <c r="E7495" s="705">
        <f t="shared" si="234"/>
        <v>12.999999999999998</v>
      </c>
    </row>
    <row r="7496" spans="2:5">
      <c r="B7496" s="943">
        <v>45230</v>
      </c>
      <c r="C7496" s="195">
        <f t="shared" si="233"/>
        <v>10</v>
      </c>
      <c r="D7496" s="195">
        <v>55.4</v>
      </c>
      <c r="E7496" s="705">
        <f t="shared" si="234"/>
        <v>12.999999999999998</v>
      </c>
    </row>
    <row r="7497" spans="2:5">
      <c r="B7497" s="943">
        <v>45231</v>
      </c>
      <c r="C7497" s="195">
        <f t="shared" si="233"/>
        <v>11</v>
      </c>
      <c r="D7497" s="195">
        <v>55.4</v>
      </c>
      <c r="E7497" s="705">
        <f t="shared" si="234"/>
        <v>12.999999999999998</v>
      </c>
    </row>
    <row r="7498" spans="2:5">
      <c r="B7498" s="943">
        <v>45231</v>
      </c>
      <c r="C7498" s="195">
        <f t="shared" ref="C7498:C7561" si="235">MONTH(B7498)</f>
        <v>11</v>
      </c>
      <c r="D7498" s="195">
        <v>55.4</v>
      </c>
      <c r="E7498" s="705">
        <f t="shared" ref="E7498:E7561" si="236">CONVERT(D7498,"F","C")</f>
        <v>12.999999999999998</v>
      </c>
    </row>
    <row r="7499" spans="2:5">
      <c r="B7499" s="943">
        <v>45231</v>
      </c>
      <c r="C7499" s="195">
        <f t="shared" si="235"/>
        <v>11</v>
      </c>
      <c r="D7499" s="195">
        <v>55.2</v>
      </c>
      <c r="E7499" s="705">
        <f t="shared" si="236"/>
        <v>12.888888888888889</v>
      </c>
    </row>
    <row r="7500" spans="2:5">
      <c r="B7500" s="943">
        <v>45231</v>
      </c>
      <c r="C7500" s="195">
        <f t="shared" si="235"/>
        <v>11</v>
      </c>
      <c r="D7500" s="195">
        <v>55.2</v>
      </c>
      <c r="E7500" s="705">
        <f t="shared" si="236"/>
        <v>12.888888888888889</v>
      </c>
    </row>
    <row r="7501" spans="2:5">
      <c r="B7501" s="943">
        <v>45231</v>
      </c>
      <c r="C7501" s="195">
        <f t="shared" si="235"/>
        <v>11</v>
      </c>
      <c r="D7501" s="195">
        <v>55.2</v>
      </c>
      <c r="E7501" s="705">
        <f t="shared" si="236"/>
        <v>12.888888888888889</v>
      </c>
    </row>
    <row r="7502" spans="2:5">
      <c r="B7502" s="943">
        <v>45231</v>
      </c>
      <c r="C7502" s="195">
        <f t="shared" si="235"/>
        <v>11</v>
      </c>
      <c r="D7502" s="195">
        <v>55.2</v>
      </c>
      <c r="E7502" s="705">
        <f t="shared" si="236"/>
        <v>12.888888888888889</v>
      </c>
    </row>
    <row r="7503" spans="2:5">
      <c r="B7503" s="943">
        <v>45231</v>
      </c>
      <c r="C7503" s="195">
        <f t="shared" si="235"/>
        <v>11</v>
      </c>
      <c r="D7503" s="195">
        <v>55.2</v>
      </c>
      <c r="E7503" s="705">
        <f t="shared" si="236"/>
        <v>12.888888888888889</v>
      </c>
    </row>
    <row r="7504" spans="2:5">
      <c r="B7504" s="943">
        <v>45231</v>
      </c>
      <c r="C7504" s="195">
        <f t="shared" si="235"/>
        <v>11</v>
      </c>
      <c r="D7504" s="195">
        <v>55.4</v>
      </c>
      <c r="E7504" s="705">
        <f t="shared" si="236"/>
        <v>12.999999999999998</v>
      </c>
    </row>
    <row r="7505" spans="2:5">
      <c r="B7505" s="943">
        <v>45231</v>
      </c>
      <c r="C7505" s="195">
        <f t="shared" si="235"/>
        <v>11</v>
      </c>
      <c r="D7505" s="195">
        <v>55.2</v>
      </c>
      <c r="E7505" s="705">
        <f t="shared" si="236"/>
        <v>12.888888888888889</v>
      </c>
    </row>
    <row r="7506" spans="2:5">
      <c r="B7506" s="943">
        <v>45231</v>
      </c>
      <c r="C7506" s="195">
        <f t="shared" si="235"/>
        <v>11</v>
      </c>
      <c r="D7506" s="195">
        <v>55.2</v>
      </c>
      <c r="E7506" s="705">
        <f t="shared" si="236"/>
        <v>12.888888888888889</v>
      </c>
    </row>
    <row r="7507" spans="2:5">
      <c r="B7507" s="943">
        <v>45231</v>
      </c>
      <c r="C7507" s="195">
        <f t="shared" si="235"/>
        <v>11</v>
      </c>
      <c r="D7507" s="195" t="s">
        <v>1439</v>
      </c>
      <c r="E7507" s="705">
        <f t="shared" si="236"/>
        <v>12.777777777777777</v>
      </c>
    </row>
    <row r="7508" spans="2:5">
      <c r="B7508" s="943">
        <v>45231</v>
      </c>
      <c r="C7508" s="195">
        <f t="shared" si="235"/>
        <v>11</v>
      </c>
      <c r="D7508" s="195" t="s">
        <v>1439</v>
      </c>
      <c r="E7508" s="705">
        <f t="shared" si="236"/>
        <v>12.777777777777777</v>
      </c>
    </row>
    <row r="7509" spans="2:5">
      <c r="B7509" s="943">
        <v>45231</v>
      </c>
      <c r="C7509" s="195">
        <f t="shared" si="235"/>
        <v>11</v>
      </c>
      <c r="D7509" s="195">
        <v>54.9</v>
      </c>
      <c r="E7509" s="705">
        <f t="shared" si="236"/>
        <v>12.722222222222221</v>
      </c>
    </row>
    <row r="7510" spans="2:5">
      <c r="B7510" s="943">
        <v>45231</v>
      </c>
      <c r="C7510" s="195">
        <f t="shared" si="235"/>
        <v>11</v>
      </c>
      <c r="D7510" s="195">
        <v>54.7</v>
      </c>
      <c r="E7510" s="705">
        <f t="shared" si="236"/>
        <v>12.611111111111112</v>
      </c>
    </row>
    <row r="7511" spans="2:5">
      <c r="B7511" s="943">
        <v>45231</v>
      </c>
      <c r="C7511" s="195">
        <f t="shared" si="235"/>
        <v>11</v>
      </c>
      <c r="D7511" s="195">
        <v>54.7</v>
      </c>
      <c r="E7511" s="705">
        <f t="shared" si="236"/>
        <v>12.611111111111112</v>
      </c>
    </row>
    <row r="7512" spans="2:5">
      <c r="B7512" s="943">
        <v>45231</v>
      </c>
      <c r="C7512" s="195">
        <f t="shared" si="235"/>
        <v>11</v>
      </c>
      <c r="D7512" s="195">
        <v>54.7</v>
      </c>
      <c r="E7512" s="705">
        <f t="shared" si="236"/>
        <v>12.611111111111112</v>
      </c>
    </row>
    <row r="7513" spans="2:5">
      <c r="B7513" s="943">
        <v>45231</v>
      </c>
      <c r="C7513" s="195">
        <f t="shared" si="235"/>
        <v>11</v>
      </c>
      <c r="D7513" s="195">
        <v>54.7</v>
      </c>
      <c r="E7513" s="705">
        <f t="shared" si="236"/>
        <v>12.611111111111112</v>
      </c>
    </row>
    <row r="7514" spans="2:5">
      <c r="B7514" s="943">
        <v>45231</v>
      </c>
      <c r="C7514" s="195">
        <f t="shared" si="235"/>
        <v>11</v>
      </c>
      <c r="D7514" s="195">
        <v>54.9</v>
      </c>
      <c r="E7514" s="705">
        <f t="shared" si="236"/>
        <v>12.722222222222221</v>
      </c>
    </row>
    <row r="7515" spans="2:5">
      <c r="B7515" s="943">
        <v>45231</v>
      </c>
      <c r="C7515" s="195">
        <f t="shared" si="235"/>
        <v>11</v>
      </c>
      <c r="D7515" s="195" t="s">
        <v>1439</v>
      </c>
      <c r="E7515" s="705">
        <f t="shared" si="236"/>
        <v>12.777777777777777</v>
      </c>
    </row>
    <row r="7516" spans="2:5">
      <c r="B7516" s="943">
        <v>45231</v>
      </c>
      <c r="C7516" s="195">
        <f t="shared" si="235"/>
        <v>11</v>
      </c>
      <c r="D7516" s="195" t="s">
        <v>1439</v>
      </c>
      <c r="E7516" s="705">
        <f t="shared" si="236"/>
        <v>12.777777777777777</v>
      </c>
    </row>
    <row r="7517" spans="2:5">
      <c r="B7517" s="943">
        <v>45231</v>
      </c>
      <c r="C7517" s="195">
        <f t="shared" si="235"/>
        <v>11</v>
      </c>
      <c r="D7517" s="195" t="s">
        <v>1439</v>
      </c>
      <c r="E7517" s="705">
        <f t="shared" si="236"/>
        <v>12.777777777777777</v>
      </c>
    </row>
    <row r="7518" spans="2:5">
      <c r="B7518" s="943">
        <v>45231</v>
      </c>
      <c r="C7518" s="195">
        <f t="shared" si="235"/>
        <v>11</v>
      </c>
      <c r="D7518" s="195" t="s">
        <v>1439</v>
      </c>
      <c r="E7518" s="705">
        <f t="shared" si="236"/>
        <v>12.777777777777777</v>
      </c>
    </row>
    <row r="7519" spans="2:5">
      <c r="B7519" s="943">
        <v>45231</v>
      </c>
      <c r="C7519" s="195">
        <f t="shared" si="235"/>
        <v>11</v>
      </c>
      <c r="D7519" s="195">
        <v>54.9</v>
      </c>
      <c r="E7519" s="705">
        <f t="shared" si="236"/>
        <v>12.722222222222221</v>
      </c>
    </row>
    <row r="7520" spans="2:5">
      <c r="B7520" s="943">
        <v>45231</v>
      </c>
      <c r="C7520" s="195">
        <f t="shared" si="235"/>
        <v>11</v>
      </c>
      <c r="D7520" s="195">
        <v>54.9</v>
      </c>
      <c r="E7520" s="705">
        <f t="shared" si="236"/>
        <v>12.722222222222221</v>
      </c>
    </row>
    <row r="7521" spans="2:5">
      <c r="B7521" s="943">
        <v>45232</v>
      </c>
      <c r="C7521" s="195">
        <f t="shared" si="235"/>
        <v>11</v>
      </c>
      <c r="D7521" s="195">
        <v>54.7</v>
      </c>
      <c r="E7521" s="705">
        <f t="shared" si="236"/>
        <v>12.611111111111112</v>
      </c>
    </row>
    <row r="7522" spans="2:5">
      <c r="B7522" s="943">
        <v>45232</v>
      </c>
      <c r="C7522" s="195">
        <f t="shared" si="235"/>
        <v>11</v>
      </c>
      <c r="D7522" s="195">
        <v>54.5</v>
      </c>
      <c r="E7522" s="705">
        <f t="shared" si="236"/>
        <v>12.5</v>
      </c>
    </row>
    <row r="7523" spans="2:5">
      <c r="B7523" s="943">
        <v>45232</v>
      </c>
      <c r="C7523" s="195">
        <f t="shared" si="235"/>
        <v>11</v>
      </c>
      <c r="D7523" s="195">
        <v>54.3</v>
      </c>
      <c r="E7523" s="705">
        <f t="shared" si="236"/>
        <v>12.388888888888888</v>
      </c>
    </row>
    <row r="7524" spans="2:5">
      <c r="B7524" s="943">
        <v>45232</v>
      </c>
      <c r="C7524" s="195">
        <f t="shared" si="235"/>
        <v>11</v>
      </c>
      <c r="D7524" s="195">
        <v>54.1</v>
      </c>
      <c r="E7524" s="705">
        <f t="shared" si="236"/>
        <v>12.277777777777779</v>
      </c>
    </row>
    <row r="7525" spans="2:5">
      <c r="B7525" s="943">
        <v>45232</v>
      </c>
      <c r="C7525" s="195">
        <f t="shared" si="235"/>
        <v>11</v>
      </c>
      <c r="D7525" s="195">
        <v>54.1</v>
      </c>
      <c r="E7525" s="705">
        <f t="shared" si="236"/>
        <v>12.277777777777779</v>
      </c>
    </row>
    <row r="7526" spans="2:5">
      <c r="B7526" s="943">
        <v>45232</v>
      </c>
      <c r="C7526" s="195">
        <f t="shared" si="235"/>
        <v>11</v>
      </c>
      <c r="D7526" s="195">
        <v>54.3</v>
      </c>
      <c r="E7526" s="705">
        <f t="shared" si="236"/>
        <v>12.388888888888888</v>
      </c>
    </row>
    <row r="7527" spans="2:5">
      <c r="B7527" s="943">
        <v>45232</v>
      </c>
      <c r="C7527" s="195">
        <f t="shared" si="235"/>
        <v>11</v>
      </c>
      <c r="D7527" s="195">
        <v>54.5</v>
      </c>
      <c r="E7527" s="705">
        <f t="shared" si="236"/>
        <v>12.5</v>
      </c>
    </row>
    <row r="7528" spans="2:5">
      <c r="B7528" s="943">
        <v>45232</v>
      </c>
      <c r="C7528" s="195">
        <f t="shared" si="235"/>
        <v>11</v>
      </c>
      <c r="D7528" s="195">
        <v>54.5</v>
      </c>
      <c r="E7528" s="705">
        <f t="shared" si="236"/>
        <v>12.5</v>
      </c>
    </row>
    <row r="7529" spans="2:5">
      <c r="B7529" s="943">
        <v>45232</v>
      </c>
      <c r="C7529" s="195">
        <f t="shared" si="235"/>
        <v>11</v>
      </c>
      <c r="D7529" s="195">
        <v>54.7</v>
      </c>
      <c r="E7529" s="705">
        <f t="shared" si="236"/>
        <v>12.611111111111112</v>
      </c>
    </row>
    <row r="7530" spans="2:5">
      <c r="B7530" s="943">
        <v>45232</v>
      </c>
      <c r="C7530" s="195">
        <f t="shared" si="235"/>
        <v>11</v>
      </c>
      <c r="D7530" s="195">
        <v>54.7</v>
      </c>
      <c r="E7530" s="705">
        <f t="shared" si="236"/>
        <v>12.611111111111112</v>
      </c>
    </row>
    <row r="7531" spans="2:5">
      <c r="B7531" s="943">
        <v>45232</v>
      </c>
      <c r="C7531" s="195">
        <f t="shared" si="235"/>
        <v>11</v>
      </c>
      <c r="D7531" s="195">
        <v>54.5</v>
      </c>
      <c r="E7531" s="705">
        <f t="shared" si="236"/>
        <v>12.5</v>
      </c>
    </row>
    <row r="7532" spans="2:5">
      <c r="B7532" s="943">
        <v>45232</v>
      </c>
      <c r="C7532" s="195">
        <f t="shared" si="235"/>
        <v>11</v>
      </c>
      <c r="D7532" s="195">
        <v>54.3</v>
      </c>
      <c r="E7532" s="705">
        <f t="shared" si="236"/>
        <v>12.388888888888888</v>
      </c>
    </row>
    <row r="7533" spans="2:5">
      <c r="B7533" s="943">
        <v>45232</v>
      </c>
      <c r="C7533" s="195">
        <f t="shared" si="235"/>
        <v>11</v>
      </c>
      <c r="D7533" s="195" t="s">
        <v>1438</v>
      </c>
      <c r="E7533" s="705">
        <f t="shared" si="236"/>
        <v>12.222222222222221</v>
      </c>
    </row>
    <row r="7534" spans="2:5">
      <c r="B7534" s="943">
        <v>45232</v>
      </c>
      <c r="C7534" s="195">
        <f t="shared" si="235"/>
        <v>11</v>
      </c>
      <c r="D7534" s="195">
        <v>53.8</v>
      </c>
      <c r="E7534" s="705">
        <f t="shared" si="236"/>
        <v>12.111111111111109</v>
      </c>
    </row>
    <row r="7535" spans="2:5">
      <c r="B7535" s="943">
        <v>45232</v>
      </c>
      <c r="C7535" s="195">
        <f t="shared" si="235"/>
        <v>11</v>
      </c>
      <c r="D7535" s="195">
        <v>53.6</v>
      </c>
      <c r="E7535" s="705">
        <f t="shared" si="236"/>
        <v>12</v>
      </c>
    </row>
    <row r="7536" spans="2:5">
      <c r="B7536" s="943">
        <v>45232</v>
      </c>
      <c r="C7536" s="195">
        <f t="shared" si="235"/>
        <v>11</v>
      </c>
      <c r="D7536" s="195">
        <v>53.6</v>
      </c>
      <c r="E7536" s="705">
        <f t="shared" si="236"/>
        <v>12</v>
      </c>
    </row>
    <row r="7537" spans="2:5">
      <c r="B7537" s="943">
        <v>45232</v>
      </c>
      <c r="C7537" s="195">
        <f t="shared" si="235"/>
        <v>11</v>
      </c>
      <c r="D7537" s="195">
        <v>53.6</v>
      </c>
      <c r="E7537" s="705">
        <f t="shared" si="236"/>
        <v>12</v>
      </c>
    </row>
    <row r="7538" spans="2:5">
      <c r="B7538" s="943">
        <v>45232</v>
      </c>
      <c r="C7538" s="195">
        <f t="shared" si="235"/>
        <v>11</v>
      </c>
      <c r="D7538" s="195" t="s">
        <v>1438</v>
      </c>
      <c r="E7538" s="705">
        <f t="shared" si="236"/>
        <v>12.222222222222221</v>
      </c>
    </row>
    <row r="7539" spans="2:5">
      <c r="B7539" s="943">
        <v>45232</v>
      </c>
      <c r="C7539" s="195">
        <f t="shared" si="235"/>
        <v>11</v>
      </c>
      <c r="D7539" s="195">
        <v>54.1</v>
      </c>
      <c r="E7539" s="705">
        <f t="shared" si="236"/>
        <v>12.277777777777779</v>
      </c>
    </row>
    <row r="7540" spans="2:5">
      <c r="B7540" s="943">
        <v>45232</v>
      </c>
      <c r="C7540" s="195">
        <f t="shared" si="235"/>
        <v>11</v>
      </c>
      <c r="D7540" s="195">
        <v>54.3</v>
      </c>
      <c r="E7540" s="705">
        <f t="shared" si="236"/>
        <v>12.388888888888888</v>
      </c>
    </row>
    <row r="7541" spans="2:5">
      <c r="B7541" s="943">
        <v>45232</v>
      </c>
      <c r="C7541" s="195">
        <f t="shared" si="235"/>
        <v>11</v>
      </c>
      <c r="D7541" s="195">
        <v>54.3</v>
      </c>
      <c r="E7541" s="705">
        <f t="shared" si="236"/>
        <v>12.388888888888888</v>
      </c>
    </row>
    <row r="7542" spans="2:5">
      <c r="B7542" s="943">
        <v>45232</v>
      </c>
      <c r="C7542" s="195">
        <f t="shared" si="235"/>
        <v>11</v>
      </c>
      <c r="D7542" s="195">
        <v>54.5</v>
      </c>
      <c r="E7542" s="705">
        <f t="shared" si="236"/>
        <v>12.5</v>
      </c>
    </row>
    <row r="7543" spans="2:5">
      <c r="B7543" s="943">
        <v>45232</v>
      </c>
      <c r="C7543" s="195">
        <f t="shared" si="235"/>
        <v>11</v>
      </c>
      <c r="D7543" s="195">
        <v>54.3</v>
      </c>
      <c r="E7543" s="705">
        <f t="shared" si="236"/>
        <v>12.388888888888888</v>
      </c>
    </row>
    <row r="7544" spans="2:5">
      <c r="B7544" s="943">
        <v>45232</v>
      </c>
      <c r="C7544" s="195">
        <f t="shared" si="235"/>
        <v>11</v>
      </c>
      <c r="D7544" s="195">
        <v>54.3</v>
      </c>
      <c r="E7544" s="705">
        <f t="shared" si="236"/>
        <v>12.388888888888888</v>
      </c>
    </row>
    <row r="7545" spans="2:5">
      <c r="B7545" s="943">
        <v>45233</v>
      </c>
      <c r="C7545" s="195">
        <f t="shared" si="235"/>
        <v>11</v>
      </c>
      <c r="D7545" s="195" t="s">
        <v>1438</v>
      </c>
      <c r="E7545" s="705">
        <f t="shared" si="236"/>
        <v>12.222222222222221</v>
      </c>
    </row>
    <row r="7546" spans="2:5">
      <c r="B7546" s="943">
        <v>45233</v>
      </c>
      <c r="C7546" s="195">
        <f t="shared" si="235"/>
        <v>11</v>
      </c>
      <c r="D7546" s="195">
        <v>53.6</v>
      </c>
      <c r="E7546" s="705">
        <f t="shared" si="236"/>
        <v>12</v>
      </c>
    </row>
    <row r="7547" spans="2:5">
      <c r="B7547" s="943">
        <v>45233</v>
      </c>
      <c r="C7547" s="195">
        <f t="shared" si="235"/>
        <v>11</v>
      </c>
      <c r="D7547" s="195">
        <v>53.4</v>
      </c>
      <c r="E7547" s="705">
        <f t="shared" si="236"/>
        <v>11.888888888888888</v>
      </c>
    </row>
    <row r="7548" spans="2:5">
      <c r="B7548" s="943">
        <v>45233</v>
      </c>
      <c r="C7548" s="195">
        <f t="shared" si="235"/>
        <v>11</v>
      </c>
      <c r="D7548" s="195">
        <v>53.2</v>
      </c>
      <c r="E7548" s="705">
        <f t="shared" si="236"/>
        <v>11.777777777777779</v>
      </c>
    </row>
    <row r="7549" spans="2:5">
      <c r="B7549" s="943">
        <v>45233</v>
      </c>
      <c r="C7549" s="195">
        <f t="shared" si="235"/>
        <v>11</v>
      </c>
      <c r="D7549" s="195">
        <v>53.1</v>
      </c>
      <c r="E7549" s="705">
        <f t="shared" si="236"/>
        <v>11.722222222222223</v>
      </c>
    </row>
    <row r="7550" spans="2:5">
      <c r="B7550" s="943">
        <v>45233</v>
      </c>
      <c r="C7550" s="195">
        <f t="shared" si="235"/>
        <v>11</v>
      </c>
      <c r="D7550" s="195">
        <v>53.2</v>
      </c>
      <c r="E7550" s="705">
        <f t="shared" si="236"/>
        <v>11.777777777777779</v>
      </c>
    </row>
    <row r="7551" spans="2:5">
      <c r="B7551" s="943">
        <v>45233</v>
      </c>
      <c r="C7551" s="195">
        <f t="shared" si="235"/>
        <v>11</v>
      </c>
      <c r="D7551" s="195">
        <v>53.6</v>
      </c>
      <c r="E7551" s="705">
        <f t="shared" si="236"/>
        <v>12</v>
      </c>
    </row>
    <row r="7552" spans="2:5">
      <c r="B7552" s="943">
        <v>45233</v>
      </c>
      <c r="C7552" s="195">
        <f t="shared" si="235"/>
        <v>11</v>
      </c>
      <c r="D7552" s="195">
        <v>53.8</v>
      </c>
      <c r="E7552" s="705">
        <f t="shared" si="236"/>
        <v>12.111111111111109</v>
      </c>
    </row>
    <row r="7553" spans="2:5">
      <c r="B7553" s="943">
        <v>45233</v>
      </c>
      <c r="C7553" s="195">
        <f t="shared" si="235"/>
        <v>11</v>
      </c>
      <c r="D7553" s="195" t="s">
        <v>1438</v>
      </c>
      <c r="E7553" s="705">
        <f t="shared" si="236"/>
        <v>12.222222222222221</v>
      </c>
    </row>
    <row r="7554" spans="2:5">
      <c r="B7554" s="943">
        <v>45233</v>
      </c>
      <c r="C7554" s="195">
        <f t="shared" si="235"/>
        <v>11</v>
      </c>
      <c r="D7554" s="195">
        <v>54.1</v>
      </c>
      <c r="E7554" s="705">
        <f t="shared" si="236"/>
        <v>12.277777777777779</v>
      </c>
    </row>
    <row r="7555" spans="2:5">
      <c r="B7555" s="943">
        <v>45233</v>
      </c>
      <c r="C7555" s="195">
        <f t="shared" si="235"/>
        <v>11</v>
      </c>
      <c r="D7555" s="195">
        <v>54.1</v>
      </c>
      <c r="E7555" s="705">
        <f t="shared" si="236"/>
        <v>12.277777777777779</v>
      </c>
    </row>
    <row r="7556" spans="2:5">
      <c r="B7556" s="943">
        <v>45233</v>
      </c>
      <c r="C7556" s="195">
        <f t="shared" si="235"/>
        <v>11</v>
      </c>
      <c r="D7556" s="195">
        <v>54.1</v>
      </c>
      <c r="E7556" s="705">
        <f t="shared" si="236"/>
        <v>12.277777777777779</v>
      </c>
    </row>
    <row r="7557" spans="2:5">
      <c r="B7557" s="943">
        <v>45233</v>
      </c>
      <c r="C7557" s="195">
        <f t="shared" si="235"/>
        <v>11</v>
      </c>
      <c r="D7557" s="195">
        <v>53.8</v>
      </c>
      <c r="E7557" s="705">
        <f t="shared" si="236"/>
        <v>12.111111111111109</v>
      </c>
    </row>
    <row r="7558" spans="2:5">
      <c r="B7558" s="943">
        <v>45233</v>
      </c>
      <c r="C7558" s="195">
        <f t="shared" si="235"/>
        <v>11</v>
      </c>
      <c r="D7558" s="195">
        <v>53.4</v>
      </c>
      <c r="E7558" s="705">
        <f t="shared" si="236"/>
        <v>11.888888888888888</v>
      </c>
    </row>
    <row r="7559" spans="2:5">
      <c r="B7559" s="943">
        <v>45233</v>
      </c>
      <c r="C7559" s="195">
        <f t="shared" si="235"/>
        <v>11</v>
      </c>
      <c r="D7559" s="195">
        <v>53.1</v>
      </c>
      <c r="E7559" s="705">
        <f t="shared" si="236"/>
        <v>11.722222222222223</v>
      </c>
    </row>
    <row r="7560" spans="2:5">
      <c r="B7560" s="943">
        <v>45233</v>
      </c>
      <c r="C7560" s="195">
        <f t="shared" si="235"/>
        <v>11</v>
      </c>
      <c r="D7560" s="195">
        <v>52.9</v>
      </c>
      <c r="E7560" s="705">
        <f t="shared" si="236"/>
        <v>11.611111111111111</v>
      </c>
    </row>
    <row r="7561" spans="2:5">
      <c r="B7561" s="943">
        <v>45233</v>
      </c>
      <c r="C7561" s="195">
        <f t="shared" si="235"/>
        <v>11</v>
      </c>
      <c r="D7561" s="195">
        <v>52.9</v>
      </c>
      <c r="E7561" s="705">
        <f t="shared" si="236"/>
        <v>11.611111111111111</v>
      </c>
    </row>
    <row r="7562" spans="2:5">
      <c r="B7562" s="943">
        <v>45233</v>
      </c>
      <c r="C7562" s="195">
        <f t="shared" ref="C7562:C7625" si="237">MONTH(B7562)</f>
        <v>11</v>
      </c>
      <c r="D7562" s="195">
        <v>53.1</v>
      </c>
      <c r="E7562" s="705">
        <f t="shared" ref="E7562:E7625" si="238">CONVERT(D7562,"F","C")</f>
        <v>11.722222222222223</v>
      </c>
    </row>
    <row r="7563" spans="2:5">
      <c r="B7563" s="943">
        <v>45233</v>
      </c>
      <c r="C7563" s="195">
        <f t="shared" si="237"/>
        <v>11</v>
      </c>
      <c r="D7563" s="195">
        <v>53.4</v>
      </c>
      <c r="E7563" s="705">
        <f t="shared" si="238"/>
        <v>11.888888888888888</v>
      </c>
    </row>
    <row r="7564" spans="2:5">
      <c r="B7564" s="943">
        <v>45233</v>
      </c>
      <c r="C7564" s="195">
        <f t="shared" si="237"/>
        <v>11</v>
      </c>
      <c r="D7564" s="195">
        <v>53.8</v>
      </c>
      <c r="E7564" s="705">
        <f t="shared" si="238"/>
        <v>12.111111111111109</v>
      </c>
    </row>
    <row r="7565" spans="2:5">
      <c r="B7565" s="943">
        <v>45233</v>
      </c>
      <c r="C7565" s="195">
        <f t="shared" si="237"/>
        <v>11</v>
      </c>
      <c r="D7565" s="195">
        <v>54.1</v>
      </c>
      <c r="E7565" s="705">
        <f t="shared" si="238"/>
        <v>12.277777777777779</v>
      </c>
    </row>
    <row r="7566" spans="2:5">
      <c r="B7566" s="943">
        <v>45233</v>
      </c>
      <c r="C7566" s="195">
        <f t="shared" si="237"/>
        <v>11</v>
      </c>
      <c r="D7566" s="195">
        <v>54.3</v>
      </c>
      <c r="E7566" s="705">
        <f t="shared" si="238"/>
        <v>12.388888888888888</v>
      </c>
    </row>
    <row r="7567" spans="2:5">
      <c r="B7567" s="943">
        <v>45233</v>
      </c>
      <c r="C7567" s="195">
        <f t="shared" si="237"/>
        <v>11</v>
      </c>
      <c r="D7567" s="195">
        <v>54.3</v>
      </c>
      <c r="E7567" s="705">
        <f t="shared" si="238"/>
        <v>12.388888888888888</v>
      </c>
    </row>
    <row r="7568" spans="2:5">
      <c r="B7568" s="943">
        <v>45233</v>
      </c>
      <c r="C7568" s="195">
        <f t="shared" si="237"/>
        <v>11</v>
      </c>
      <c r="D7568" s="195">
        <v>54.1</v>
      </c>
      <c r="E7568" s="705">
        <f t="shared" si="238"/>
        <v>12.277777777777779</v>
      </c>
    </row>
    <row r="7569" spans="2:5">
      <c r="B7569" s="943">
        <v>45234</v>
      </c>
      <c r="C7569" s="195">
        <f t="shared" si="237"/>
        <v>11</v>
      </c>
      <c r="D7569" s="195" t="s">
        <v>1438</v>
      </c>
      <c r="E7569" s="705">
        <f t="shared" si="238"/>
        <v>12.222222222222221</v>
      </c>
    </row>
    <row r="7570" spans="2:5">
      <c r="B7570" s="943">
        <v>45234</v>
      </c>
      <c r="C7570" s="195">
        <f t="shared" si="237"/>
        <v>11</v>
      </c>
      <c r="D7570" s="195">
        <v>53.6</v>
      </c>
      <c r="E7570" s="705">
        <f t="shared" si="238"/>
        <v>12</v>
      </c>
    </row>
    <row r="7571" spans="2:5">
      <c r="B7571" s="943">
        <v>45234</v>
      </c>
      <c r="C7571" s="195">
        <f t="shared" si="237"/>
        <v>11</v>
      </c>
      <c r="D7571" s="195">
        <v>53.2</v>
      </c>
      <c r="E7571" s="705">
        <f t="shared" si="238"/>
        <v>11.777777777777779</v>
      </c>
    </row>
    <row r="7572" spans="2:5">
      <c r="B7572" s="943">
        <v>45234</v>
      </c>
      <c r="C7572" s="195">
        <f t="shared" si="237"/>
        <v>11</v>
      </c>
      <c r="D7572" s="195">
        <v>52.9</v>
      </c>
      <c r="E7572" s="705">
        <f t="shared" si="238"/>
        <v>11.611111111111111</v>
      </c>
    </row>
    <row r="7573" spans="2:5">
      <c r="B7573" s="943">
        <v>45234</v>
      </c>
      <c r="C7573" s="195">
        <f t="shared" si="237"/>
        <v>11</v>
      </c>
      <c r="D7573" s="195">
        <v>52.7</v>
      </c>
      <c r="E7573" s="705">
        <f t="shared" si="238"/>
        <v>11.500000000000002</v>
      </c>
    </row>
    <row r="7574" spans="2:5">
      <c r="B7574" s="943">
        <v>45234</v>
      </c>
      <c r="C7574" s="195">
        <f t="shared" si="237"/>
        <v>11</v>
      </c>
      <c r="D7574" s="195">
        <v>52.5</v>
      </c>
      <c r="E7574" s="705">
        <f t="shared" si="238"/>
        <v>11.388888888888889</v>
      </c>
    </row>
    <row r="7575" spans="2:5">
      <c r="B7575" s="943">
        <v>45234</v>
      </c>
      <c r="C7575" s="195">
        <f t="shared" si="237"/>
        <v>11</v>
      </c>
      <c r="D7575" s="195">
        <v>52.7</v>
      </c>
      <c r="E7575" s="705">
        <f t="shared" si="238"/>
        <v>11.500000000000002</v>
      </c>
    </row>
    <row r="7576" spans="2:5">
      <c r="B7576" s="943">
        <v>45234</v>
      </c>
      <c r="C7576" s="195">
        <f t="shared" si="237"/>
        <v>11</v>
      </c>
      <c r="D7576" s="195">
        <v>53.1</v>
      </c>
      <c r="E7576" s="705">
        <f t="shared" si="238"/>
        <v>11.722222222222223</v>
      </c>
    </row>
    <row r="7577" spans="2:5">
      <c r="B7577" s="943">
        <v>45234</v>
      </c>
      <c r="C7577" s="195">
        <f t="shared" si="237"/>
        <v>11</v>
      </c>
      <c r="D7577" s="195">
        <v>53.4</v>
      </c>
      <c r="E7577" s="705">
        <f t="shared" si="238"/>
        <v>11.888888888888888</v>
      </c>
    </row>
    <row r="7578" spans="2:5">
      <c r="B7578" s="943">
        <v>45234</v>
      </c>
      <c r="C7578" s="195">
        <f t="shared" si="237"/>
        <v>11</v>
      </c>
      <c r="D7578" s="195">
        <v>53.8</v>
      </c>
      <c r="E7578" s="705">
        <f t="shared" si="238"/>
        <v>12.111111111111109</v>
      </c>
    </row>
    <row r="7579" spans="2:5">
      <c r="B7579" s="943">
        <v>45234</v>
      </c>
      <c r="C7579" s="195">
        <f t="shared" si="237"/>
        <v>11</v>
      </c>
      <c r="D7579" s="195" t="s">
        <v>1438</v>
      </c>
      <c r="E7579" s="705">
        <f t="shared" si="238"/>
        <v>12.222222222222221</v>
      </c>
    </row>
    <row r="7580" spans="2:5">
      <c r="B7580" s="943">
        <v>45234</v>
      </c>
      <c r="C7580" s="195">
        <f t="shared" si="237"/>
        <v>11</v>
      </c>
      <c r="D7580" s="195" t="s">
        <v>1438</v>
      </c>
      <c r="E7580" s="705">
        <f t="shared" si="238"/>
        <v>12.222222222222221</v>
      </c>
    </row>
    <row r="7581" spans="2:5">
      <c r="B7581" s="943">
        <v>45234</v>
      </c>
      <c r="C7581" s="195">
        <f t="shared" si="237"/>
        <v>11</v>
      </c>
      <c r="D7581" s="195">
        <v>53.8</v>
      </c>
      <c r="E7581" s="705">
        <f t="shared" si="238"/>
        <v>12.111111111111109</v>
      </c>
    </row>
    <row r="7582" spans="2:5">
      <c r="B7582" s="943">
        <v>45234</v>
      </c>
      <c r="C7582" s="195">
        <f t="shared" si="237"/>
        <v>11</v>
      </c>
      <c r="D7582" s="195">
        <v>53.6</v>
      </c>
      <c r="E7582" s="705">
        <f t="shared" si="238"/>
        <v>12</v>
      </c>
    </row>
    <row r="7583" spans="2:5">
      <c r="B7583" s="943">
        <v>45234</v>
      </c>
      <c r="C7583" s="195">
        <f t="shared" si="237"/>
        <v>11</v>
      </c>
      <c r="D7583" s="195">
        <v>53.1</v>
      </c>
      <c r="E7583" s="705">
        <f t="shared" si="238"/>
        <v>11.722222222222223</v>
      </c>
    </row>
    <row r="7584" spans="2:5">
      <c r="B7584" s="943">
        <v>45234</v>
      </c>
      <c r="C7584" s="195">
        <f t="shared" si="237"/>
        <v>11</v>
      </c>
      <c r="D7584" s="195">
        <v>52.7</v>
      </c>
      <c r="E7584" s="705">
        <f t="shared" si="238"/>
        <v>11.500000000000002</v>
      </c>
    </row>
    <row r="7585" spans="2:5">
      <c r="B7585" s="943">
        <v>45234</v>
      </c>
      <c r="C7585" s="195">
        <f t="shared" si="237"/>
        <v>11</v>
      </c>
      <c r="D7585" s="195">
        <v>52.5</v>
      </c>
      <c r="E7585" s="705">
        <f t="shared" si="238"/>
        <v>11.388888888888889</v>
      </c>
    </row>
    <row r="7586" spans="2:5">
      <c r="B7586" s="943">
        <v>45234</v>
      </c>
      <c r="C7586" s="195">
        <f t="shared" si="237"/>
        <v>11</v>
      </c>
      <c r="D7586" s="195">
        <v>52.5</v>
      </c>
      <c r="E7586" s="705">
        <f t="shared" si="238"/>
        <v>11.388888888888889</v>
      </c>
    </row>
    <row r="7587" spans="2:5">
      <c r="B7587" s="943">
        <v>45234</v>
      </c>
      <c r="C7587" s="195">
        <f t="shared" si="237"/>
        <v>11</v>
      </c>
      <c r="D7587" s="195">
        <v>52.7</v>
      </c>
      <c r="E7587" s="705">
        <f t="shared" si="238"/>
        <v>11.500000000000002</v>
      </c>
    </row>
    <row r="7588" spans="2:5">
      <c r="B7588" s="943">
        <v>45234</v>
      </c>
      <c r="C7588" s="195">
        <f t="shared" si="237"/>
        <v>11</v>
      </c>
      <c r="D7588" s="195">
        <v>53.2</v>
      </c>
      <c r="E7588" s="705">
        <f t="shared" si="238"/>
        <v>11.777777777777779</v>
      </c>
    </row>
    <row r="7589" spans="2:5">
      <c r="B7589" s="943">
        <v>45234</v>
      </c>
      <c r="C7589" s="195">
        <f t="shared" si="237"/>
        <v>11</v>
      </c>
      <c r="D7589" s="195">
        <v>53.6</v>
      </c>
      <c r="E7589" s="705">
        <f t="shared" si="238"/>
        <v>12</v>
      </c>
    </row>
    <row r="7590" spans="2:5">
      <c r="B7590" s="943">
        <v>45234</v>
      </c>
      <c r="C7590" s="195">
        <f t="shared" si="237"/>
        <v>11</v>
      </c>
      <c r="D7590" s="195" t="s">
        <v>1438</v>
      </c>
      <c r="E7590" s="705">
        <f t="shared" si="238"/>
        <v>12.222222222222221</v>
      </c>
    </row>
    <row r="7591" spans="2:5">
      <c r="B7591" s="943">
        <v>45234</v>
      </c>
      <c r="C7591" s="195">
        <f t="shared" si="237"/>
        <v>11</v>
      </c>
      <c r="D7591" s="195">
        <v>54.1</v>
      </c>
      <c r="E7591" s="705">
        <f t="shared" si="238"/>
        <v>12.277777777777779</v>
      </c>
    </row>
    <row r="7592" spans="2:5">
      <c r="B7592" s="943">
        <v>45234</v>
      </c>
      <c r="C7592" s="195">
        <f t="shared" si="237"/>
        <v>11</v>
      </c>
      <c r="D7592" s="195">
        <v>54.3</v>
      </c>
      <c r="E7592" s="705">
        <f t="shared" si="238"/>
        <v>12.388888888888888</v>
      </c>
    </row>
    <row r="7593" spans="2:5">
      <c r="B7593" s="943">
        <v>45235</v>
      </c>
      <c r="C7593" s="195">
        <f t="shared" si="237"/>
        <v>11</v>
      </c>
      <c r="D7593" s="195">
        <v>54.1</v>
      </c>
      <c r="E7593" s="705">
        <f t="shared" si="238"/>
        <v>12.277777777777779</v>
      </c>
    </row>
    <row r="7594" spans="2:5">
      <c r="B7594" s="943">
        <v>45235</v>
      </c>
      <c r="C7594" s="195">
        <f t="shared" si="237"/>
        <v>11</v>
      </c>
      <c r="D7594" s="195" t="s">
        <v>1438</v>
      </c>
      <c r="E7594" s="705">
        <f t="shared" si="238"/>
        <v>12.222222222222221</v>
      </c>
    </row>
    <row r="7595" spans="2:5">
      <c r="B7595" s="943">
        <v>45235</v>
      </c>
      <c r="C7595" s="195">
        <f t="shared" si="237"/>
        <v>11</v>
      </c>
      <c r="D7595" s="195">
        <v>53.4</v>
      </c>
      <c r="E7595" s="705">
        <f t="shared" si="238"/>
        <v>11.888888888888888</v>
      </c>
    </row>
    <row r="7596" spans="2:5">
      <c r="B7596" s="943">
        <v>45235</v>
      </c>
      <c r="C7596" s="195">
        <f t="shared" si="237"/>
        <v>11</v>
      </c>
      <c r="D7596" s="195">
        <v>52.9</v>
      </c>
      <c r="E7596" s="705">
        <f t="shared" si="238"/>
        <v>11.611111111111111</v>
      </c>
    </row>
    <row r="7597" spans="2:5">
      <c r="B7597" s="943">
        <v>45235</v>
      </c>
      <c r="C7597" s="195">
        <f t="shared" si="237"/>
        <v>11</v>
      </c>
      <c r="D7597" s="195">
        <v>52.5</v>
      </c>
      <c r="E7597" s="705">
        <f t="shared" si="238"/>
        <v>11.388888888888889</v>
      </c>
    </row>
    <row r="7598" spans="2:5">
      <c r="B7598" s="943">
        <v>45235</v>
      </c>
      <c r="C7598" s="195">
        <f t="shared" si="237"/>
        <v>11</v>
      </c>
      <c r="D7598" s="195">
        <v>52.3</v>
      </c>
      <c r="E7598" s="705">
        <f t="shared" si="238"/>
        <v>11.277777777777777</v>
      </c>
    </row>
    <row r="7599" spans="2:5">
      <c r="B7599" s="943">
        <v>45235</v>
      </c>
      <c r="C7599" s="195">
        <f t="shared" si="237"/>
        <v>11</v>
      </c>
      <c r="D7599" s="195">
        <v>52.3</v>
      </c>
      <c r="E7599" s="705">
        <f t="shared" si="238"/>
        <v>11.277777777777777</v>
      </c>
    </row>
    <row r="7600" spans="2:5">
      <c r="B7600" s="943">
        <v>45235</v>
      </c>
      <c r="C7600" s="195">
        <f t="shared" si="237"/>
        <v>11</v>
      </c>
      <c r="D7600" s="195">
        <v>52.7</v>
      </c>
      <c r="E7600" s="705">
        <f t="shared" si="238"/>
        <v>11.500000000000002</v>
      </c>
    </row>
    <row r="7601" spans="2:5">
      <c r="B7601" s="943">
        <v>45235</v>
      </c>
      <c r="C7601" s="195">
        <f t="shared" si="237"/>
        <v>11</v>
      </c>
      <c r="D7601" s="195">
        <v>53.2</v>
      </c>
      <c r="E7601" s="705">
        <f t="shared" si="238"/>
        <v>11.777777777777779</v>
      </c>
    </row>
    <row r="7602" spans="2:5">
      <c r="B7602" s="943">
        <v>45235</v>
      </c>
      <c r="C7602" s="195">
        <f t="shared" si="237"/>
        <v>11</v>
      </c>
      <c r="D7602" s="195">
        <v>53.6</v>
      </c>
      <c r="E7602" s="705">
        <f t="shared" si="238"/>
        <v>12</v>
      </c>
    </row>
    <row r="7603" spans="2:5">
      <c r="B7603" s="943">
        <v>45235</v>
      </c>
      <c r="C7603" s="195">
        <f t="shared" si="237"/>
        <v>11</v>
      </c>
      <c r="D7603" s="195">
        <v>53.8</v>
      </c>
      <c r="E7603" s="705">
        <f t="shared" si="238"/>
        <v>12.111111111111109</v>
      </c>
    </row>
    <row r="7604" spans="2:5">
      <c r="B7604" s="943">
        <v>45235</v>
      </c>
      <c r="C7604" s="195">
        <f t="shared" si="237"/>
        <v>11</v>
      </c>
      <c r="D7604" s="195" t="s">
        <v>1438</v>
      </c>
      <c r="E7604" s="705">
        <f t="shared" si="238"/>
        <v>12.222222222222221</v>
      </c>
    </row>
    <row r="7605" spans="2:5">
      <c r="B7605" s="943">
        <v>45235</v>
      </c>
      <c r="C7605" s="195">
        <f t="shared" si="237"/>
        <v>11</v>
      </c>
      <c r="D7605" s="195" t="s">
        <v>1438</v>
      </c>
      <c r="E7605" s="705">
        <f t="shared" si="238"/>
        <v>12.222222222222221</v>
      </c>
    </row>
    <row r="7606" spans="2:5">
      <c r="B7606" s="943">
        <v>45235</v>
      </c>
      <c r="C7606" s="195">
        <f t="shared" si="237"/>
        <v>11</v>
      </c>
      <c r="D7606" s="195" t="s">
        <v>1438</v>
      </c>
      <c r="E7606" s="705">
        <f t="shared" si="238"/>
        <v>12.222222222222221</v>
      </c>
    </row>
    <row r="7607" spans="2:5">
      <c r="B7607" s="943">
        <v>45235</v>
      </c>
      <c r="C7607" s="195">
        <f t="shared" si="237"/>
        <v>11</v>
      </c>
      <c r="D7607" s="195">
        <v>53.6</v>
      </c>
      <c r="E7607" s="705">
        <f t="shared" si="238"/>
        <v>12</v>
      </c>
    </row>
    <row r="7608" spans="2:5">
      <c r="B7608" s="943">
        <v>45235</v>
      </c>
      <c r="C7608" s="195">
        <f t="shared" si="237"/>
        <v>11</v>
      </c>
      <c r="D7608" s="195">
        <v>53.4</v>
      </c>
      <c r="E7608" s="705">
        <f t="shared" si="238"/>
        <v>11.888888888888888</v>
      </c>
    </row>
    <row r="7609" spans="2:5">
      <c r="B7609" s="943">
        <v>45235</v>
      </c>
      <c r="C7609" s="195">
        <f t="shared" si="237"/>
        <v>11</v>
      </c>
      <c r="D7609" s="195">
        <v>52.9</v>
      </c>
      <c r="E7609" s="705">
        <f t="shared" si="238"/>
        <v>11.611111111111111</v>
      </c>
    </row>
    <row r="7610" spans="2:5">
      <c r="B7610" s="943">
        <v>45235</v>
      </c>
      <c r="C7610" s="195">
        <f t="shared" si="237"/>
        <v>11</v>
      </c>
      <c r="D7610" s="195">
        <v>52.7</v>
      </c>
      <c r="E7610" s="705">
        <f t="shared" si="238"/>
        <v>11.500000000000002</v>
      </c>
    </row>
    <row r="7611" spans="2:5">
      <c r="B7611" s="943">
        <v>45235</v>
      </c>
      <c r="C7611" s="195">
        <f t="shared" si="237"/>
        <v>11</v>
      </c>
      <c r="D7611" s="195">
        <v>52.7</v>
      </c>
      <c r="E7611" s="705">
        <f t="shared" si="238"/>
        <v>11.500000000000002</v>
      </c>
    </row>
    <row r="7612" spans="2:5">
      <c r="B7612" s="943">
        <v>45235</v>
      </c>
      <c r="C7612" s="195">
        <f t="shared" si="237"/>
        <v>11</v>
      </c>
      <c r="D7612" s="195">
        <v>53.1</v>
      </c>
      <c r="E7612" s="705">
        <f t="shared" si="238"/>
        <v>11.722222222222223</v>
      </c>
    </row>
    <row r="7613" spans="2:5">
      <c r="B7613" s="943">
        <v>45235</v>
      </c>
      <c r="C7613" s="195">
        <f t="shared" si="237"/>
        <v>11</v>
      </c>
      <c r="D7613" s="195">
        <v>53.4</v>
      </c>
      <c r="E7613" s="705">
        <f t="shared" si="238"/>
        <v>11.888888888888888</v>
      </c>
    </row>
    <row r="7614" spans="2:5">
      <c r="B7614" s="943">
        <v>45235</v>
      </c>
      <c r="C7614" s="195">
        <f t="shared" si="237"/>
        <v>11</v>
      </c>
      <c r="D7614" s="195">
        <v>53.8</v>
      </c>
      <c r="E7614" s="705">
        <f t="shared" si="238"/>
        <v>12.111111111111109</v>
      </c>
    </row>
    <row r="7615" spans="2:5">
      <c r="B7615" s="943">
        <v>45235</v>
      </c>
      <c r="C7615" s="195">
        <f t="shared" si="237"/>
        <v>11</v>
      </c>
      <c r="D7615" s="195" t="s">
        <v>1438</v>
      </c>
      <c r="E7615" s="705">
        <f t="shared" si="238"/>
        <v>12.222222222222221</v>
      </c>
    </row>
    <row r="7616" spans="2:5">
      <c r="B7616" s="943">
        <v>45235</v>
      </c>
      <c r="C7616" s="195">
        <f t="shared" si="237"/>
        <v>11</v>
      </c>
      <c r="D7616" s="195" t="s">
        <v>1438</v>
      </c>
      <c r="E7616" s="705">
        <f t="shared" si="238"/>
        <v>12.222222222222221</v>
      </c>
    </row>
    <row r="7617" spans="2:5">
      <c r="B7617" s="943">
        <v>45236</v>
      </c>
      <c r="C7617" s="195">
        <f t="shared" si="237"/>
        <v>11</v>
      </c>
      <c r="D7617" s="195" t="s">
        <v>1438</v>
      </c>
      <c r="E7617" s="705">
        <f t="shared" si="238"/>
        <v>12.222222222222221</v>
      </c>
    </row>
    <row r="7618" spans="2:5">
      <c r="B7618" s="943">
        <v>45236</v>
      </c>
      <c r="C7618" s="195">
        <f t="shared" si="237"/>
        <v>11</v>
      </c>
      <c r="D7618" s="195" t="s">
        <v>1438</v>
      </c>
      <c r="E7618" s="705">
        <f t="shared" si="238"/>
        <v>12.222222222222221</v>
      </c>
    </row>
    <row r="7619" spans="2:5">
      <c r="B7619" s="943">
        <v>45236</v>
      </c>
      <c r="C7619" s="195">
        <f t="shared" si="237"/>
        <v>11</v>
      </c>
      <c r="D7619" s="195">
        <v>53.8</v>
      </c>
      <c r="E7619" s="705">
        <f t="shared" si="238"/>
        <v>12.111111111111109</v>
      </c>
    </row>
    <row r="7620" spans="2:5">
      <c r="B7620" s="943">
        <v>45236</v>
      </c>
      <c r="C7620" s="195">
        <f t="shared" si="237"/>
        <v>11</v>
      </c>
      <c r="D7620" s="195">
        <v>53.4</v>
      </c>
      <c r="E7620" s="705">
        <f t="shared" si="238"/>
        <v>11.888888888888888</v>
      </c>
    </row>
    <row r="7621" spans="2:5">
      <c r="B7621" s="943">
        <v>45236</v>
      </c>
      <c r="C7621" s="195">
        <f t="shared" si="237"/>
        <v>11</v>
      </c>
      <c r="D7621" s="195">
        <v>52.9</v>
      </c>
      <c r="E7621" s="705">
        <f t="shared" si="238"/>
        <v>11.611111111111111</v>
      </c>
    </row>
    <row r="7622" spans="2:5">
      <c r="B7622" s="943">
        <v>45236</v>
      </c>
      <c r="C7622" s="195">
        <f t="shared" si="237"/>
        <v>11</v>
      </c>
      <c r="D7622" s="195">
        <v>52.5</v>
      </c>
      <c r="E7622" s="705">
        <f t="shared" si="238"/>
        <v>11.388888888888889</v>
      </c>
    </row>
    <row r="7623" spans="2:5">
      <c r="B7623" s="943">
        <v>45236</v>
      </c>
      <c r="C7623" s="195">
        <f t="shared" si="237"/>
        <v>11</v>
      </c>
      <c r="D7623" s="195">
        <v>52.3</v>
      </c>
      <c r="E7623" s="705">
        <f t="shared" si="238"/>
        <v>11.277777777777777</v>
      </c>
    </row>
    <row r="7624" spans="2:5">
      <c r="B7624" s="943">
        <v>45236</v>
      </c>
      <c r="C7624" s="195">
        <f t="shared" si="237"/>
        <v>11</v>
      </c>
      <c r="D7624" s="195">
        <v>52.3</v>
      </c>
      <c r="E7624" s="705">
        <f t="shared" si="238"/>
        <v>11.277777777777777</v>
      </c>
    </row>
    <row r="7625" spans="2:5">
      <c r="B7625" s="943">
        <v>45236</v>
      </c>
      <c r="C7625" s="195">
        <f t="shared" si="237"/>
        <v>11</v>
      </c>
      <c r="D7625" s="195">
        <v>52.5</v>
      </c>
      <c r="E7625" s="705">
        <f t="shared" si="238"/>
        <v>11.388888888888889</v>
      </c>
    </row>
    <row r="7626" spans="2:5">
      <c r="B7626" s="943">
        <v>45236</v>
      </c>
      <c r="C7626" s="195">
        <f t="shared" ref="C7626:C7689" si="239">MONTH(B7626)</f>
        <v>11</v>
      </c>
      <c r="D7626" s="195">
        <v>53.1</v>
      </c>
      <c r="E7626" s="705">
        <f t="shared" ref="E7626:E7689" si="240">CONVERT(D7626,"F","C")</f>
        <v>11.722222222222223</v>
      </c>
    </row>
    <row r="7627" spans="2:5">
      <c r="B7627" s="943">
        <v>45236</v>
      </c>
      <c r="C7627" s="195">
        <f t="shared" si="239"/>
        <v>11</v>
      </c>
      <c r="D7627" s="195">
        <v>53.2</v>
      </c>
      <c r="E7627" s="705">
        <f t="shared" si="240"/>
        <v>11.777777777777779</v>
      </c>
    </row>
    <row r="7628" spans="2:5">
      <c r="B7628" s="943">
        <v>45236</v>
      </c>
      <c r="C7628" s="195">
        <f t="shared" si="239"/>
        <v>11</v>
      </c>
      <c r="D7628" s="195">
        <v>53.6</v>
      </c>
      <c r="E7628" s="705">
        <f t="shared" si="240"/>
        <v>12</v>
      </c>
    </row>
    <row r="7629" spans="2:5">
      <c r="B7629" s="943">
        <v>45236</v>
      </c>
      <c r="C7629" s="195">
        <f t="shared" si="239"/>
        <v>11</v>
      </c>
      <c r="D7629" s="195">
        <v>53.6</v>
      </c>
      <c r="E7629" s="705">
        <f t="shared" si="240"/>
        <v>12</v>
      </c>
    </row>
    <row r="7630" spans="2:5">
      <c r="B7630" s="943">
        <v>45236</v>
      </c>
      <c r="C7630" s="195">
        <f t="shared" si="239"/>
        <v>11</v>
      </c>
      <c r="D7630" s="195">
        <v>53.6</v>
      </c>
      <c r="E7630" s="705">
        <f t="shared" si="240"/>
        <v>12</v>
      </c>
    </row>
    <row r="7631" spans="2:5">
      <c r="B7631" s="943">
        <v>45236</v>
      </c>
      <c r="C7631" s="195">
        <f t="shared" si="239"/>
        <v>11</v>
      </c>
      <c r="D7631" s="195">
        <v>53.6</v>
      </c>
      <c r="E7631" s="705">
        <f t="shared" si="240"/>
        <v>12</v>
      </c>
    </row>
    <row r="7632" spans="2:5">
      <c r="B7632" s="943">
        <v>45236</v>
      </c>
      <c r="C7632" s="195">
        <f t="shared" si="239"/>
        <v>11</v>
      </c>
      <c r="D7632" s="195">
        <v>53.4</v>
      </c>
      <c r="E7632" s="705">
        <f t="shared" si="240"/>
        <v>11.888888888888888</v>
      </c>
    </row>
    <row r="7633" spans="2:5">
      <c r="B7633" s="943">
        <v>45236</v>
      </c>
      <c r="C7633" s="195">
        <f t="shared" si="239"/>
        <v>11</v>
      </c>
      <c r="D7633" s="195">
        <v>53.1</v>
      </c>
      <c r="E7633" s="705">
        <f t="shared" si="240"/>
        <v>11.722222222222223</v>
      </c>
    </row>
    <row r="7634" spans="2:5">
      <c r="B7634" s="943">
        <v>45236</v>
      </c>
      <c r="C7634" s="195">
        <f t="shared" si="239"/>
        <v>11</v>
      </c>
      <c r="D7634" s="195">
        <v>52.7</v>
      </c>
      <c r="E7634" s="705">
        <f t="shared" si="240"/>
        <v>11.500000000000002</v>
      </c>
    </row>
    <row r="7635" spans="2:5">
      <c r="B7635" s="943">
        <v>45236</v>
      </c>
      <c r="C7635" s="195">
        <f t="shared" si="239"/>
        <v>11</v>
      </c>
      <c r="D7635" s="195">
        <v>52.3</v>
      </c>
      <c r="E7635" s="705">
        <f t="shared" si="240"/>
        <v>11.277777777777777</v>
      </c>
    </row>
    <row r="7636" spans="2:5">
      <c r="B7636" s="943">
        <v>45236</v>
      </c>
      <c r="C7636" s="195">
        <f t="shared" si="239"/>
        <v>11</v>
      </c>
      <c r="D7636" s="195">
        <v>52.3</v>
      </c>
      <c r="E7636" s="705">
        <f t="shared" si="240"/>
        <v>11.277777777777777</v>
      </c>
    </row>
    <row r="7637" spans="2:5">
      <c r="B7637" s="943">
        <v>45236</v>
      </c>
      <c r="C7637" s="195">
        <f t="shared" si="239"/>
        <v>11</v>
      </c>
      <c r="D7637" s="195">
        <v>52.5</v>
      </c>
      <c r="E7637" s="705">
        <f t="shared" si="240"/>
        <v>11.388888888888889</v>
      </c>
    </row>
    <row r="7638" spans="2:5">
      <c r="B7638" s="943">
        <v>45236</v>
      </c>
      <c r="C7638" s="195">
        <f t="shared" si="239"/>
        <v>11</v>
      </c>
      <c r="D7638" s="195">
        <v>53.1</v>
      </c>
      <c r="E7638" s="705">
        <f t="shared" si="240"/>
        <v>11.722222222222223</v>
      </c>
    </row>
    <row r="7639" spans="2:5">
      <c r="B7639" s="943">
        <v>45236</v>
      </c>
      <c r="C7639" s="195">
        <f t="shared" si="239"/>
        <v>11</v>
      </c>
      <c r="D7639" s="195">
        <v>53.2</v>
      </c>
      <c r="E7639" s="705">
        <f t="shared" si="240"/>
        <v>11.777777777777779</v>
      </c>
    </row>
    <row r="7640" spans="2:5">
      <c r="B7640" s="943">
        <v>45236</v>
      </c>
      <c r="C7640" s="195">
        <f t="shared" si="239"/>
        <v>11</v>
      </c>
      <c r="D7640" s="195">
        <v>53.4</v>
      </c>
      <c r="E7640" s="705">
        <f t="shared" si="240"/>
        <v>11.888888888888888</v>
      </c>
    </row>
    <row r="7641" spans="2:5">
      <c r="B7641" s="943">
        <v>45237</v>
      </c>
      <c r="C7641" s="195">
        <f t="shared" si="239"/>
        <v>11</v>
      </c>
      <c r="D7641" s="195">
        <v>53.6</v>
      </c>
      <c r="E7641" s="705">
        <f t="shared" si="240"/>
        <v>12</v>
      </c>
    </row>
    <row r="7642" spans="2:5">
      <c r="B7642" s="943">
        <v>45237</v>
      </c>
      <c r="C7642" s="195">
        <f t="shared" si="239"/>
        <v>11</v>
      </c>
      <c r="D7642" s="195">
        <v>53.6</v>
      </c>
      <c r="E7642" s="705">
        <f t="shared" si="240"/>
        <v>12</v>
      </c>
    </row>
    <row r="7643" spans="2:5">
      <c r="B7643" s="943">
        <v>45237</v>
      </c>
      <c r="C7643" s="195">
        <f t="shared" si="239"/>
        <v>11</v>
      </c>
      <c r="D7643" s="195">
        <v>53.4</v>
      </c>
      <c r="E7643" s="705">
        <f t="shared" si="240"/>
        <v>11.888888888888888</v>
      </c>
    </row>
    <row r="7644" spans="2:5">
      <c r="B7644" s="943">
        <v>45237</v>
      </c>
      <c r="C7644" s="195">
        <f t="shared" si="239"/>
        <v>11</v>
      </c>
      <c r="D7644" s="195">
        <v>53.2</v>
      </c>
      <c r="E7644" s="705">
        <f t="shared" si="240"/>
        <v>11.777777777777779</v>
      </c>
    </row>
    <row r="7645" spans="2:5">
      <c r="B7645" s="943">
        <v>45237</v>
      </c>
      <c r="C7645" s="195">
        <f t="shared" si="239"/>
        <v>11</v>
      </c>
      <c r="D7645" s="195">
        <v>53.1</v>
      </c>
      <c r="E7645" s="705">
        <f t="shared" si="240"/>
        <v>11.722222222222223</v>
      </c>
    </row>
    <row r="7646" spans="2:5">
      <c r="B7646" s="943">
        <v>45237</v>
      </c>
      <c r="C7646" s="195">
        <f t="shared" si="239"/>
        <v>11</v>
      </c>
      <c r="D7646" s="195">
        <v>52.5</v>
      </c>
      <c r="E7646" s="705">
        <f t="shared" si="240"/>
        <v>11.388888888888889</v>
      </c>
    </row>
    <row r="7647" spans="2:5">
      <c r="B7647" s="943">
        <v>45237</v>
      </c>
      <c r="C7647" s="195">
        <f t="shared" si="239"/>
        <v>11</v>
      </c>
      <c r="D7647" s="195">
        <v>52.2</v>
      </c>
      <c r="E7647" s="705">
        <f t="shared" si="240"/>
        <v>11.222222222222223</v>
      </c>
    </row>
    <row r="7648" spans="2:5">
      <c r="B7648" s="943">
        <v>45237</v>
      </c>
      <c r="C7648" s="195">
        <f t="shared" si="239"/>
        <v>11</v>
      </c>
      <c r="D7648" s="195" t="s">
        <v>1437</v>
      </c>
      <c r="E7648" s="705">
        <f t="shared" si="240"/>
        <v>11.111111111111111</v>
      </c>
    </row>
    <row r="7649" spans="2:5">
      <c r="B7649" s="943">
        <v>45237</v>
      </c>
      <c r="C7649" s="195">
        <f t="shared" si="239"/>
        <v>11</v>
      </c>
      <c r="D7649" s="195" t="s">
        <v>1437</v>
      </c>
      <c r="E7649" s="705">
        <f t="shared" si="240"/>
        <v>11.111111111111111</v>
      </c>
    </row>
    <row r="7650" spans="2:5">
      <c r="B7650" s="943">
        <v>45237</v>
      </c>
      <c r="C7650" s="195">
        <f t="shared" si="239"/>
        <v>11</v>
      </c>
      <c r="D7650" s="195">
        <v>52.3</v>
      </c>
      <c r="E7650" s="705">
        <f t="shared" si="240"/>
        <v>11.277777777777777</v>
      </c>
    </row>
    <row r="7651" spans="2:5">
      <c r="B7651" s="943">
        <v>45237</v>
      </c>
      <c r="C7651" s="195">
        <f t="shared" si="239"/>
        <v>11</v>
      </c>
      <c r="D7651" s="195">
        <v>52.7</v>
      </c>
      <c r="E7651" s="705">
        <f t="shared" si="240"/>
        <v>11.500000000000002</v>
      </c>
    </row>
    <row r="7652" spans="2:5">
      <c r="B7652" s="943">
        <v>45237</v>
      </c>
      <c r="C7652" s="195">
        <f t="shared" si="239"/>
        <v>11</v>
      </c>
      <c r="D7652" s="195">
        <v>52.9</v>
      </c>
      <c r="E7652" s="705">
        <f t="shared" si="240"/>
        <v>11.611111111111111</v>
      </c>
    </row>
    <row r="7653" spans="2:5">
      <c r="B7653" s="943">
        <v>45237</v>
      </c>
      <c r="C7653" s="195">
        <f t="shared" si="239"/>
        <v>11</v>
      </c>
      <c r="D7653" s="195">
        <v>53.2</v>
      </c>
      <c r="E7653" s="705">
        <f t="shared" si="240"/>
        <v>11.777777777777779</v>
      </c>
    </row>
    <row r="7654" spans="2:5">
      <c r="B7654" s="943">
        <v>45237</v>
      </c>
      <c r="C7654" s="195">
        <f t="shared" si="239"/>
        <v>11</v>
      </c>
      <c r="D7654" s="195">
        <v>53.2</v>
      </c>
      <c r="E7654" s="705">
        <f t="shared" si="240"/>
        <v>11.777777777777779</v>
      </c>
    </row>
    <row r="7655" spans="2:5">
      <c r="B7655" s="943">
        <v>45237</v>
      </c>
      <c r="C7655" s="195">
        <f t="shared" si="239"/>
        <v>11</v>
      </c>
      <c r="D7655" s="195">
        <v>53.2</v>
      </c>
      <c r="E7655" s="705">
        <f t="shared" si="240"/>
        <v>11.777777777777779</v>
      </c>
    </row>
    <row r="7656" spans="2:5">
      <c r="B7656" s="943">
        <v>45237</v>
      </c>
      <c r="C7656" s="195">
        <f t="shared" si="239"/>
        <v>11</v>
      </c>
      <c r="D7656" s="195">
        <v>53.2</v>
      </c>
      <c r="E7656" s="705">
        <f t="shared" si="240"/>
        <v>11.777777777777779</v>
      </c>
    </row>
    <row r="7657" spans="2:5">
      <c r="B7657" s="943">
        <v>45237</v>
      </c>
      <c r="C7657" s="195">
        <f t="shared" si="239"/>
        <v>11</v>
      </c>
      <c r="D7657" s="195">
        <v>53.1</v>
      </c>
      <c r="E7657" s="705">
        <f t="shared" si="240"/>
        <v>11.722222222222223</v>
      </c>
    </row>
    <row r="7658" spans="2:5">
      <c r="B7658" s="943">
        <v>45237</v>
      </c>
      <c r="C7658" s="195">
        <f t="shared" si="239"/>
        <v>11</v>
      </c>
      <c r="D7658" s="195">
        <v>52.9</v>
      </c>
      <c r="E7658" s="705">
        <f t="shared" si="240"/>
        <v>11.611111111111111</v>
      </c>
    </row>
    <row r="7659" spans="2:5">
      <c r="B7659" s="943">
        <v>45237</v>
      </c>
      <c r="C7659" s="195">
        <f t="shared" si="239"/>
        <v>11</v>
      </c>
      <c r="D7659" s="195">
        <v>52.7</v>
      </c>
      <c r="E7659" s="705">
        <f t="shared" si="240"/>
        <v>11.500000000000002</v>
      </c>
    </row>
    <row r="7660" spans="2:5">
      <c r="B7660" s="943">
        <v>45237</v>
      </c>
      <c r="C7660" s="195">
        <f t="shared" si="239"/>
        <v>11</v>
      </c>
      <c r="D7660" s="195">
        <v>52.5</v>
      </c>
      <c r="E7660" s="705">
        <f t="shared" si="240"/>
        <v>11.388888888888889</v>
      </c>
    </row>
    <row r="7661" spans="2:5">
      <c r="B7661" s="943">
        <v>45237</v>
      </c>
      <c r="C7661" s="195">
        <f t="shared" si="239"/>
        <v>11</v>
      </c>
      <c r="D7661" s="195">
        <v>52.5</v>
      </c>
      <c r="E7661" s="705">
        <f t="shared" si="240"/>
        <v>11.388888888888889</v>
      </c>
    </row>
    <row r="7662" spans="2:5">
      <c r="B7662" s="943">
        <v>45237</v>
      </c>
      <c r="C7662" s="195">
        <f t="shared" si="239"/>
        <v>11</v>
      </c>
      <c r="D7662" s="195">
        <v>52.7</v>
      </c>
      <c r="E7662" s="705">
        <f t="shared" si="240"/>
        <v>11.500000000000002</v>
      </c>
    </row>
    <row r="7663" spans="2:5">
      <c r="B7663" s="943">
        <v>45237</v>
      </c>
      <c r="C7663" s="195">
        <f t="shared" si="239"/>
        <v>11</v>
      </c>
      <c r="D7663" s="195">
        <v>53.1</v>
      </c>
      <c r="E7663" s="705">
        <f t="shared" si="240"/>
        <v>11.722222222222223</v>
      </c>
    </row>
    <row r="7664" spans="2:5">
      <c r="B7664" s="943">
        <v>45237</v>
      </c>
      <c r="C7664" s="195">
        <f t="shared" si="239"/>
        <v>11</v>
      </c>
      <c r="D7664" s="195">
        <v>53.1</v>
      </c>
      <c r="E7664" s="705">
        <f t="shared" si="240"/>
        <v>11.722222222222223</v>
      </c>
    </row>
    <row r="7665" spans="2:5">
      <c r="B7665" s="943">
        <v>45238</v>
      </c>
      <c r="C7665" s="195">
        <f t="shared" si="239"/>
        <v>11</v>
      </c>
      <c r="D7665" s="195">
        <v>53.4</v>
      </c>
      <c r="E7665" s="705">
        <f t="shared" si="240"/>
        <v>11.888888888888888</v>
      </c>
    </row>
    <row r="7666" spans="2:5">
      <c r="B7666" s="943">
        <v>45238</v>
      </c>
      <c r="C7666" s="195">
        <f t="shared" si="239"/>
        <v>11</v>
      </c>
      <c r="D7666" s="195">
        <v>53.4</v>
      </c>
      <c r="E7666" s="705">
        <f t="shared" si="240"/>
        <v>11.888888888888888</v>
      </c>
    </row>
    <row r="7667" spans="2:5">
      <c r="B7667" s="943">
        <v>45238</v>
      </c>
      <c r="C7667" s="195">
        <f t="shared" si="239"/>
        <v>11</v>
      </c>
      <c r="D7667" s="195">
        <v>53.4</v>
      </c>
      <c r="E7667" s="705">
        <f t="shared" si="240"/>
        <v>11.888888888888888</v>
      </c>
    </row>
    <row r="7668" spans="2:5">
      <c r="B7668" s="943">
        <v>45238</v>
      </c>
      <c r="C7668" s="195">
        <f t="shared" si="239"/>
        <v>11</v>
      </c>
      <c r="D7668" s="195">
        <v>53.4</v>
      </c>
      <c r="E7668" s="705">
        <f t="shared" si="240"/>
        <v>11.888888888888888</v>
      </c>
    </row>
    <row r="7669" spans="2:5">
      <c r="B7669" s="943">
        <v>45238</v>
      </c>
      <c r="C7669" s="195">
        <f t="shared" si="239"/>
        <v>11</v>
      </c>
      <c r="D7669" s="195">
        <v>53.2</v>
      </c>
      <c r="E7669" s="705">
        <f t="shared" si="240"/>
        <v>11.777777777777779</v>
      </c>
    </row>
    <row r="7670" spans="2:5">
      <c r="B7670" s="943">
        <v>45238</v>
      </c>
      <c r="C7670" s="195">
        <f t="shared" si="239"/>
        <v>11</v>
      </c>
      <c r="D7670" s="195">
        <v>52.9</v>
      </c>
      <c r="E7670" s="705">
        <f t="shared" si="240"/>
        <v>11.611111111111111</v>
      </c>
    </row>
    <row r="7671" spans="2:5">
      <c r="B7671" s="943">
        <v>45238</v>
      </c>
      <c r="C7671" s="195">
        <f t="shared" si="239"/>
        <v>11</v>
      </c>
      <c r="D7671" s="195">
        <v>52.5</v>
      </c>
      <c r="E7671" s="705">
        <f t="shared" si="240"/>
        <v>11.388888888888889</v>
      </c>
    </row>
    <row r="7672" spans="2:5">
      <c r="B7672" s="943">
        <v>45238</v>
      </c>
      <c r="C7672" s="195">
        <f t="shared" si="239"/>
        <v>11</v>
      </c>
      <c r="D7672" s="195">
        <v>52.2</v>
      </c>
      <c r="E7672" s="705">
        <f t="shared" si="240"/>
        <v>11.222222222222223</v>
      </c>
    </row>
    <row r="7673" spans="2:5">
      <c r="B7673" s="943">
        <v>45238</v>
      </c>
      <c r="C7673" s="195">
        <f t="shared" si="239"/>
        <v>11</v>
      </c>
      <c r="D7673" s="195" t="s">
        <v>1437</v>
      </c>
      <c r="E7673" s="705">
        <f t="shared" si="240"/>
        <v>11.111111111111111</v>
      </c>
    </row>
    <row r="7674" spans="2:5">
      <c r="B7674" s="943">
        <v>45238</v>
      </c>
      <c r="C7674" s="195">
        <f t="shared" si="239"/>
        <v>11</v>
      </c>
      <c r="D7674" s="195">
        <v>51.8</v>
      </c>
      <c r="E7674" s="705">
        <f t="shared" si="240"/>
        <v>10.999999999999998</v>
      </c>
    </row>
    <row r="7675" spans="2:5">
      <c r="B7675" s="943">
        <v>45238</v>
      </c>
      <c r="C7675" s="195">
        <f t="shared" si="239"/>
        <v>11</v>
      </c>
      <c r="D7675" s="195" t="s">
        <v>1437</v>
      </c>
      <c r="E7675" s="705">
        <f t="shared" si="240"/>
        <v>11.111111111111111</v>
      </c>
    </row>
    <row r="7676" spans="2:5">
      <c r="B7676" s="943">
        <v>45238</v>
      </c>
      <c r="C7676" s="195">
        <f t="shared" si="239"/>
        <v>11</v>
      </c>
      <c r="D7676" s="195">
        <v>52.7</v>
      </c>
      <c r="E7676" s="705">
        <f t="shared" si="240"/>
        <v>11.500000000000002</v>
      </c>
    </row>
    <row r="7677" spans="2:5">
      <c r="B7677" s="943">
        <v>45238</v>
      </c>
      <c r="C7677" s="195">
        <f t="shared" si="239"/>
        <v>11</v>
      </c>
      <c r="D7677" s="195">
        <v>52.9</v>
      </c>
      <c r="E7677" s="705">
        <f t="shared" si="240"/>
        <v>11.611111111111111</v>
      </c>
    </row>
    <row r="7678" spans="2:5">
      <c r="B7678" s="943">
        <v>45238</v>
      </c>
      <c r="C7678" s="195">
        <f t="shared" si="239"/>
        <v>11</v>
      </c>
      <c r="D7678" s="195">
        <v>52.9</v>
      </c>
      <c r="E7678" s="705">
        <f t="shared" si="240"/>
        <v>11.611111111111111</v>
      </c>
    </row>
    <row r="7679" spans="2:5">
      <c r="B7679" s="943">
        <v>45238</v>
      </c>
      <c r="C7679" s="195">
        <f t="shared" si="239"/>
        <v>11</v>
      </c>
      <c r="D7679" s="195">
        <v>52.9</v>
      </c>
      <c r="E7679" s="705">
        <f t="shared" si="240"/>
        <v>11.611111111111111</v>
      </c>
    </row>
    <row r="7680" spans="2:5">
      <c r="B7680" s="943">
        <v>45238</v>
      </c>
      <c r="C7680" s="195">
        <f t="shared" si="239"/>
        <v>11</v>
      </c>
      <c r="D7680" s="195">
        <v>53.1</v>
      </c>
      <c r="E7680" s="705">
        <f t="shared" si="240"/>
        <v>11.722222222222223</v>
      </c>
    </row>
    <row r="7681" spans="2:5">
      <c r="B7681" s="943">
        <v>45238</v>
      </c>
      <c r="C7681" s="195">
        <f t="shared" si="239"/>
        <v>11</v>
      </c>
      <c r="D7681" s="195">
        <v>52.9</v>
      </c>
      <c r="E7681" s="705">
        <f t="shared" si="240"/>
        <v>11.611111111111111</v>
      </c>
    </row>
    <row r="7682" spans="2:5">
      <c r="B7682" s="943">
        <v>45238</v>
      </c>
      <c r="C7682" s="195">
        <f t="shared" si="239"/>
        <v>11</v>
      </c>
      <c r="D7682" s="195">
        <v>52.5</v>
      </c>
      <c r="E7682" s="705">
        <f t="shared" si="240"/>
        <v>11.388888888888889</v>
      </c>
    </row>
    <row r="7683" spans="2:5">
      <c r="B7683" s="943">
        <v>45238</v>
      </c>
      <c r="C7683" s="195">
        <f t="shared" si="239"/>
        <v>11</v>
      </c>
      <c r="D7683" s="195">
        <v>52.2</v>
      </c>
      <c r="E7683" s="705">
        <f t="shared" si="240"/>
        <v>11.222222222222223</v>
      </c>
    </row>
    <row r="7684" spans="2:5">
      <c r="B7684" s="943">
        <v>45238</v>
      </c>
      <c r="C7684" s="195">
        <f t="shared" si="239"/>
        <v>11</v>
      </c>
      <c r="D7684" s="195">
        <v>51.6</v>
      </c>
      <c r="E7684" s="705">
        <f t="shared" si="240"/>
        <v>10.888888888888889</v>
      </c>
    </row>
    <row r="7685" spans="2:5">
      <c r="B7685" s="943">
        <v>45238</v>
      </c>
      <c r="C7685" s="195">
        <f t="shared" si="239"/>
        <v>11</v>
      </c>
      <c r="D7685" s="195">
        <v>51.4</v>
      </c>
      <c r="E7685" s="705">
        <f t="shared" si="240"/>
        <v>10.777777777777777</v>
      </c>
    </row>
    <row r="7686" spans="2:5">
      <c r="B7686" s="943">
        <v>45238</v>
      </c>
      <c r="C7686" s="195">
        <f t="shared" si="239"/>
        <v>11</v>
      </c>
      <c r="D7686" s="195">
        <v>51.3</v>
      </c>
      <c r="E7686" s="705">
        <f t="shared" si="240"/>
        <v>10.72222222222222</v>
      </c>
    </row>
    <row r="7687" spans="2:5">
      <c r="B7687" s="943">
        <v>45238</v>
      </c>
      <c r="C7687" s="195">
        <f t="shared" si="239"/>
        <v>11</v>
      </c>
      <c r="D7687" s="195">
        <v>51.8</v>
      </c>
      <c r="E7687" s="705">
        <f t="shared" si="240"/>
        <v>10.999999999999998</v>
      </c>
    </row>
    <row r="7688" spans="2:5">
      <c r="B7688" s="943">
        <v>45238</v>
      </c>
      <c r="C7688" s="195">
        <f t="shared" si="239"/>
        <v>11</v>
      </c>
      <c r="D7688" s="195">
        <v>52.2</v>
      </c>
      <c r="E7688" s="705">
        <f t="shared" si="240"/>
        <v>11.222222222222223</v>
      </c>
    </row>
    <row r="7689" spans="2:5">
      <c r="B7689" s="943">
        <v>45239</v>
      </c>
      <c r="C7689" s="195">
        <f t="shared" si="239"/>
        <v>11</v>
      </c>
      <c r="D7689" s="195">
        <v>52.3</v>
      </c>
      <c r="E7689" s="705">
        <f t="shared" si="240"/>
        <v>11.277777777777777</v>
      </c>
    </row>
    <row r="7690" spans="2:5">
      <c r="B7690" s="943">
        <v>45239</v>
      </c>
      <c r="C7690" s="195">
        <f t="shared" ref="C7690:C7753" si="241">MONTH(B7690)</f>
        <v>11</v>
      </c>
      <c r="D7690" s="195">
        <v>52.5</v>
      </c>
      <c r="E7690" s="705">
        <f t="shared" ref="E7690:E7753" si="242">CONVERT(D7690,"F","C")</f>
        <v>11.388888888888889</v>
      </c>
    </row>
    <row r="7691" spans="2:5">
      <c r="B7691" s="943">
        <v>45239</v>
      </c>
      <c r="C7691" s="195">
        <f t="shared" si="241"/>
        <v>11</v>
      </c>
      <c r="D7691" s="195">
        <v>52.7</v>
      </c>
      <c r="E7691" s="705">
        <f t="shared" si="242"/>
        <v>11.500000000000002</v>
      </c>
    </row>
    <row r="7692" spans="2:5">
      <c r="B7692" s="943">
        <v>45239</v>
      </c>
      <c r="C7692" s="195">
        <f t="shared" si="241"/>
        <v>11</v>
      </c>
      <c r="D7692" s="195">
        <v>52.5</v>
      </c>
      <c r="E7692" s="705">
        <f t="shared" si="242"/>
        <v>11.388888888888889</v>
      </c>
    </row>
    <row r="7693" spans="2:5">
      <c r="B7693" s="943">
        <v>45239</v>
      </c>
      <c r="C7693" s="195">
        <f t="shared" si="241"/>
        <v>11</v>
      </c>
      <c r="D7693" s="195">
        <v>52.3</v>
      </c>
      <c r="E7693" s="705">
        <f t="shared" si="242"/>
        <v>11.277777777777777</v>
      </c>
    </row>
    <row r="7694" spans="2:5">
      <c r="B7694" s="943">
        <v>45239</v>
      </c>
      <c r="C7694" s="195">
        <f t="shared" si="241"/>
        <v>11</v>
      </c>
      <c r="D7694" s="195">
        <v>52.2</v>
      </c>
      <c r="E7694" s="705">
        <f t="shared" si="242"/>
        <v>11.222222222222223</v>
      </c>
    </row>
    <row r="7695" spans="2:5">
      <c r="B7695" s="943">
        <v>45239</v>
      </c>
      <c r="C7695" s="195">
        <f t="shared" si="241"/>
        <v>11</v>
      </c>
      <c r="D7695" s="195">
        <v>51.6</v>
      </c>
      <c r="E7695" s="705">
        <f t="shared" si="242"/>
        <v>10.888888888888889</v>
      </c>
    </row>
    <row r="7696" spans="2:5">
      <c r="B7696" s="943">
        <v>45239</v>
      </c>
      <c r="C7696" s="195">
        <f t="shared" si="241"/>
        <v>11</v>
      </c>
      <c r="D7696" s="195">
        <v>51.1</v>
      </c>
      <c r="E7696" s="705">
        <f t="shared" si="242"/>
        <v>10.611111111111112</v>
      </c>
    </row>
    <row r="7697" spans="2:5">
      <c r="B7697" s="943">
        <v>45239</v>
      </c>
      <c r="C7697" s="195">
        <f t="shared" si="241"/>
        <v>11</v>
      </c>
      <c r="D7697" s="195">
        <v>50.9</v>
      </c>
      <c r="E7697" s="705">
        <f t="shared" si="242"/>
        <v>10.499999999999998</v>
      </c>
    </row>
    <row r="7698" spans="2:5">
      <c r="B7698" s="943">
        <v>45239</v>
      </c>
      <c r="C7698" s="195">
        <f t="shared" si="241"/>
        <v>11</v>
      </c>
      <c r="D7698" s="195">
        <v>50.7</v>
      </c>
      <c r="E7698" s="705">
        <f t="shared" si="242"/>
        <v>10.388888888888891</v>
      </c>
    </row>
    <row r="7699" spans="2:5">
      <c r="B7699" s="943">
        <v>45239</v>
      </c>
      <c r="C7699" s="195">
        <f t="shared" si="241"/>
        <v>11</v>
      </c>
      <c r="D7699" s="195">
        <v>51.1</v>
      </c>
      <c r="E7699" s="705">
        <f t="shared" si="242"/>
        <v>10.611111111111112</v>
      </c>
    </row>
    <row r="7700" spans="2:5">
      <c r="B7700" s="943">
        <v>45239</v>
      </c>
      <c r="C7700" s="195">
        <f t="shared" si="241"/>
        <v>11</v>
      </c>
      <c r="D7700" s="195">
        <v>51.3</v>
      </c>
      <c r="E7700" s="705">
        <f t="shared" si="242"/>
        <v>10.72222222222222</v>
      </c>
    </row>
    <row r="7701" spans="2:5">
      <c r="B7701" s="943">
        <v>45239</v>
      </c>
      <c r="C7701" s="195">
        <f t="shared" si="241"/>
        <v>11</v>
      </c>
      <c r="D7701" s="195">
        <v>51.6</v>
      </c>
      <c r="E7701" s="705">
        <f t="shared" si="242"/>
        <v>10.888888888888889</v>
      </c>
    </row>
    <row r="7702" spans="2:5">
      <c r="B7702" s="943">
        <v>45239</v>
      </c>
      <c r="C7702" s="195">
        <f t="shared" si="241"/>
        <v>11</v>
      </c>
      <c r="D7702" s="195">
        <v>52.2</v>
      </c>
      <c r="E7702" s="705">
        <f t="shared" si="242"/>
        <v>11.222222222222223</v>
      </c>
    </row>
    <row r="7703" spans="2:5">
      <c r="B7703" s="943">
        <v>45239</v>
      </c>
      <c r="C7703" s="195">
        <f t="shared" si="241"/>
        <v>11</v>
      </c>
      <c r="D7703" s="195">
        <v>52.3</v>
      </c>
      <c r="E7703" s="705">
        <f t="shared" si="242"/>
        <v>11.277777777777777</v>
      </c>
    </row>
    <row r="7704" spans="2:5">
      <c r="B7704" s="943">
        <v>45239</v>
      </c>
      <c r="C7704" s="195">
        <f t="shared" si="241"/>
        <v>11</v>
      </c>
      <c r="D7704" s="195">
        <v>52.3</v>
      </c>
      <c r="E7704" s="705">
        <f t="shared" si="242"/>
        <v>11.277777777777777</v>
      </c>
    </row>
    <row r="7705" spans="2:5">
      <c r="B7705" s="943">
        <v>45239</v>
      </c>
      <c r="C7705" s="195">
        <f t="shared" si="241"/>
        <v>11</v>
      </c>
      <c r="D7705" s="195">
        <v>52.2</v>
      </c>
      <c r="E7705" s="705">
        <f t="shared" si="242"/>
        <v>11.222222222222223</v>
      </c>
    </row>
    <row r="7706" spans="2:5">
      <c r="B7706" s="943">
        <v>45239</v>
      </c>
      <c r="C7706" s="195">
        <f t="shared" si="241"/>
        <v>11</v>
      </c>
      <c r="D7706" s="195" t="s">
        <v>1437</v>
      </c>
      <c r="E7706" s="705">
        <f t="shared" si="242"/>
        <v>11.111111111111111</v>
      </c>
    </row>
    <row r="7707" spans="2:5">
      <c r="B7707" s="943">
        <v>45239</v>
      </c>
      <c r="C7707" s="195">
        <f t="shared" si="241"/>
        <v>11</v>
      </c>
      <c r="D7707" s="195">
        <v>51.6</v>
      </c>
      <c r="E7707" s="705">
        <f t="shared" si="242"/>
        <v>10.888888888888889</v>
      </c>
    </row>
    <row r="7708" spans="2:5">
      <c r="B7708" s="943">
        <v>45239</v>
      </c>
      <c r="C7708" s="195">
        <f t="shared" si="241"/>
        <v>11</v>
      </c>
      <c r="D7708" s="195">
        <v>51.1</v>
      </c>
      <c r="E7708" s="705">
        <f t="shared" si="242"/>
        <v>10.611111111111112</v>
      </c>
    </row>
    <row r="7709" spans="2:5">
      <c r="B7709" s="943">
        <v>45239</v>
      </c>
      <c r="C7709" s="195">
        <f t="shared" si="241"/>
        <v>11</v>
      </c>
      <c r="D7709" s="195">
        <v>50.7</v>
      </c>
      <c r="E7709" s="705">
        <f t="shared" si="242"/>
        <v>10.388888888888891</v>
      </c>
    </row>
    <row r="7710" spans="2:5">
      <c r="B7710" s="943">
        <v>45239</v>
      </c>
      <c r="C7710" s="195">
        <f t="shared" si="241"/>
        <v>11</v>
      </c>
      <c r="D7710" s="195">
        <v>50.5</v>
      </c>
      <c r="E7710" s="705">
        <f t="shared" si="242"/>
        <v>10.277777777777777</v>
      </c>
    </row>
    <row r="7711" spans="2:5">
      <c r="B7711" s="943">
        <v>45239</v>
      </c>
      <c r="C7711" s="195">
        <f t="shared" si="241"/>
        <v>11</v>
      </c>
      <c r="D7711" s="195">
        <v>50.4</v>
      </c>
      <c r="E7711" s="705">
        <f t="shared" si="242"/>
        <v>10.222222222222221</v>
      </c>
    </row>
    <row r="7712" spans="2:5">
      <c r="B7712" s="943">
        <v>45239</v>
      </c>
      <c r="C7712" s="195">
        <f t="shared" si="241"/>
        <v>11</v>
      </c>
      <c r="D7712" s="195">
        <v>51.1</v>
      </c>
      <c r="E7712" s="705">
        <f t="shared" si="242"/>
        <v>10.611111111111112</v>
      </c>
    </row>
    <row r="7713" spans="2:5">
      <c r="B7713" s="943">
        <v>45240</v>
      </c>
      <c r="C7713" s="195">
        <f t="shared" si="241"/>
        <v>11</v>
      </c>
      <c r="D7713" s="195">
        <v>51.3</v>
      </c>
      <c r="E7713" s="705">
        <f t="shared" si="242"/>
        <v>10.72222222222222</v>
      </c>
    </row>
    <row r="7714" spans="2:5">
      <c r="B7714" s="943">
        <v>45240</v>
      </c>
      <c r="C7714" s="195">
        <f t="shared" si="241"/>
        <v>11</v>
      </c>
      <c r="D7714" s="195">
        <v>51.8</v>
      </c>
      <c r="E7714" s="705">
        <f t="shared" si="242"/>
        <v>10.999999999999998</v>
      </c>
    </row>
    <row r="7715" spans="2:5">
      <c r="B7715" s="943">
        <v>45240</v>
      </c>
      <c r="C7715" s="195">
        <f t="shared" si="241"/>
        <v>11</v>
      </c>
      <c r="D7715" s="195" t="s">
        <v>1437</v>
      </c>
      <c r="E7715" s="705">
        <f t="shared" si="242"/>
        <v>11.111111111111111</v>
      </c>
    </row>
    <row r="7716" spans="2:5">
      <c r="B7716" s="943">
        <v>45240</v>
      </c>
      <c r="C7716" s="195">
        <f t="shared" si="241"/>
        <v>11</v>
      </c>
      <c r="D7716" s="195">
        <v>52.2</v>
      </c>
      <c r="E7716" s="705">
        <f t="shared" si="242"/>
        <v>11.222222222222223</v>
      </c>
    </row>
    <row r="7717" spans="2:5">
      <c r="B7717" s="943">
        <v>45240</v>
      </c>
      <c r="C7717" s="195">
        <f t="shared" si="241"/>
        <v>11</v>
      </c>
      <c r="D7717" s="195">
        <v>52.2</v>
      </c>
      <c r="E7717" s="705">
        <f t="shared" si="242"/>
        <v>11.222222222222223</v>
      </c>
    </row>
    <row r="7718" spans="2:5">
      <c r="B7718" s="943">
        <v>45240</v>
      </c>
      <c r="C7718" s="195">
        <f t="shared" si="241"/>
        <v>11</v>
      </c>
      <c r="D7718" s="195" t="s">
        <v>1437</v>
      </c>
      <c r="E7718" s="705">
        <f t="shared" si="242"/>
        <v>11.111111111111111</v>
      </c>
    </row>
    <row r="7719" spans="2:5">
      <c r="B7719" s="943">
        <v>45240</v>
      </c>
      <c r="C7719" s="195">
        <f t="shared" si="241"/>
        <v>11</v>
      </c>
      <c r="D7719" s="195">
        <v>51.6</v>
      </c>
      <c r="E7719" s="705">
        <f t="shared" si="242"/>
        <v>10.888888888888889</v>
      </c>
    </row>
    <row r="7720" spans="2:5">
      <c r="B7720" s="943">
        <v>45240</v>
      </c>
      <c r="C7720" s="195">
        <f t="shared" si="241"/>
        <v>11</v>
      </c>
      <c r="D7720" s="195">
        <v>51.1</v>
      </c>
      <c r="E7720" s="705">
        <f t="shared" si="242"/>
        <v>10.611111111111112</v>
      </c>
    </row>
    <row r="7721" spans="2:5">
      <c r="B7721" s="943">
        <v>45240</v>
      </c>
      <c r="C7721" s="195">
        <f t="shared" si="241"/>
        <v>11</v>
      </c>
      <c r="D7721" s="195">
        <v>50.5</v>
      </c>
      <c r="E7721" s="705">
        <f t="shared" si="242"/>
        <v>10.277777777777777</v>
      </c>
    </row>
    <row r="7722" spans="2:5">
      <c r="B7722" s="943">
        <v>45240</v>
      </c>
      <c r="C7722" s="195">
        <f t="shared" si="241"/>
        <v>11</v>
      </c>
      <c r="D7722" s="195">
        <v>50.2</v>
      </c>
      <c r="E7722" s="705">
        <f t="shared" si="242"/>
        <v>10.111111111111112</v>
      </c>
    </row>
    <row r="7723" spans="2:5">
      <c r="B7723" s="943">
        <v>45240</v>
      </c>
      <c r="C7723" s="195">
        <f t="shared" si="241"/>
        <v>11</v>
      </c>
      <c r="D7723" s="195" t="s">
        <v>1436</v>
      </c>
      <c r="E7723" s="705">
        <f t="shared" si="242"/>
        <v>10</v>
      </c>
    </row>
    <row r="7724" spans="2:5">
      <c r="B7724" s="943">
        <v>45240</v>
      </c>
      <c r="C7724" s="195">
        <f t="shared" si="241"/>
        <v>11</v>
      </c>
      <c r="D7724" s="195">
        <v>50.4</v>
      </c>
      <c r="E7724" s="705">
        <f t="shared" si="242"/>
        <v>10.222222222222221</v>
      </c>
    </row>
    <row r="7725" spans="2:5">
      <c r="B7725" s="943">
        <v>45240</v>
      </c>
      <c r="C7725" s="195">
        <f t="shared" si="241"/>
        <v>11</v>
      </c>
      <c r="D7725" s="195">
        <v>50.9</v>
      </c>
      <c r="E7725" s="705">
        <f t="shared" si="242"/>
        <v>10.499999999999998</v>
      </c>
    </row>
    <row r="7726" spans="2:5">
      <c r="B7726" s="943">
        <v>45240</v>
      </c>
      <c r="C7726" s="195">
        <f t="shared" si="241"/>
        <v>11</v>
      </c>
      <c r="D7726" s="195">
        <v>51.3</v>
      </c>
      <c r="E7726" s="705">
        <f t="shared" si="242"/>
        <v>10.72222222222222</v>
      </c>
    </row>
    <row r="7727" spans="2:5">
      <c r="B7727" s="943">
        <v>45240</v>
      </c>
      <c r="C7727" s="195">
        <f t="shared" si="241"/>
        <v>11</v>
      </c>
      <c r="D7727" s="195">
        <v>51.8</v>
      </c>
      <c r="E7727" s="705">
        <f t="shared" si="242"/>
        <v>10.999999999999998</v>
      </c>
    </row>
    <row r="7728" spans="2:5">
      <c r="B7728" s="943">
        <v>45240</v>
      </c>
      <c r="C7728" s="195">
        <f t="shared" si="241"/>
        <v>11</v>
      </c>
      <c r="D7728" s="195" t="s">
        <v>1437</v>
      </c>
      <c r="E7728" s="705">
        <f t="shared" si="242"/>
        <v>11.111111111111111</v>
      </c>
    </row>
    <row r="7729" spans="2:5">
      <c r="B7729" s="943">
        <v>45240</v>
      </c>
      <c r="C7729" s="195">
        <f t="shared" si="241"/>
        <v>11</v>
      </c>
      <c r="D7729" s="195">
        <v>52.2</v>
      </c>
      <c r="E7729" s="705">
        <f t="shared" si="242"/>
        <v>11.222222222222223</v>
      </c>
    </row>
    <row r="7730" spans="2:5">
      <c r="B7730" s="943">
        <v>45240</v>
      </c>
      <c r="C7730" s="195">
        <f t="shared" si="241"/>
        <v>11</v>
      </c>
      <c r="D7730" s="195" t="s">
        <v>1437</v>
      </c>
      <c r="E7730" s="705">
        <f t="shared" si="242"/>
        <v>11.111111111111111</v>
      </c>
    </row>
    <row r="7731" spans="2:5">
      <c r="B7731" s="943">
        <v>45240</v>
      </c>
      <c r="C7731" s="195">
        <f t="shared" si="241"/>
        <v>11</v>
      </c>
      <c r="D7731" s="195">
        <v>51.6</v>
      </c>
      <c r="E7731" s="705">
        <f t="shared" si="242"/>
        <v>10.888888888888889</v>
      </c>
    </row>
    <row r="7732" spans="2:5">
      <c r="B7732" s="943">
        <v>45240</v>
      </c>
      <c r="C7732" s="195">
        <f t="shared" si="241"/>
        <v>11</v>
      </c>
      <c r="D7732" s="195">
        <v>51.1</v>
      </c>
      <c r="E7732" s="705">
        <f t="shared" si="242"/>
        <v>10.611111111111112</v>
      </c>
    </row>
    <row r="7733" spans="2:5">
      <c r="B7733" s="943">
        <v>45240</v>
      </c>
      <c r="C7733" s="195">
        <f t="shared" si="241"/>
        <v>11</v>
      </c>
      <c r="D7733" s="195">
        <v>50.5</v>
      </c>
      <c r="E7733" s="705">
        <f t="shared" si="242"/>
        <v>10.277777777777777</v>
      </c>
    </row>
    <row r="7734" spans="2:5">
      <c r="B7734" s="943">
        <v>45240</v>
      </c>
      <c r="C7734" s="195">
        <f t="shared" si="241"/>
        <v>11</v>
      </c>
      <c r="D7734" s="195">
        <v>50.2</v>
      </c>
      <c r="E7734" s="705">
        <f t="shared" si="242"/>
        <v>10.111111111111112</v>
      </c>
    </row>
    <row r="7735" spans="2:5">
      <c r="B7735" s="943">
        <v>45240</v>
      </c>
      <c r="C7735" s="195">
        <f t="shared" si="241"/>
        <v>11</v>
      </c>
      <c r="D7735" s="195">
        <v>49.8</v>
      </c>
      <c r="E7735" s="705">
        <f t="shared" si="242"/>
        <v>9.8888888888888875</v>
      </c>
    </row>
    <row r="7736" spans="2:5">
      <c r="B7736" s="943">
        <v>45240</v>
      </c>
      <c r="C7736" s="195">
        <f t="shared" si="241"/>
        <v>11</v>
      </c>
      <c r="D7736" s="195">
        <v>49.8</v>
      </c>
      <c r="E7736" s="705">
        <f t="shared" si="242"/>
        <v>9.8888888888888875</v>
      </c>
    </row>
    <row r="7737" spans="2:5">
      <c r="B7737" s="943">
        <v>45241</v>
      </c>
      <c r="C7737" s="195">
        <f t="shared" si="241"/>
        <v>11</v>
      </c>
      <c r="D7737" s="195">
        <v>50.5</v>
      </c>
      <c r="E7737" s="705">
        <f t="shared" si="242"/>
        <v>10.277777777777777</v>
      </c>
    </row>
    <row r="7738" spans="2:5">
      <c r="B7738" s="943">
        <v>45241</v>
      </c>
      <c r="C7738" s="195">
        <f t="shared" si="241"/>
        <v>11</v>
      </c>
      <c r="D7738" s="195">
        <v>50.9</v>
      </c>
      <c r="E7738" s="705">
        <f t="shared" si="242"/>
        <v>10.499999999999998</v>
      </c>
    </row>
    <row r="7739" spans="2:5">
      <c r="B7739" s="943">
        <v>45241</v>
      </c>
      <c r="C7739" s="195">
        <f t="shared" si="241"/>
        <v>11</v>
      </c>
      <c r="D7739" s="195">
        <v>51.4</v>
      </c>
      <c r="E7739" s="705">
        <f t="shared" si="242"/>
        <v>10.777777777777777</v>
      </c>
    </row>
    <row r="7740" spans="2:5">
      <c r="B7740" s="943">
        <v>45241</v>
      </c>
      <c r="C7740" s="195">
        <f t="shared" si="241"/>
        <v>11</v>
      </c>
      <c r="D7740" s="195" t="s">
        <v>1437</v>
      </c>
      <c r="E7740" s="705">
        <f t="shared" si="242"/>
        <v>11.111111111111111</v>
      </c>
    </row>
    <row r="7741" spans="2:5">
      <c r="B7741" s="943">
        <v>45241</v>
      </c>
      <c r="C7741" s="195">
        <f t="shared" si="241"/>
        <v>11</v>
      </c>
      <c r="D7741" s="195" t="s">
        <v>1437</v>
      </c>
      <c r="E7741" s="705">
        <f t="shared" si="242"/>
        <v>11.111111111111111</v>
      </c>
    </row>
    <row r="7742" spans="2:5">
      <c r="B7742" s="943">
        <v>45241</v>
      </c>
      <c r="C7742" s="195">
        <f t="shared" si="241"/>
        <v>11</v>
      </c>
      <c r="D7742" s="195">
        <v>51.8</v>
      </c>
      <c r="E7742" s="705">
        <f t="shared" si="242"/>
        <v>10.999999999999998</v>
      </c>
    </row>
    <row r="7743" spans="2:5">
      <c r="B7743" s="943">
        <v>45241</v>
      </c>
      <c r="C7743" s="195">
        <f t="shared" si="241"/>
        <v>11</v>
      </c>
      <c r="D7743" s="195">
        <v>51.6</v>
      </c>
      <c r="E7743" s="705">
        <f t="shared" si="242"/>
        <v>10.888888888888889</v>
      </c>
    </row>
    <row r="7744" spans="2:5">
      <c r="B7744" s="943">
        <v>45241</v>
      </c>
      <c r="C7744" s="195">
        <f t="shared" si="241"/>
        <v>11</v>
      </c>
      <c r="D7744" s="195">
        <v>51.3</v>
      </c>
      <c r="E7744" s="705">
        <f t="shared" si="242"/>
        <v>10.72222222222222</v>
      </c>
    </row>
    <row r="7745" spans="2:5">
      <c r="B7745" s="943">
        <v>45241</v>
      </c>
      <c r="C7745" s="195">
        <f t="shared" si="241"/>
        <v>11</v>
      </c>
      <c r="D7745" s="195">
        <v>50.4</v>
      </c>
      <c r="E7745" s="705">
        <f t="shared" si="242"/>
        <v>10.222222222222221</v>
      </c>
    </row>
    <row r="7746" spans="2:5">
      <c r="B7746" s="943">
        <v>45241</v>
      </c>
      <c r="C7746" s="195">
        <f t="shared" si="241"/>
        <v>11</v>
      </c>
      <c r="D7746" s="195" t="s">
        <v>1436</v>
      </c>
      <c r="E7746" s="705">
        <f t="shared" si="242"/>
        <v>10</v>
      </c>
    </row>
    <row r="7747" spans="2:5">
      <c r="B7747" s="943">
        <v>45241</v>
      </c>
      <c r="C7747" s="195">
        <f t="shared" si="241"/>
        <v>11</v>
      </c>
      <c r="D7747" s="195">
        <v>49.6</v>
      </c>
      <c r="E7747" s="705">
        <f t="shared" si="242"/>
        <v>9.7777777777777786</v>
      </c>
    </row>
    <row r="7748" spans="2:5">
      <c r="B7748" s="943">
        <v>45241</v>
      </c>
      <c r="C7748" s="195">
        <f t="shared" si="241"/>
        <v>11</v>
      </c>
      <c r="D7748" s="195">
        <v>49.5</v>
      </c>
      <c r="E7748" s="705">
        <f t="shared" si="242"/>
        <v>9.7222222222222214</v>
      </c>
    </row>
    <row r="7749" spans="2:5">
      <c r="B7749" s="943">
        <v>45241</v>
      </c>
      <c r="C7749" s="195">
        <f t="shared" si="241"/>
        <v>11</v>
      </c>
      <c r="D7749" s="195">
        <v>50.4</v>
      </c>
      <c r="E7749" s="705">
        <f t="shared" si="242"/>
        <v>10.222222222222221</v>
      </c>
    </row>
    <row r="7750" spans="2:5">
      <c r="B7750" s="943">
        <v>45241</v>
      </c>
      <c r="C7750" s="195">
        <f t="shared" si="241"/>
        <v>11</v>
      </c>
      <c r="D7750" s="195">
        <v>50.7</v>
      </c>
      <c r="E7750" s="705">
        <f t="shared" si="242"/>
        <v>10.388888888888891</v>
      </c>
    </row>
    <row r="7751" spans="2:5">
      <c r="B7751" s="943">
        <v>45241</v>
      </c>
      <c r="C7751" s="195">
        <f t="shared" si="241"/>
        <v>11</v>
      </c>
      <c r="D7751" s="195">
        <v>51.6</v>
      </c>
      <c r="E7751" s="705">
        <f t="shared" si="242"/>
        <v>10.888888888888889</v>
      </c>
    </row>
    <row r="7752" spans="2:5">
      <c r="B7752" s="943">
        <v>45241</v>
      </c>
      <c r="C7752" s="195">
        <f t="shared" si="241"/>
        <v>11</v>
      </c>
      <c r="D7752" s="195" t="s">
        <v>1437</v>
      </c>
      <c r="E7752" s="705">
        <f t="shared" si="242"/>
        <v>11.111111111111111</v>
      </c>
    </row>
    <row r="7753" spans="2:5">
      <c r="B7753" s="943">
        <v>45241</v>
      </c>
      <c r="C7753" s="195">
        <f t="shared" si="241"/>
        <v>11</v>
      </c>
      <c r="D7753" s="195">
        <v>52.2</v>
      </c>
      <c r="E7753" s="705">
        <f t="shared" si="242"/>
        <v>11.222222222222223</v>
      </c>
    </row>
    <row r="7754" spans="2:5">
      <c r="B7754" s="943">
        <v>45241</v>
      </c>
      <c r="C7754" s="195">
        <f t="shared" ref="C7754:C7817" si="243">MONTH(B7754)</f>
        <v>11</v>
      </c>
      <c r="D7754" s="195">
        <v>52.2</v>
      </c>
      <c r="E7754" s="705">
        <f t="shared" ref="E7754:E7817" si="244">CONVERT(D7754,"F","C")</f>
        <v>11.222222222222223</v>
      </c>
    </row>
    <row r="7755" spans="2:5">
      <c r="B7755" s="943">
        <v>45241</v>
      </c>
      <c r="C7755" s="195">
        <f t="shared" si="243"/>
        <v>11</v>
      </c>
      <c r="D7755" s="195" t="s">
        <v>1437</v>
      </c>
      <c r="E7755" s="705">
        <f t="shared" si="244"/>
        <v>11.111111111111111</v>
      </c>
    </row>
    <row r="7756" spans="2:5">
      <c r="B7756" s="943">
        <v>45241</v>
      </c>
      <c r="C7756" s="195">
        <f t="shared" si="243"/>
        <v>11</v>
      </c>
      <c r="D7756" s="195">
        <v>51.4</v>
      </c>
      <c r="E7756" s="705">
        <f t="shared" si="244"/>
        <v>10.777777777777777</v>
      </c>
    </row>
    <row r="7757" spans="2:5">
      <c r="B7757" s="943">
        <v>45241</v>
      </c>
      <c r="C7757" s="195">
        <f t="shared" si="243"/>
        <v>11</v>
      </c>
      <c r="D7757" s="195">
        <v>50.7</v>
      </c>
      <c r="E7757" s="705">
        <f t="shared" si="244"/>
        <v>10.388888888888891</v>
      </c>
    </row>
    <row r="7758" spans="2:5">
      <c r="B7758" s="943">
        <v>45241</v>
      </c>
      <c r="C7758" s="195">
        <f t="shared" si="243"/>
        <v>11</v>
      </c>
      <c r="D7758" s="195" t="s">
        <v>1436</v>
      </c>
      <c r="E7758" s="705">
        <f t="shared" si="244"/>
        <v>10</v>
      </c>
    </row>
    <row r="7759" spans="2:5">
      <c r="B7759" s="943">
        <v>45241</v>
      </c>
      <c r="C7759" s="195">
        <f t="shared" si="243"/>
        <v>11</v>
      </c>
      <c r="D7759" s="195">
        <v>49.6</v>
      </c>
      <c r="E7759" s="705">
        <f t="shared" si="244"/>
        <v>9.7777777777777786</v>
      </c>
    </row>
    <row r="7760" spans="2:5">
      <c r="B7760" s="943">
        <v>45241</v>
      </c>
      <c r="C7760" s="195">
        <f t="shared" si="243"/>
        <v>11</v>
      </c>
      <c r="D7760" s="195">
        <v>49.3</v>
      </c>
      <c r="E7760" s="705">
        <f t="shared" si="244"/>
        <v>9.6111111111111089</v>
      </c>
    </row>
    <row r="7761" spans="2:5">
      <c r="B7761" s="943">
        <v>45242</v>
      </c>
      <c r="C7761" s="195">
        <f t="shared" si="243"/>
        <v>11</v>
      </c>
      <c r="D7761" s="195">
        <v>49.6</v>
      </c>
      <c r="E7761" s="705">
        <f t="shared" si="244"/>
        <v>9.7777777777777786</v>
      </c>
    </row>
    <row r="7762" spans="2:5">
      <c r="B7762" s="943">
        <v>45242</v>
      </c>
      <c r="C7762" s="195">
        <f t="shared" si="243"/>
        <v>11</v>
      </c>
      <c r="D7762" s="195">
        <v>50.4</v>
      </c>
      <c r="E7762" s="705">
        <f t="shared" si="244"/>
        <v>10.222222222222221</v>
      </c>
    </row>
    <row r="7763" spans="2:5">
      <c r="B7763" s="943">
        <v>45242</v>
      </c>
      <c r="C7763" s="195">
        <f t="shared" si="243"/>
        <v>11</v>
      </c>
      <c r="D7763" s="195">
        <v>50.9</v>
      </c>
      <c r="E7763" s="705">
        <f t="shared" si="244"/>
        <v>10.499999999999998</v>
      </c>
    </row>
    <row r="7764" spans="2:5">
      <c r="B7764" s="943">
        <v>45242</v>
      </c>
      <c r="C7764" s="195">
        <f t="shared" si="243"/>
        <v>11</v>
      </c>
      <c r="D7764" s="195">
        <v>51.6</v>
      </c>
      <c r="E7764" s="705">
        <f t="shared" si="244"/>
        <v>10.888888888888889</v>
      </c>
    </row>
    <row r="7765" spans="2:5">
      <c r="B7765" s="943">
        <v>45242</v>
      </c>
      <c r="C7765" s="195">
        <f t="shared" si="243"/>
        <v>11</v>
      </c>
      <c r="D7765" s="195">
        <v>51.8</v>
      </c>
      <c r="E7765" s="705">
        <f t="shared" si="244"/>
        <v>10.999999999999998</v>
      </c>
    </row>
    <row r="7766" spans="2:5">
      <c r="B7766" s="943">
        <v>45242</v>
      </c>
      <c r="C7766" s="195">
        <f t="shared" si="243"/>
        <v>11</v>
      </c>
      <c r="D7766" s="195" t="s">
        <v>1437</v>
      </c>
      <c r="E7766" s="705">
        <f t="shared" si="244"/>
        <v>11.111111111111111</v>
      </c>
    </row>
    <row r="7767" spans="2:5">
      <c r="B7767" s="943">
        <v>45242</v>
      </c>
      <c r="C7767" s="195">
        <f t="shared" si="243"/>
        <v>11</v>
      </c>
      <c r="D7767" s="195">
        <v>51.8</v>
      </c>
      <c r="E7767" s="705">
        <f t="shared" si="244"/>
        <v>10.999999999999998</v>
      </c>
    </row>
    <row r="7768" spans="2:5">
      <c r="B7768" s="943">
        <v>45242</v>
      </c>
      <c r="C7768" s="195">
        <f t="shared" si="243"/>
        <v>11</v>
      </c>
      <c r="D7768" s="195">
        <v>51.3</v>
      </c>
      <c r="E7768" s="705">
        <f t="shared" si="244"/>
        <v>10.72222222222222</v>
      </c>
    </row>
    <row r="7769" spans="2:5">
      <c r="B7769" s="943">
        <v>45242</v>
      </c>
      <c r="C7769" s="195">
        <f t="shared" si="243"/>
        <v>11</v>
      </c>
      <c r="D7769" s="195">
        <v>50.7</v>
      </c>
      <c r="E7769" s="705">
        <f t="shared" si="244"/>
        <v>10.388888888888891</v>
      </c>
    </row>
    <row r="7770" spans="2:5">
      <c r="B7770" s="943">
        <v>45242</v>
      </c>
      <c r="C7770" s="195">
        <f t="shared" si="243"/>
        <v>11</v>
      </c>
      <c r="D7770" s="195">
        <v>49.8</v>
      </c>
      <c r="E7770" s="705">
        <f t="shared" si="244"/>
        <v>9.8888888888888875</v>
      </c>
    </row>
    <row r="7771" spans="2:5">
      <c r="B7771" s="943">
        <v>45242</v>
      </c>
      <c r="C7771" s="195">
        <f t="shared" si="243"/>
        <v>11</v>
      </c>
      <c r="D7771" s="195">
        <v>49.3</v>
      </c>
      <c r="E7771" s="705">
        <f t="shared" si="244"/>
        <v>9.6111111111111089</v>
      </c>
    </row>
    <row r="7772" spans="2:5">
      <c r="B7772" s="943">
        <v>45242</v>
      </c>
      <c r="C7772" s="195">
        <f t="shared" si="243"/>
        <v>11</v>
      </c>
      <c r="D7772" s="195">
        <v>49.1</v>
      </c>
      <c r="E7772" s="705">
        <f t="shared" si="244"/>
        <v>9.5</v>
      </c>
    </row>
    <row r="7773" spans="2:5">
      <c r="B7773" s="943">
        <v>45242</v>
      </c>
      <c r="C7773" s="195">
        <f t="shared" si="243"/>
        <v>11</v>
      </c>
      <c r="D7773" s="195">
        <v>49.3</v>
      </c>
      <c r="E7773" s="705">
        <f t="shared" si="244"/>
        <v>9.6111111111111089</v>
      </c>
    </row>
    <row r="7774" spans="2:5">
      <c r="B7774" s="943">
        <v>45242</v>
      </c>
      <c r="C7774" s="195">
        <f t="shared" si="243"/>
        <v>11</v>
      </c>
      <c r="D7774" s="195">
        <v>50.4</v>
      </c>
      <c r="E7774" s="705">
        <f t="shared" si="244"/>
        <v>10.222222222222221</v>
      </c>
    </row>
    <row r="7775" spans="2:5">
      <c r="B7775" s="943">
        <v>45242</v>
      </c>
      <c r="C7775" s="195">
        <f t="shared" si="243"/>
        <v>11</v>
      </c>
      <c r="D7775" s="195">
        <v>51.1</v>
      </c>
      <c r="E7775" s="705">
        <f t="shared" si="244"/>
        <v>10.611111111111112</v>
      </c>
    </row>
    <row r="7776" spans="2:5">
      <c r="B7776" s="943">
        <v>45242</v>
      </c>
      <c r="C7776" s="195">
        <f t="shared" si="243"/>
        <v>11</v>
      </c>
      <c r="D7776" s="195">
        <v>51.4</v>
      </c>
      <c r="E7776" s="705">
        <f t="shared" si="244"/>
        <v>10.777777777777777</v>
      </c>
    </row>
    <row r="7777" spans="2:5">
      <c r="B7777" s="943">
        <v>45242</v>
      </c>
      <c r="C7777" s="195">
        <f t="shared" si="243"/>
        <v>11</v>
      </c>
      <c r="D7777" s="195">
        <v>51.8</v>
      </c>
      <c r="E7777" s="705">
        <f t="shared" si="244"/>
        <v>10.999999999999998</v>
      </c>
    </row>
    <row r="7778" spans="2:5">
      <c r="B7778" s="943">
        <v>45242</v>
      </c>
      <c r="C7778" s="195">
        <f t="shared" si="243"/>
        <v>11</v>
      </c>
      <c r="D7778" s="195">
        <v>51.8</v>
      </c>
      <c r="E7778" s="705">
        <f t="shared" si="244"/>
        <v>10.999999999999998</v>
      </c>
    </row>
    <row r="7779" spans="2:5">
      <c r="B7779" s="943">
        <v>45242</v>
      </c>
      <c r="C7779" s="195">
        <f t="shared" si="243"/>
        <v>11</v>
      </c>
      <c r="D7779" s="195">
        <v>51.8</v>
      </c>
      <c r="E7779" s="705">
        <f t="shared" si="244"/>
        <v>10.999999999999998</v>
      </c>
    </row>
    <row r="7780" spans="2:5">
      <c r="B7780" s="943">
        <v>45242</v>
      </c>
      <c r="C7780" s="195">
        <f t="shared" si="243"/>
        <v>11</v>
      </c>
      <c r="D7780" s="195">
        <v>51.4</v>
      </c>
      <c r="E7780" s="705">
        <f t="shared" si="244"/>
        <v>10.777777777777777</v>
      </c>
    </row>
    <row r="7781" spans="2:5">
      <c r="B7781" s="943">
        <v>45242</v>
      </c>
      <c r="C7781" s="195">
        <f t="shared" si="243"/>
        <v>11</v>
      </c>
      <c r="D7781" s="195">
        <v>50.9</v>
      </c>
      <c r="E7781" s="705">
        <f t="shared" si="244"/>
        <v>10.499999999999998</v>
      </c>
    </row>
    <row r="7782" spans="2:5">
      <c r="B7782" s="943">
        <v>45242</v>
      </c>
      <c r="C7782" s="195">
        <f t="shared" si="243"/>
        <v>11</v>
      </c>
      <c r="D7782" s="195" t="s">
        <v>1436</v>
      </c>
      <c r="E7782" s="705">
        <f t="shared" si="244"/>
        <v>10</v>
      </c>
    </row>
    <row r="7783" spans="2:5">
      <c r="B7783" s="943">
        <v>45242</v>
      </c>
      <c r="C7783" s="195">
        <f t="shared" si="243"/>
        <v>11</v>
      </c>
      <c r="D7783" s="195">
        <v>49.5</v>
      </c>
      <c r="E7783" s="705">
        <f t="shared" si="244"/>
        <v>9.7222222222222214</v>
      </c>
    </row>
    <row r="7784" spans="2:5">
      <c r="B7784" s="943">
        <v>45242</v>
      </c>
      <c r="C7784" s="195">
        <f t="shared" si="243"/>
        <v>11</v>
      </c>
      <c r="D7784" s="195">
        <v>49.1</v>
      </c>
      <c r="E7784" s="705">
        <f t="shared" si="244"/>
        <v>9.5</v>
      </c>
    </row>
    <row r="7785" spans="2:5">
      <c r="B7785" s="943">
        <v>45243</v>
      </c>
      <c r="C7785" s="195">
        <f t="shared" si="243"/>
        <v>11</v>
      </c>
      <c r="D7785" s="195">
        <v>48.7</v>
      </c>
      <c r="E7785" s="705">
        <f t="shared" si="244"/>
        <v>9.2777777777777786</v>
      </c>
    </row>
    <row r="7786" spans="2:5">
      <c r="B7786" s="943">
        <v>45243</v>
      </c>
      <c r="C7786" s="195">
        <f t="shared" si="243"/>
        <v>11</v>
      </c>
      <c r="D7786" s="195">
        <v>49.3</v>
      </c>
      <c r="E7786" s="705">
        <f t="shared" si="244"/>
        <v>9.6111111111111089</v>
      </c>
    </row>
    <row r="7787" spans="2:5">
      <c r="B7787" s="943">
        <v>45243</v>
      </c>
      <c r="C7787" s="195">
        <f t="shared" si="243"/>
        <v>11</v>
      </c>
      <c r="D7787" s="195">
        <v>50.2</v>
      </c>
      <c r="E7787" s="705">
        <f t="shared" si="244"/>
        <v>10.111111111111112</v>
      </c>
    </row>
    <row r="7788" spans="2:5">
      <c r="B7788" s="943">
        <v>45243</v>
      </c>
      <c r="C7788" s="195">
        <f t="shared" si="243"/>
        <v>11</v>
      </c>
      <c r="D7788" s="195">
        <v>50.9</v>
      </c>
      <c r="E7788" s="705">
        <f t="shared" si="244"/>
        <v>10.499999999999998</v>
      </c>
    </row>
    <row r="7789" spans="2:5">
      <c r="B7789" s="943">
        <v>45243</v>
      </c>
      <c r="C7789" s="195">
        <f t="shared" si="243"/>
        <v>11</v>
      </c>
      <c r="D7789" s="195">
        <v>51.4</v>
      </c>
      <c r="E7789" s="705">
        <f t="shared" si="244"/>
        <v>10.777777777777777</v>
      </c>
    </row>
    <row r="7790" spans="2:5">
      <c r="B7790" s="943">
        <v>45243</v>
      </c>
      <c r="C7790" s="195">
        <f t="shared" si="243"/>
        <v>11</v>
      </c>
      <c r="D7790" s="195">
        <v>51.4</v>
      </c>
      <c r="E7790" s="705">
        <f t="shared" si="244"/>
        <v>10.777777777777777</v>
      </c>
    </row>
    <row r="7791" spans="2:5">
      <c r="B7791" s="943">
        <v>45243</v>
      </c>
      <c r="C7791" s="195">
        <f t="shared" si="243"/>
        <v>11</v>
      </c>
      <c r="D7791" s="195">
        <v>51.4</v>
      </c>
      <c r="E7791" s="705">
        <f t="shared" si="244"/>
        <v>10.777777777777777</v>
      </c>
    </row>
    <row r="7792" spans="2:5">
      <c r="B7792" s="943">
        <v>45243</v>
      </c>
      <c r="C7792" s="195">
        <f t="shared" si="243"/>
        <v>11</v>
      </c>
      <c r="D7792" s="195">
        <v>51.3</v>
      </c>
      <c r="E7792" s="705">
        <f t="shared" si="244"/>
        <v>10.72222222222222</v>
      </c>
    </row>
    <row r="7793" spans="2:5">
      <c r="B7793" s="943">
        <v>45243</v>
      </c>
      <c r="C7793" s="195">
        <f t="shared" si="243"/>
        <v>11</v>
      </c>
      <c r="D7793" s="195">
        <v>50.7</v>
      </c>
      <c r="E7793" s="705">
        <f t="shared" si="244"/>
        <v>10.388888888888891</v>
      </c>
    </row>
    <row r="7794" spans="2:5">
      <c r="B7794" s="943">
        <v>45243</v>
      </c>
      <c r="C7794" s="195">
        <f t="shared" si="243"/>
        <v>11</v>
      </c>
      <c r="D7794" s="195" t="s">
        <v>1436</v>
      </c>
      <c r="E7794" s="705">
        <f t="shared" si="244"/>
        <v>10</v>
      </c>
    </row>
    <row r="7795" spans="2:5">
      <c r="B7795" s="943">
        <v>45243</v>
      </c>
      <c r="C7795" s="195">
        <f t="shared" si="243"/>
        <v>11</v>
      </c>
      <c r="D7795" s="195">
        <v>49.1</v>
      </c>
      <c r="E7795" s="705">
        <f t="shared" si="244"/>
        <v>9.5</v>
      </c>
    </row>
    <row r="7796" spans="2:5">
      <c r="B7796" s="943">
        <v>45243</v>
      </c>
      <c r="C7796" s="195">
        <f t="shared" si="243"/>
        <v>11</v>
      </c>
      <c r="D7796" s="195">
        <v>48.7</v>
      </c>
      <c r="E7796" s="705">
        <f t="shared" si="244"/>
        <v>9.2777777777777786</v>
      </c>
    </row>
    <row r="7797" spans="2:5">
      <c r="B7797" s="943">
        <v>45243</v>
      </c>
      <c r="C7797" s="195">
        <f t="shared" si="243"/>
        <v>11</v>
      </c>
      <c r="D7797" s="195">
        <v>48.4</v>
      </c>
      <c r="E7797" s="705">
        <f t="shared" si="244"/>
        <v>9.1111111111111107</v>
      </c>
    </row>
    <row r="7798" spans="2:5">
      <c r="B7798" s="943">
        <v>45243</v>
      </c>
      <c r="C7798" s="195">
        <f t="shared" si="243"/>
        <v>11</v>
      </c>
      <c r="D7798" s="195">
        <v>49.1</v>
      </c>
      <c r="E7798" s="705">
        <f t="shared" si="244"/>
        <v>9.5</v>
      </c>
    </row>
    <row r="7799" spans="2:5">
      <c r="B7799" s="943">
        <v>45243</v>
      </c>
      <c r="C7799" s="195">
        <f t="shared" si="243"/>
        <v>11</v>
      </c>
      <c r="D7799" s="195" t="s">
        <v>1436</v>
      </c>
      <c r="E7799" s="705">
        <f t="shared" si="244"/>
        <v>10</v>
      </c>
    </row>
    <row r="7800" spans="2:5">
      <c r="B7800" s="943">
        <v>45243</v>
      </c>
      <c r="C7800" s="195">
        <f t="shared" si="243"/>
        <v>11</v>
      </c>
      <c r="D7800" s="195">
        <v>50.7</v>
      </c>
      <c r="E7800" s="705">
        <f t="shared" si="244"/>
        <v>10.388888888888891</v>
      </c>
    </row>
    <row r="7801" spans="2:5">
      <c r="B7801" s="943">
        <v>45243</v>
      </c>
      <c r="C7801" s="195">
        <f t="shared" si="243"/>
        <v>11</v>
      </c>
      <c r="D7801" s="195">
        <v>51.1</v>
      </c>
      <c r="E7801" s="705">
        <f t="shared" si="244"/>
        <v>10.611111111111112</v>
      </c>
    </row>
    <row r="7802" spans="2:5">
      <c r="B7802" s="943">
        <v>45243</v>
      </c>
      <c r="C7802" s="195">
        <f t="shared" si="243"/>
        <v>11</v>
      </c>
      <c r="D7802" s="195">
        <v>51.3</v>
      </c>
      <c r="E7802" s="705">
        <f t="shared" si="244"/>
        <v>10.72222222222222</v>
      </c>
    </row>
    <row r="7803" spans="2:5">
      <c r="B7803" s="943">
        <v>45243</v>
      </c>
      <c r="C7803" s="195">
        <f t="shared" si="243"/>
        <v>11</v>
      </c>
      <c r="D7803" s="195">
        <v>51.3</v>
      </c>
      <c r="E7803" s="705">
        <f t="shared" si="244"/>
        <v>10.72222222222222</v>
      </c>
    </row>
    <row r="7804" spans="2:5">
      <c r="B7804" s="943">
        <v>45243</v>
      </c>
      <c r="C7804" s="195">
        <f t="shared" si="243"/>
        <v>11</v>
      </c>
      <c r="D7804" s="195">
        <v>51.1</v>
      </c>
      <c r="E7804" s="705">
        <f t="shared" si="244"/>
        <v>10.611111111111112</v>
      </c>
    </row>
    <row r="7805" spans="2:5">
      <c r="B7805" s="943">
        <v>45243</v>
      </c>
      <c r="C7805" s="195">
        <f t="shared" si="243"/>
        <v>11</v>
      </c>
      <c r="D7805" s="195">
        <v>50.9</v>
      </c>
      <c r="E7805" s="705">
        <f t="shared" si="244"/>
        <v>10.499999999999998</v>
      </c>
    </row>
    <row r="7806" spans="2:5">
      <c r="B7806" s="943">
        <v>45243</v>
      </c>
      <c r="C7806" s="195">
        <f t="shared" si="243"/>
        <v>11</v>
      </c>
      <c r="D7806" s="195">
        <v>50.2</v>
      </c>
      <c r="E7806" s="705">
        <f t="shared" si="244"/>
        <v>10.111111111111112</v>
      </c>
    </row>
    <row r="7807" spans="2:5">
      <c r="B7807" s="943">
        <v>45243</v>
      </c>
      <c r="C7807" s="195">
        <f t="shared" si="243"/>
        <v>11</v>
      </c>
      <c r="D7807" s="195">
        <v>49.5</v>
      </c>
      <c r="E7807" s="705">
        <f t="shared" si="244"/>
        <v>9.7222222222222214</v>
      </c>
    </row>
    <row r="7808" spans="2:5">
      <c r="B7808" s="943">
        <v>45243</v>
      </c>
      <c r="C7808" s="195">
        <f t="shared" si="243"/>
        <v>11</v>
      </c>
      <c r="D7808" s="195">
        <v>48.9</v>
      </c>
      <c r="E7808" s="705">
        <f t="shared" si="244"/>
        <v>9.3888888888888875</v>
      </c>
    </row>
    <row r="7809" spans="2:5">
      <c r="B7809" s="943">
        <v>45244</v>
      </c>
      <c r="C7809" s="195">
        <f t="shared" si="243"/>
        <v>11</v>
      </c>
      <c r="D7809" s="195">
        <v>48.6</v>
      </c>
      <c r="E7809" s="705">
        <f t="shared" si="244"/>
        <v>9.2222222222222232</v>
      </c>
    </row>
    <row r="7810" spans="2:5">
      <c r="B7810" s="943">
        <v>45244</v>
      </c>
      <c r="C7810" s="195">
        <f t="shared" si="243"/>
        <v>11</v>
      </c>
      <c r="D7810" s="195">
        <v>48.4</v>
      </c>
      <c r="E7810" s="705">
        <f t="shared" si="244"/>
        <v>9.1111111111111107</v>
      </c>
    </row>
    <row r="7811" spans="2:5">
      <c r="B7811" s="943">
        <v>45244</v>
      </c>
      <c r="C7811" s="195">
        <f t="shared" si="243"/>
        <v>11</v>
      </c>
      <c r="D7811" s="195">
        <v>49.3</v>
      </c>
      <c r="E7811" s="705">
        <f t="shared" si="244"/>
        <v>9.6111111111111089</v>
      </c>
    </row>
    <row r="7812" spans="2:5">
      <c r="B7812" s="943">
        <v>45244</v>
      </c>
      <c r="C7812" s="195">
        <f t="shared" si="243"/>
        <v>11</v>
      </c>
      <c r="D7812" s="195">
        <v>49.8</v>
      </c>
      <c r="E7812" s="705">
        <f t="shared" si="244"/>
        <v>9.8888888888888875</v>
      </c>
    </row>
    <row r="7813" spans="2:5">
      <c r="B7813" s="943">
        <v>45244</v>
      </c>
      <c r="C7813" s="195">
        <f t="shared" si="243"/>
        <v>11</v>
      </c>
      <c r="D7813" s="195">
        <v>50.4</v>
      </c>
      <c r="E7813" s="705">
        <f t="shared" si="244"/>
        <v>10.222222222222221</v>
      </c>
    </row>
    <row r="7814" spans="2:5">
      <c r="B7814" s="943">
        <v>45244</v>
      </c>
      <c r="C7814" s="195">
        <f t="shared" si="243"/>
        <v>11</v>
      </c>
      <c r="D7814" s="195">
        <v>50.7</v>
      </c>
      <c r="E7814" s="705">
        <f t="shared" si="244"/>
        <v>10.388888888888891</v>
      </c>
    </row>
    <row r="7815" spans="2:5">
      <c r="B7815" s="943">
        <v>45244</v>
      </c>
      <c r="C7815" s="195">
        <f t="shared" si="243"/>
        <v>11</v>
      </c>
      <c r="D7815" s="195">
        <v>50.9</v>
      </c>
      <c r="E7815" s="705">
        <f t="shared" si="244"/>
        <v>10.499999999999998</v>
      </c>
    </row>
    <row r="7816" spans="2:5">
      <c r="B7816" s="943">
        <v>45244</v>
      </c>
      <c r="C7816" s="195">
        <f t="shared" si="243"/>
        <v>11</v>
      </c>
      <c r="D7816" s="195">
        <v>50.7</v>
      </c>
      <c r="E7816" s="705">
        <f t="shared" si="244"/>
        <v>10.388888888888891</v>
      </c>
    </row>
    <row r="7817" spans="2:5">
      <c r="B7817" s="943">
        <v>45244</v>
      </c>
      <c r="C7817" s="195">
        <f t="shared" si="243"/>
        <v>11</v>
      </c>
      <c r="D7817" s="195">
        <v>50.5</v>
      </c>
      <c r="E7817" s="705">
        <f t="shared" si="244"/>
        <v>10.277777777777777</v>
      </c>
    </row>
    <row r="7818" spans="2:5">
      <c r="B7818" s="943">
        <v>45244</v>
      </c>
      <c r="C7818" s="195">
        <f t="shared" ref="C7818:C7881" si="245">MONTH(B7818)</f>
        <v>11</v>
      </c>
      <c r="D7818" s="195">
        <v>50.2</v>
      </c>
      <c r="E7818" s="705">
        <f t="shared" ref="E7818:E7881" si="246">CONVERT(D7818,"F","C")</f>
        <v>10.111111111111112</v>
      </c>
    </row>
    <row r="7819" spans="2:5">
      <c r="B7819" s="943">
        <v>45244</v>
      </c>
      <c r="C7819" s="195">
        <f t="shared" si="245"/>
        <v>11</v>
      </c>
      <c r="D7819" s="195">
        <v>49.3</v>
      </c>
      <c r="E7819" s="705">
        <f t="shared" si="246"/>
        <v>9.6111111111111089</v>
      </c>
    </row>
    <row r="7820" spans="2:5">
      <c r="B7820" s="943">
        <v>45244</v>
      </c>
      <c r="C7820" s="195">
        <f t="shared" si="245"/>
        <v>11</v>
      </c>
      <c r="D7820" s="195">
        <v>48.9</v>
      </c>
      <c r="E7820" s="705">
        <f t="shared" si="246"/>
        <v>9.3888888888888875</v>
      </c>
    </row>
    <row r="7821" spans="2:5">
      <c r="B7821" s="943">
        <v>45244</v>
      </c>
      <c r="C7821" s="195">
        <f t="shared" si="245"/>
        <v>11</v>
      </c>
      <c r="D7821" s="195">
        <v>48.4</v>
      </c>
      <c r="E7821" s="705">
        <f t="shared" si="246"/>
        <v>9.1111111111111107</v>
      </c>
    </row>
    <row r="7822" spans="2:5">
      <c r="B7822" s="943">
        <v>45244</v>
      </c>
      <c r="C7822" s="195">
        <f t="shared" si="245"/>
        <v>11</v>
      </c>
      <c r="D7822" s="195">
        <v>48.6</v>
      </c>
      <c r="E7822" s="705">
        <f t="shared" si="246"/>
        <v>9.2222222222222232</v>
      </c>
    </row>
    <row r="7823" spans="2:5">
      <c r="B7823" s="943">
        <v>45244</v>
      </c>
      <c r="C7823" s="195">
        <f t="shared" si="245"/>
        <v>11</v>
      </c>
      <c r="D7823" s="195">
        <v>49.5</v>
      </c>
      <c r="E7823" s="705">
        <f t="shared" si="246"/>
        <v>9.7222222222222214</v>
      </c>
    </row>
    <row r="7824" spans="2:5">
      <c r="B7824" s="943">
        <v>45244</v>
      </c>
      <c r="C7824" s="195">
        <f t="shared" si="245"/>
        <v>11</v>
      </c>
      <c r="D7824" s="195">
        <v>49.8</v>
      </c>
      <c r="E7824" s="705">
        <f t="shared" si="246"/>
        <v>9.8888888888888875</v>
      </c>
    </row>
    <row r="7825" spans="2:5">
      <c r="B7825" s="943">
        <v>45244</v>
      </c>
      <c r="C7825" s="195">
        <f t="shared" si="245"/>
        <v>11</v>
      </c>
      <c r="D7825" s="195">
        <v>50.4</v>
      </c>
      <c r="E7825" s="705">
        <f t="shared" si="246"/>
        <v>10.222222222222221</v>
      </c>
    </row>
    <row r="7826" spans="2:5">
      <c r="B7826" s="943">
        <v>45244</v>
      </c>
      <c r="C7826" s="195">
        <f t="shared" si="245"/>
        <v>11</v>
      </c>
      <c r="D7826" s="195">
        <v>50.7</v>
      </c>
      <c r="E7826" s="705">
        <f t="shared" si="246"/>
        <v>10.388888888888891</v>
      </c>
    </row>
    <row r="7827" spans="2:5">
      <c r="B7827" s="943">
        <v>45244</v>
      </c>
      <c r="C7827" s="195">
        <f t="shared" si="245"/>
        <v>11</v>
      </c>
      <c r="D7827" s="195">
        <v>50.7</v>
      </c>
      <c r="E7827" s="705">
        <f t="shared" si="246"/>
        <v>10.388888888888891</v>
      </c>
    </row>
    <row r="7828" spans="2:5">
      <c r="B7828" s="943">
        <v>45244</v>
      </c>
      <c r="C7828" s="195">
        <f t="shared" si="245"/>
        <v>11</v>
      </c>
      <c r="D7828" s="195">
        <v>50.7</v>
      </c>
      <c r="E7828" s="705">
        <f t="shared" si="246"/>
        <v>10.388888888888891</v>
      </c>
    </row>
    <row r="7829" spans="2:5">
      <c r="B7829" s="943">
        <v>45244</v>
      </c>
      <c r="C7829" s="195">
        <f t="shared" si="245"/>
        <v>11</v>
      </c>
      <c r="D7829" s="195">
        <v>50.5</v>
      </c>
      <c r="E7829" s="705">
        <f t="shared" si="246"/>
        <v>10.277777777777777</v>
      </c>
    </row>
    <row r="7830" spans="2:5">
      <c r="B7830" s="943">
        <v>45244</v>
      </c>
      <c r="C7830" s="195">
        <f t="shared" si="245"/>
        <v>11</v>
      </c>
      <c r="D7830" s="195">
        <v>50.2</v>
      </c>
      <c r="E7830" s="705">
        <f t="shared" si="246"/>
        <v>10.111111111111112</v>
      </c>
    </row>
    <row r="7831" spans="2:5">
      <c r="B7831" s="943">
        <v>45244</v>
      </c>
      <c r="C7831" s="195">
        <f t="shared" si="245"/>
        <v>11</v>
      </c>
      <c r="D7831" s="195">
        <v>49.5</v>
      </c>
      <c r="E7831" s="705">
        <f t="shared" si="246"/>
        <v>9.7222222222222214</v>
      </c>
    </row>
    <row r="7832" spans="2:5">
      <c r="B7832" s="943">
        <v>45244</v>
      </c>
      <c r="C7832" s="195">
        <f t="shared" si="245"/>
        <v>11</v>
      </c>
      <c r="D7832" s="195">
        <v>48.9</v>
      </c>
      <c r="E7832" s="705">
        <f t="shared" si="246"/>
        <v>9.3888888888888875</v>
      </c>
    </row>
    <row r="7833" spans="2:5">
      <c r="B7833" s="943">
        <v>45245</v>
      </c>
      <c r="C7833" s="195">
        <f t="shared" si="245"/>
        <v>11</v>
      </c>
      <c r="D7833" s="195">
        <v>48.4</v>
      </c>
      <c r="E7833" s="705">
        <f t="shared" si="246"/>
        <v>9.1111111111111107</v>
      </c>
    </row>
    <row r="7834" spans="2:5">
      <c r="B7834" s="943">
        <v>45245</v>
      </c>
      <c r="C7834" s="195">
        <f t="shared" si="245"/>
        <v>11</v>
      </c>
      <c r="D7834" s="195" t="s">
        <v>1435</v>
      </c>
      <c r="E7834" s="705">
        <f t="shared" si="246"/>
        <v>8.8888888888888893</v>
      </c>
    </row>
    <row r="7835" spans="2:5">
      <c r="B7835" s="943">
        <v>45245</v>
      </c>
      <c r="C7835" s="195">
        <f t="shared" si="245"/>
        <v>11</v>
      </c>
      <c r="D7835" s="195">
        <v>48.2</v>
      </c>
      <c r="E7835" s="705">
        <f t="shared" si="246"/>
        <v>9.0000000000000018</v>
      </c>
    </row>
    <row r="7836" spans="2:5">
      <c r="B7836" s="943">
        <v>45245</v>
      </c>
      <c r="C7836" s="195">
        <f t="shared" si="245"/>
        <v>11</v>
      </c>
      <c r="D7836" s="195">
        <v>49.1</v>
      </c>
      <c r="E7836" s="705">
        <f t="shared" si="246"/>
        <v>9.5</v>
      </c>
    </row>
    <row r="7837" spans="2:5">
      <c r="B7837" s="943">
        <v>45245</v>
      </c>
      <c r="C7837" s="195">
        <f t="shared" si="245"/>
        <v>11</v>
      </c>
      <c r="D7837" s="195">
        <v>49.6</v>
      </c>
      <c r="E7837" s="705">
        <f t="shared" si="246"/>
        <v>9.7777777777777786</v>
      </c>
    </row>
    <row r="7838" spans="2:5">
      <c r="B7838" s="943">
        <v>45245</v>
      </c>
      <c r="C7838" s="195">
        <f t="shared" si="245"/>
        <v>11</v>
      </c>
      <c r="D7838" s="195">
        <v>50.2</v>
      </c>
      <c r="E7838" s="705">
        <f t="shared" si="246"/>
        <v>10.111111111111112</v>
      </c>
    </row>
    <row r="7839" spans="2:5">
      <c r="B7839" s="943">
        <v>45245</v>
      </c>
      <c r="C7839" s="195">
        <f t="shared" si="245"/>
        <v>11</v>
      </c>
      <c r="D7839" s="195">
        <v>50.5</v>
      </c>
      <c r="E7839" s="705">
        <f t="shared" si="246"/>
        <v>10.277777777777777</v>
      </c>
    </row>
    <row r="7840" spans="2:5">
      <c r="B7840" s="943">
        <v>45245</v>
      </c>
      <c r="C7840" s="195">
        <f t="shared" si="245"/>
        <v>11</v>
      </c>
      <c r="D7840" s="195">
        <v>50.5</v>
      </c>
      <c r="E7840" s="705">
        <f t="shared" si="246"/>
        <v>10.277777777777777</v>
      </c>
    </row>
    <row r="7841" spans="2:5">
      <c r="B7841" s="943">
        <v>45245</v>
      </c>
      <c r="C7841" s="195">
        <f t="shared" si="245"/>
        <v>11</v>
      </c>
      <c r="D7841" s="195">
        <v>50.5</v>
      </c>
      <c r="E7841" s="705">
        <f t="shared" si="246"/>
        <v>10.277777777777777</v>
      </c>
    </row>
    <row r="7842" spans="2:5">
      <c r="B7842" s="943">
        <v>45245</v>
      </c>
      <c r="C7842" s="195">
        <f t="shared" si="245"/>
        <v>11</v>
      </c>
      <c r="D7842" s="195" t="s">
        <v>1436</v>
      </c>
      <c r="E7842" s="705">
        <f t="shared" si="246"/>
        <v>10</v>
      </c>
    </row>
    <row r="7843" spans="2:5">
      <c r="B7843" s="943">
        <v>45245</v>
      </c>
      <c r="C7843" s="195">
        <f t="shared" si="245"/>
        <v>11</v>
      </c>
      <c r="D7843" s="195">
        <v>49.5</v>
      </c>
      <c r="E7843" s="705">
        <f t="shared" si="246"/>
        <v>9.7222222222222214</v>
      </c>
    </row>
    <row r="7844" spans="2:5">
      <c r="B7844" s="943">
        <v>45245</v>
      </c>
      <c r="C7844" s="195">
        <f t="shared" si="245"/>
        <v>11</v>
      </c>
      <c r="D7844" s="195">
        <v>48.7</v>
      </c>
      <c r="E7844" s="705">
        <f t="shared" si="246"/>
        <v>9.2777777777777786</v>
      </c>
    </row>
    <row r="7845" spans="2:5">
      <c r="B7845" s="943">
        <v>45245</v>
      </c>
      <c r="C7845" s="195">
        <f t="shared" si="245"/>
        <v>11</v>
      </c>
      <c r="D7845" s="195">
        <v>48.2</v>
      </c>
      <c r="E7845" s="705">
        <f t="shared" si="246"/>
        <v>9.0000000000000018</v>
      </c>
    </row>
    <row r="7846" spans="2:5">
      <c r="B7846" s="943">
        <v>45245</v>
      </c>
      <c r="C7846" s="195">
        <f t="shared" si="245"/>
        <v>11</v>
      </c>
      <c r="D7846" s="195" t="s">
        <v>1435</v>
      </c>
      <c r="E7846" s="705">
        <f t="shared" si="246"/>
        <v>8.8888888888888893</v>
      </c>
    </row>
    <row r="7847" spans="2:5">
      <c r="B7847" s="943">
        <v>45245</v>
      </c>
      <c r="C7847" s="195">
        <f t="shared" si="245"/>
        <v>11</v>
      </c>
      <c r="D7847" s="195">
        <v>48.2</v>
      </c>
      <c r="E7847" s="705">
        <f t="shared" si="246"/>
        <v>9.0000000000000018</v>
      </c>
    </row>
    <row r="7848" spans="2:5">
      <c r="B7848" s="943">
        <v>45245</v>
      </c>
      <c r="C7848" s="195">
        <f t="shared" si="245"/>
        <v>11</v>
      </c>
      <c r="D7848" s="195">
        <v>49.1</v>
      </c>
      <c r="E7848" s="705">
        <f t="shared" si="246"/>
        <v>9.5</v>
      </c>
    </row>
    <row r="7849" spans="2:5">
      <c r="B7849" s="943">
        <v>45245</v>
      </c>
      <c r="C7849" s="195">
        <f t="shared" si="245"/>
        <v>11</v>
      </c>
      <c r="D7849" s="195">
        <v>49.8</v>
      </c>
      <c r="E7849" s="705">
        <f t="shared" si="246"/>
        <v>9.8888888888888875</v>
      </c>
    </row>
    <row r="7850" spans="2:5">
      <c r="B7850" s="943">
        <v>45245</v>
      </c>
      <c r="C7850" s="195">
        <f t="shared" si="245"/>
        <v>11</v>
      </c>
      <c r="D7850" s="195">
        <v>50.4</v>
      </c>
      <c r="E7850" s="705">
        <f t="shared" si="246"/>
        <v>10.222222222222221</v>
      </c>
    </row>
    <row r="7851" spans="2:5">
      <c r="B7851" s="943">
        <v>45245</v>
      </c>
      <c r="C7851" s="195">
        <f t="shared" si="245"/>
        <v>11</v>
      </c>
      <c r="D7851" s="195">
        <v>50.7</v>
      </c>
      <c r="E7851" s="705">
        <f t="shared" si="246"/>
        <v>10.388888888888891</v>
      </c>
    </row>
    <row r="7852" spans="2:5">
      <c r="B7852" s="943">
        <v>45245</v>
      </c>
      <c r="C7852" s="195">
        <f t="shared" si="245"/>
        <v>11</v>
      </c>
      <c r="D7852" s="195">
        <v>50.9</v>
      </c>
      <c r="E7852" s="705">
        <f t="shared" si="246"/>
        <v>10.499999999999998</v>
      </c>
    </row>
    <row r="7853" spans="2:5">
      <c r="B7853" s="943">
        <v>45245</v>
      </c>
      <c r="C7853" s="195">
        <f t="shared" si="245"/>
        <v>11</v>
      </c>
      <c r="D7853" s="195">
        <v>50.7</v>
      </c>
      <c r="E7853" s="705">
        <f t="shared" si="246"/>
        <v>10.388888888888891</v>
      </c>
    </row>
    <row r="7854" spans="2:5">
      <c r="B7854" s="943">
        <v>45245</v>
      </c>
      <c r="C7854" s="195">
        <f t="shared" si="245"/>
        <v>11</v>
      </c>
      <c r="D7854" s="195">
        <v>50.5</v>
      </c>
      <c r="E7854" s="705">
        <f t="shared" si="246"/>
        <v>10.277777777777777</v>
      </c>
    </row>
    <row r="7855" spans="2:5">
      <c r="B7855" s="943">
        <v>45245</v>
      </c>
      <c r="C7855" s="195">
        <f t="shared" si="245"/>
        <v>11</v>
      </c>
      <c r="D7855" s="195" t="s">
        <v>1436</v>
      </c>
      <c r="E7855" s="705">
        <f t="shared" si="246"/>
        <v>10</v>
      </c>
    </row>
    <row r="7856" spans="2:5">
      <c r="B7856" s="943">
        <v>45245</v>
      </c>
      <c r="C7856" s="195">
        <f t="shared" si="245"/>
        <v>11</v>
      </c>
      <c r="D7856" s="195">
        <v>49.1</v>
      </c>
      <c r="E7856" s="705">
        <f t="shared" si="246"/>
        <v>9.5</v>
      </c>
    </row>
    <row r="7857" spans="2:5">
      <c r="B7857" s="943">
        <v>45246</v>
      </c>
      <c r="C7857" s="195">
        <f t="shared" si="245"/>
        <v>11</v>
      </c>
      <c r="D7857" s="195">
        <v>48.6</v>
      </c>
      <c r="E7857" s="705">
        <f t="shared" si="246"/>
        <v>9.2222222222222232</v>
      </c>
    </row>
    <row r="7858" spans="2:5">
      <c r="B7858" s="943">
        <v>45246</v>
      </c>
      <c r="C7858" s="195">
        <f t="shared" si="245"/>
        <v>11</v>
      </c>
      <c r="D7858" s="195" t="s">
        <v>1435</v>
      </c>
      <c r="E7858" s="705">
        <f t="shared" si="246"/>
        <v>8.8888888888888893</v>
      </c>
    </row>
    <row r="7859" spans="2:5">
      <c r="B7859" s="943">
        <v>45246</v>
      </c>
      <c r="C7859" s="195">
        <f t="shared" si="245"/>
        <v>11</v>
      </c>
      <c r="D7859" s="195">
        <v>47.8</v>
      </c>
      <c r="E7859" s="705">
        <f t="shared" si="246"/>
        <v>8.7777777777777768</v>
      </c>
    </row>
    <row r="7860" spans="2:5">
      <c r="B7860" s="943">
        <v>45246</v>
      </c>
      <c r="C7860" s="195">
        <f t="shared" si="245"/>
        <v>11</v>
      </c>
      <c r="D7860" s="195">
        <v>48.2</v>
      </c>
      <c r="E7860" s="705">
        <f t="shared" si="246"/>
        <v>9.0000000000000018</v>
      </c>
    </row>
    <row r="7861" spans="2:5">
      <c r="B7861" s="943">
        <v>45246</v>
      </c>
      <c r="C7861" s="195">
        <f t="shared" si="245"/>
        <v>11</v>
      </c>
      <c r="D7861" s="195">
        <v>49.1</v>
      </c>
      <c r="E7861" s="705">
        <f t="shared" si="246"/>
        <v>9.5</v>
      </c>
    </row>
    <row r="7862" spans="2:5">
      <c r="B7862" s="943">
        <v>45246</v>
      </c>
      <c r="C7862" s="195">
        <f t="shared" si="245"/>
        <v>11</v>
      </c>
      <c r="D7862" s="195">
        <v>49.6</v>
      </c>
      <c r="E7862" s="705">
        <f t="shared" si="246"/>
        <v>9.7777777777777786</v>
      </c>
    </row>
    <row r="7863" spans="2:5">
      <c r="B7863" s="943">
        <v>45246</v>
      </c>
      <c r="C7863" s="195">
        <f t="shared" si="245"/>
        <v>11</v>
      </c>
      <c r="D7863" s="195">
        <v>50.4</v>
      </c>
      <c r="E7863" s="705">
        <f t="shared" si="246"/>
        <v>10.222222222222221</v>
      </c>
    </row>
    <row r="7864" spans="2:5">
      <c r="B7864" s="943">
        <v>45246</v>
      </c>
      <c r="C7864" s="195">
        <f t="shared" si="245"/>
        <v>11</v>
      </c>
      <c r="D7864" s="195">
        <v>50.5</v>
      </c>
      <c r="E7864" s="705">
        <f t="shared" si="246"/>
        <v>10.277777777777777</v>
      </c>
    </row>
    <row r="7865" spans="2:5">
      <c r="B7865" s="943">
        <v>45246</v>
      </c>
      <c r="C7865" s="195">
        <f t="shared" si="245"/>
        <v>11</v>
      </c>
      <c r="D7865" s="195">
        <v>50.5</v>
      </c>
      <c r="E7865" s="705">
        <f t="shared" si="246"/>
        <v>10.277777777777777</v>
      </c>
    </row>
    <row r="7866" spans="2:5">
      <c r="B7866" s="943">
        <v>45246</v>
      </c>
      <c r="C7866" s="195">
        <f t="shared" si="245"/>
        <v>11</v>
      </c>
      <c r="D7866" s="195">
        <v>50.4</v>
      </c>
      <c r="E7866" s="705">
        <f t="shared" si="246"/>
        <v>10.222222222222221</v>
      </c>
    </row>
    <row r="7867" spans="2:5">
      <c r="B7867" s="943">
        <v>45246</v>
      </c>
      <c r="C7867" s="195">
        <f t="shared" si="245"/>
        <v>11</v>
      </c>
      <c r="D7867" s="195" t="s">
        <v>1436</v>
      </c>
      <c r="E7867" s="705">
        <f t="shared" si="246"/>
        <v>10</v>
      </c>
    </row>
    <row r="7868" spans="2:5">
      <c r="B7868" s="943">
        <v>45246</v>
      </c>
      <c r="C7868" s="195">
        <f t="shared" si="245"/>
        <v>11</v>
      </c>
      <c r="D7868" s="195">
        <v>49.1</v>
      </c>
      <c r="E7868" s="705">
        <f t="shared" si="246"/>
        <v>9.5</v>
      </c>
    </row>
    <row r="7869" spans="2:5">
      <c r="B7869" s="943">
        <v>45246</v>
      </c>
      <c r="C7869" s="195">
        <f t="shared" si="245"/>
        <v>11</v>
      </c>
      <c r="D7869" s="195">
        <v>48.4</v>
      </c>
      <c r="E7869" s="705">
        <f t="shared" si="246"/>
        <v>9.1111111111111107</v>
      </c>
    </row>
    <row r="7870" spans="2:5">
      <c r="B7870" s="943">
        <v>45246</v>
      </c>
      <c r="C7870" s="195">
        <f t="shared" si="245"/>
        <v>11</v>
      </c>
      <c r="D7870" s="195" t="s">
        <v>1435</v>
      </c>
      <c r="E7870" s="705">
        <f t="shared" si="246"/>
        <v>8.8888888888888893</v>
      </c>
    </row>
    <row r="7871" spans="2:5">
      <c r="B7871" s="943">
        <v>45246</v>
      </c>
      <c r="C7871" s="195">
        <f t="shared" si="245"/>
        <v>11</v>
      </c>
      <c r="D7871" s="195">
        <v>47.8</v>
      </c>
      <c r="E7871" s="705">
        <f t="shared" si="246"/>
        <v>8.7777777777777768</v>
      </c>
    </row>
    <row r="7872" spans="2:5">
      <c r="B7872" s="943">
        <v>45246</v>
      </c>
      <c r="C7872" s="195">
        <f t="shared" si="245"/>
        <v>11</v>
      </c>
      <c r="D7872" s="195">
        <v>48.4</v>
      </c>
      <c r="E7872" s="705">
        <f t="shared" si="246"/>
        <v>9.1111111111111107</v>
      </c>
    </row>
    <row r="7873" spans="2:5">
      <c r="B7873" s="943">
        <v>45246</v>
      </c>
      <c r="C7873" s="195">
        <f t="shared" si="245"/>
        <v>11</v>
      </c>
      <c r="D7873" s="195">
        <v>49.1</v>
      </c>
      <c r="E7873" s="705">
        <f t="shared" si="246"/>
        <v>9.5</v>
      </c>
    </row>
    <row r="7874" spans="2:5">
      <c r="B7874" s="943">
        <v>45246</v>
      </c>
      <c r="C7874" s="195">
        <f t="shared" si="245"/>
        <v>11</v>
      </c>
      <c r="D7874" s="195" t="s">
        <v>1436</v>
      </c>
      <c r="E7874" s="705">
        <f t="shared" si="246"/>
        <v>10</v>
      </c>
    </row>
    <row r="7875" spans="2:5">
      <c r="B7875" s="943">
        <v>45246</v>
      </c>
      <c r="C7875" s="195">
        <f t="shared" si="245"/>
        <v>11</v>
      </c>
      <c r="D7875" s="195">
        <v>50.7</v>
      </c>
      <c r="E7875" s="705">
        <f t="shared" si="246"/>
        <v>10.388888888888891</v>
      </c>
    </row>
    <row r="7876" spans="2:5">
      <c r="B7876" s="943">
        <v>45246</v>
      </c>
      <c r="C7876" s="195">
        <f t="shared" si="245"/>
        <v>11</v>
      </c>
      <c r="D7876" s="195">
        <v>51.1</v>
      </c>
      <c r="E7876" s="705">
        <f t="shared" si="246"/>
        <v>10.611111111111112</v>
      </c>
    </row>
    <row r="7877" spans="2:5">
      <c r="B7877" s="943">
        <v>45246</v>
      </c>
      <c r="C7877" s="195">
        <f t="shared" si="245"/>
        <v>11</v>
      </c>
      <c r="D7877" s="195">
        <v>51.3</v>
      </c>
      <c r="E7877" s="705">
        <f t="shared" si="246"/>
        <v>10.72222222222222</v>
      </c>
    </row>
    <row r="7878" spans="2:5">
      <c r="B7878" s="943">
        <v>45246</v>
      </c>
      <c r="C7878" s="195">
        <f t="shared" si="245"/>
        <v>11</v>
      </c>
      <c r="D7878" s="195">
        <v>51.1</v>
      </c>
      <c r="E7878" s="705">
        <f t="shared" si="246"/>
        <v>10.611111111111112</v>
      </c>
    </row>
    <row r="7879" spans="2:5">
      <c r="B7879" s="943">
        <v>45246</v>
      </c>
      <c r="C7879" s="195">
        <f t="shared" si="245"/>
        <v>11</v>
      </c>
      <c r="D7879" s="195">
        <v>50.7</v>
      </c>
      <c r="E7879" s="705">
        <f t="shared" si="246"/>
        <v>10.388888888888891</v>
      </c>
    </row>
    <row r="7880" spans="2:5">
      <c r="B7880" s="943">
        <v>45246</v>
      </c>
      <c r="C7880" s="195">
        <f t="shared" si="245"/>
        <v>11</v>
      </c>
      <c r="D7880" s="195">
        <v>49.8</v>
      </c>
      <c r="E7880" s="705">
        <f t="shared" si="246"/>
        <v>9.8888888888888875</v>
      </c>
    </row>
    <row r="7881" spans="2:5">
      <c r="B7881" s="943">
        <v>45247</v>
      </c>
      <c r="C7881" s="195">
        <f t="shared" si="245"/>
        <v>11</v>
      </c>
      <c r="D7881" s="195">
        <v>49.1</v>
      </c>
      <c r="E7881" s="705">
        <f t="shared" si="246"/>
        <v>9.5</v>
      </c>
    </row>
    <row r="7882" spans="2:5">
      <c r="B7882" s="943">
        <v>45247</v>
      </c>
      <c r="C7882" s="195">
        <f t="shared" ref="C7882:C7945" si="247">MONTH(B7882)</f>
        <v>11</v>
      </c>
      <c r="D7882" s="195">
        <v>48.6</v>
      </c>
      <c r="E7882" s="705">
        <f t="shared" ref="E7882:E7945" si="248">CONVERT(D7882,"F","C")</f>
        <v>9.2222222222222232</v>
      </c>
    </row>
    <row r="7883" spans="2:5">
      <c r="B7883" s="943">
        <v>45247</v>
      </c>
      <c r="C7883" s="195">
        <f t="shared" si="247"/>
        <v>11</v>
      </c>
      <c r="D7883" s="195" t="s">
        <v>1435</v>
      </c>
      <c r="E7883" s="705">
        <f t="shared" si="248"/>
        <v>8.8888888888888893</v>
      </c>
    </row>
    <row r="7884" spans="2:5">
      <c r="B7884" s="943">
        <v>45247</v>
      </c>
      <c r="C7884" s="195">
        <f t="shared" si="247"/>
        <v>11</v>
      </c>
      <c r="D7884" s="195" t="s">
        <v>1435</v>
      </c>
      <c r="E7884" s="705">
        <f t="shared" si="248"/>
        <v>8.8888888888888893</v>
      </c>
    </row>
    <row r="7885" spans="2:5">
      <c r="B7885" s="943">
        <v>45247</v>
      </c>
      <c r="C7885" s="195">
        <f t="shared" si="247"/>
        <v>11</v>
      </c>
      <c r="D7885" s="195">
        <v>48.6</v>
      </c>
      <c r="E7885" s="705">
        <f t="shared" si="248"/>
        <v>9.2222222222222232</v>
      </c>
    </row>
    <row r="7886" spans="2:5">
      <c r="B7886" s="943">
        <v>45247</v>
      </c>
      <c r="C7886" s="195">
        <f t="shared" si="247"/>
        <v>11</v>
      </c>
      <c r="D7886" s="195">
        <v>49.5</v>
      </c>
      <c r="E7886" s="705">
        <f t="shared" si="248"/>
        <v>9.7222222222222214</v>
      </c>
    </row>
    <row r="7887" spans="2:5">
      <c r="B7887" s="943">
        <v>45247</v>
      </c>
      <c r="C7887" s="195">
        <f t="shared" si="247"/>
        <v>11</v>
      </c>
      <c r="D7887" s="195">
        <v>50.5</v>
      </c>
      <c r="E7887" s="705">
        <f t="shared" si="248"/>
        <v>10.277777777777777</v>
      </c>
    </row>
    <row r="7888" spans="2:5">
      <c r="B7888" s="943">
        <v>45247</v>
      </c>
      <c r="C7888" s="195">
        <f t="shared" si="247"/>
        <v>11</v>
      </c>
      <c r="D7888" s="195">
        <v>51.1</v>
      </c>
      <c r="E7888" s="705">
        <f t="shared" si="248"/>
        <v>10.611111111111112</v>
      </c>
    </row>
    <row r="7889" spans="2:5">
      <c r="B7889" s="943">
        <v>45247</v>
      </c>
      <c r="C7889" s="195">
        <f t="shared" si="247"/>
        <v>11</v>
      </c>
      <c r="D7889" s="195">
        <v>51.3</v>
      </c>
      <c r="E7889" s="705">
        <f t="shared" si="248"/>
        <v>10.72222222222222</v>
      </c>
    </row>
    <row r="7890" spans="2:5">
      <c r="B7890" s="943">
        <v>45247</v>
      </c>
      <c r="C7890" s="195">
        <f t="shared" si="247"/>
        <v>11</v>
      </c>
      <c r="D7890" s="195">
        <v>51.3</v>
      </c>
      <c r="E7890" s="705">
        <f t="shared" si="248"/>
        <v>10.72222222222222</v>
      </c>
    </row>
    <row r="7891" spans="2:5">
      <c r="B7891" s="943">
        <v>45247</v>
      </c>
      <c r="C7891" s="195">
        <f t="shared" si="247"/>
        <v>11</v>
      </c>
      <c r="D7891" s="195">
        <v>51.1</v>
      </c>
      <c r="E7891" s="705">
        <f t="shared" si="248"/>
        <v>10.611111111111112</v>
      </c>
    </row>
    <row r="7892" spans="2:5">
      <c r="B7892" s="943">
        <v>45247</v>
      </c>
      <c r="C7892" s="195">
        <f t="shared" si="247"/>
        <v>11</v>
      </c>
      <c r="D7892" s="195">
        <v>50.5</v>
      </c>
      <c r="E7892" s="705">
        <f t="shared" si="248"/>
        <v>10.277777777777777</v>
      </c>
    </row>
    <row r="7893" spans="2:5">
      <c r="B7893" s="943">
        <v>45247</v>
      </c>
      <c r="C7893" s="195">
        <f t="shared" si="247"/>
        <v>11</v>
      </c>
      <c r="D7893" s="195">
        <v>49.5</v>
      </c>
      <c r="E7893" s="705">
        <f t="shared" si="248"/>
        <v>9.7222222222222214</v>
      </c>
    </row>
    <row r="7894" spans="2:5">
      <c r="B7894" s="943">
        <v>45247</v>
      </c>
      <c r="C7894" s="195">
        <f t="shared" si="247"/>
        <v>11</v>
      </c>
      <c r="D7894" s="195">
        <v>48.7</v>
      </c>
      <c r="E7894" s="705">
        <f t="shared" si="248"/>
        <v>9.2777777777777786</v>
      </c>
    </row>
    <row r="7895" spans="2:5">
      <c r="B7895" s="943">
        <v>45247</v>
      </c>
      <c r="C7895" s="195">
        <f t="shared" si="247"/>
        <v>11</v>
      </c>
      <c r="D7895" s="195">
        <v>48.4</v>
      </c>
      <c r="E7895" s="705">
        <f t="shared" si="248"/>
        <v>9.1111111111111107</v>
      </c>
    </row>
    <row r="7896" spans="2:5">
      <c r="B7896" s="943">
        <v>45247</v>
      </c>
      <c r="C7896" s="195">
        <f t="shared" si="247"/>
        <v>11</v>
      </c>
      <c r="D7896" s="195">
        <v>48.4</v>
      </c>
      <c r="E7896" s="705">
        <f t="shared" si="248"/>
        <v>9.1111111111111107</v>
      </c>
    </row>
    <row r="7897" spans="2:5">
      <c r="B7897" s="943">
        <v>45247</v>
      </c>
      <c r="C7897" s="195">
        <f t="shared" si="247"/>
        <v>11</v>
      </c>
      <c r="D7897" s="195">
        <v>49.1</v>
      </c>
      <c r="E7897" s="705">
        <f t="shared" si="248"/>
        <v>9.5</v>
      </c>
    </row>
    <row r="7898" spans="2:5">
      <c r="B7898" s="943">
        <v>45247</v>
      </c>
      <c r="C7898" s="195">
        <f t="shared" si="247"/>
        <v>11</v>
      </c>
      <c r="D7898" s="195">
        <v>50.2</v>
      </c>
      <c r="E7898" s="705">
        <f t="shared" si="248"/>
        <v>10.111111111111112</v>
      </c>
    </row>
    <row r="7899" spans="2:5">
      <c r="B7899" s="943">
        <v>45247</v>
      </c>
      <c r="C7899" s="195">
        <f t="shared" si="247"/>
        <v>11</v>
      </c>
      <c r="D7899" s="195">
        <v>50.9</v>
      </c>
      <c r="E7899" s="705">
        <f t="shared" si="248"/>
        <v>10.499999999999998</v>
      </c>
    </row>
    <row r="7900" spans="2:5">
      <c r="B7900" s="943">
        <v>45247</v>
      </c>
      <c r="C7900" s="195">
        <f t="shared" si="247"/>
        <v>11</v>
      </c>
      <c r="D7900" s="195">
        <v>51.4</v>
      </c>
      <c r="E7900" s="705">
        <f t="shared" si="248"/>
        <v>10.777777777777777</v>
      </c>
    </row>
    <row r="7901" spans="2:5">
      <c r="B7901" s="943">
        <v>45247</v>
      </c>
      <c r="C7901" s="195">
        <f t="shared" si="247"/>
        <v>11</v>
      </c>
      <c r="D7901" s="195">
        <v>51.6</v>
      </c>
      <c r="E7901" s="705">
        <f t="shared" si="248"/>
        <v>10.888888888888889</v>
      </c>
    </row>
    <row r="7902" spans="2:5">
      <c r="B7902" s="943">
        <v>45247</v>
      </c>
      <c r="C7902" s="195">
        <f t="shared" si="247"/>
        <v>11</v>
      </c>
      <c r="D7902" s="195">
        <v>51.6</v>
      </c>
      <c r="E7902" s="705">
        <f t="shared" si="248"/>
        <v>10.888888888888889</v>
      </c>
    </row>
    <row r="7903" spans="2:5">
      <c r="B7903" s="943">
        <v>45247</v>
      </c>
      <c r="C7903" s="195">
        <f t="shared" si="247"/>
        <v>11</v>
      </c>
      <c r="D7903" s="195">
        <v>51.4</v>
      </c>
      <c r="E7903" s="705">
        <f t="shared" si="248"/>
        <v>10.777777777777777</v>
      </c>
    </row>
    <row r="7904" spans="2:5">
      <c r="B7904" s="943">
        <v>45247</v>
      </c>
      <c r="C7904" s="195">
        <f t="shared" si="247"/>
        <v>11</v>
      </c>
      <c r="D7904" s="195">
        <v>51.1</v>
      </c>
      <c r="E7904" s="705">
        <f t="shared" si="248"/>
        <v>10.611111111111112</v>
      </c>
    </row>
    <row r="7905" spans="2:5">
      <c r="B7905" s="943">
        <v>45248</v>
      </c>
      <c r="C7905" s="195">
        <f t="shared" si="247"/>
        <v>11</v>
      </c>
      <c r="D7905" s="195">
        <v>50.2</v>
      </c>
      <c r="E7905" s="705">
        <f t="shared" si="248"/>
        <v>10.111111111111112</v>
      </c>
    </row>
    <row r="7906" spans="2:5">
      <c r="B7906" s="943">
        <v>45248</v>
      </c>
      <c r="C7906" s="195">
        <f t="shared" si="247"/>
        <v>11</v>
      </c>
      <c r="D7906" s="195">
        <v>49.6</v>
      </c>
      <c r="E7906" s="705">
        <f t="shared" si="248"/>
        <v>9.7777777777777786</v>
      </c>
    </row>
    <row r="7907" spans="2:5">
      <c r="B7907" s="943">
        <v>45248</v>
      </c>
      <c r="C7907" s="195">
        <f t="shared" si="247"/>
        <v>11</v>
      </c>
      <c r="D7907" s="195">
        <v>49.1</v>
      </c>
      <c r="E7907" s="705">
        <f t="shared" si="248"/>
        <v>9.5</v>
      </c>
    </row>
    <row r="7908" spans="2:5">
      <c r="B7908" s="943">
        <v>45248</v>
      </c>
      <c r="C7908" s="195">
        <f t="shared" si="247"/>
        <v>11</v>
      </c>
      <c r="D7908" s="195">
        <v>48.6</v>
      </c>
      <c r="E7908" s="705">
        <f t="shared" si="248"/>
        <v>9.2222222222222232</v>
      </c>
    </row>
    <row r="7909" spans="2:5">
      <c r="B7909" s="943">
        <v>45248</v>
      </c>
      <c r="C7909" s="195">
        <f t="shared" si="247"/>
        <v>11</v>
      </c>
      <c r="D7909" s="195">
        <v>48.6</v>
      </c>
      <c r="E7909" s="705">
        <f t="shared" si="248"/>
        <v>9.2222222222222232</v>
      </c>
    </row>
    <row r="7910" spans="2:5">
      <c r="B7910" s="943">
        <v>45248</v>
      </c>
      <c r="C7910" s="195">
        <f t="shared" si="247"/>
        <v>11</v>
      </c>
      <c r="D7910" s="195">
        <v>49.5</v>
      </c>
      <c r="E7910" s="705">
        <f t="shared" si="248"/>
        <v>9.7222222222222214</v>
      </c>
    </row>
    <row r="7911" spans="2:5">
      <c r="B7911" s="943">
        <v>45248</v>
      </c>
      <c r="C7911" s="195">
        <f t="shared" si="247"/>
        <v>11</v>
      </c>
      <c r="D7911" s="195" t="s">
        <v>1436</v>
      </c>
      <c r="E7911" s="705">
        <f t="shared" si="248"/>
        <v>10</v>
      </c>
    </row>
    <row r="7912" spans="2:5">
      <c r="B7912" s="943">
        <v>45248</v>
      </c>
      <c r="C7912" s="195">
        <f t="shared" si="247"/>
        <v>11</v>
      </c>
      <c r="D7912" s="195">
        <v>50.9</v>
      </c>
      <c r="E7912" s="705">
        <f t="shared" si="248"/>
        <v>10.499999999999998</v>
      </c>
    </row>
    <row r="7913" spans="2:5">
      <c r="B7913" s="943">
        <v>45248</v>
      </c>
      <c r="C7913" s="195">
        <f t="shared" si="247"/>
        <v>11</v>
      </c>
      <c r="D7913" s="195">
        <v>51.3</v>
      </c>
      <c r="E7913" s="705">
        <f t="shared" si="248"/>
        <v>10.72222222222222</v>
      </c>
    </row>
    <row r="7914" spans="2:5">
      <c r="B7914" s="943">
        <v>45248</v>
      </c>
      <c r="C7914" s="195">
        <f t="shared" si="247"/>
        <v>11</v>
      </c>
      <c r="D7914" s="195">
        <v>51.4</v>
      </c>
      <c r="E7914" s="705">
        <f t="shared" si="248"/>
        <v>10.777777777777777</v>
      </c>
    </row>
    <row r="7915" spans="2:5">
      <c r="B7915" s="943">
        <v>45248</v>
      </c>
      <c r="C7915" s="195">
        <f t="shared" si="247"/>
        <v>11</v>
      </c>
      <c r="D7915" s="195">
        <v>51.4</v>
      </c>
      <c r="E7915" s="705">
        <f t="shared" si="248"/>
        <v>10.777777777777777</v>
      </c>
    </row>
    <row r="7916" spans="2:5">
      <c r="B7916" s="943">
        <v>45248</v>
      </c>
      <c r="C7916" s="195">
        <f t="shared" si="247"/>
        <v>11</v>
      </c>
      <c r="D7916" s="195">
        <v>51.3</v>
      </c>
      <c r="E7916" s="705">
        <f t="shared" si="248"/>
        <v>10.72222222222222</v>
      </c>
    </row>
    <row r="7917" spans="2:5">
      <c r="B7917" s="943">
        <v>45248</v>
      </c>
      <c r="C7917" s="195">
        <f t="shared" si="247"/>
        <v>11</v>
      </c>
      <c r="D7917" s="195">
        <v>50.7</v>
      </c>
      <c r="E7917" s="705">
        <f t="shared" si="248"/>
        <v>10.388888888888891</v>
      </c>
    </row>
    <row r="7918" spans="2:5">
      <c r="B7918" s="943">
        <v>45248</v>
      </c>
      <c r="C7918" s="195">
        <f t="shared" si="247"/>
        <v>11</v>
      </c>
      <c r="D7918" s="195" t="s">
        <v>1436</v>
      </c>
      <c r="E7918" s="705">
        <f t="shared" si="248"/>
        <v>10</v>
      </c>
    </row>
    <row r="7919" spans="2:5">
      <c r="B7919" s="943">
        <v>45248</v>
      </c>
      <c r="C7919" s="195">
        <f t="shared" si="247"/>
        <v>11</v>
      </c>
      <c r="D7919" s="195">
        <v>49.5</v>
      </c>
      <c r="E7919" s="705">
        <f t="shared" si="248"/>
        <v>9.7222222222222214</v>
      </c>
    </row>
    <row r="7920" spans="2:5">
      <c r="B7920" s="943">
        <v>45248</v>
      </c>
      <c r="C7920" s="195">
        <f t="shared" si="247"/>
        <v>11</v>
      </c>
      <c r="D7920" s="195">
        <v>49.3</v>
      </c>
      <c r="E7920" s="705">
        <f t="shared" si="248"/>
        <v>9.6111111111111089</v>
      </c>
    </row>
    <row r="7921" spans="2:5">
      <c r="B7921" s="943">
        <v>45248</v>
      </c>
      <c r="C7921" s="195">
        <f t="shared" si="247"/>
        <v>11</v>
      </c>
      <c r="D7921" s="195">
        <v>49.3</v>
      </c>
      <c r="E7921" s="705">
        <f t="shared" si="248"/>
        <v>9.6111111111111089</v>
      </c>
    </row>
    <row r="7922" spans="2:5">
      <c r="B7922" s="943">
        <v>45248</v>
      </c>
      <c r="C7922" s="195">
        <f t="shared" si="247"/>
        <v>11</v>
      </c>
      <c r="D7922" s="195">
        <v>50.2</v>
      </c>
      <c r="E7922" s="705">
        <f t="shared" si="248"/>
        <v>10.111111111111112</v>
      </c>
    </row>
    <row r="7923" spans="2:5">
      <c r="B7923" s="943">
        <v>45248</v>
      </c>
      <c r="C7923" s="195">
        <f t="shared" si="247"/>
        <v>11</v>
      </c>
      <c r="D7923" s="195">
        <v>50.5</v>
      </c>
      <c r="E7923" s="705">
        <f t="shared" si="248"/>
        <v>10.277777777777777</v>
      </c>
    </row>
    <row r="7924" spans="2:5">
      <c r="B7924" s="943">
        <v>45248</v>
      </c>
      <c r="C7924" s="195">
        <f t="shared" si="247"/>
        <v>11</v>
      </c>
      <c r="D7924" s="195">
        <v>51.3</v>
      </c>
      <c r="E7924" s="705">
        <f t="shared" si="248"/>
        <v>10.72222222222222</v>
      </c>
    </row>
    <row r="7925" spans="2:5">
      <c r="B7925" s="943">
        <v>45248</v>
      </c>
      <c r="C7925" s="195">
        <f t="shared" si="247"/>
        <v>11</v>
      </c>
      <c r="D7925" s="195">
        <v>51.6</v>
      </c>
      <c r="E7925" s="705">
        <f t="shared" si="248"/>
        <v>10.888888888888889</v>
      </c>
    </row>
    <row r="7926" spans="2:5">
      <c r="B7926" s="943">
        <v>45248</v>
      </c>
      <c r="C7926" s="195">
        <f t="shared" si="247"/>
        <v>11</v>
      </c>
      <c r="D7926" s="195">
        <v>51.8</v>
      </c>
      <c r="E7926" s="705">
        <f t="shared" si="248"/>
        <v>10.999999999999998</v>
      </c>
    </row>
    <row r="7927" spans="2:5">
      <c r="B7927" s="943">
        <v>45248</v>
      </c>
      <c r="C7927" s="195">
        <f t="shared" si="247"/>
        <v>11</v>
      </c>
      <c r="D7927" s="195">
        <v>51.6</v>
      </c>
      <c r="E7927" s="705">
        <f t="shared" si="248"/>
        <v>10.888888888888889</v>
      </c>
    </row>
    <row r="7928" spans="2:5">
      <c r="B7928" s="943">
        <v>45248</v>
      </c>
      <c r="C7928" s="195">
        <f t="shared" si="247"/>
        <v>11</v>
      </c>
      <c r="D7928" s="195">
        <v>51.4</v>
      </c>
      <c r="E7928" s="705">
        <f t="shared" si="248"/>
        <v>10.777777777777777</v>
      </c>
    </row>
    <row r="7929" spans="2:5">
      <c r="B7929" s="943">
        <v>45249</v>
      </c>
      <c r="C7929" s="195">
        <f t="shared" si="247"/>
        <v>11</v>
      </c>
      <c r="D7929" s="195">
        <v>51.1</v>
      </c>
      <c r="E7929" s="705">
        <f t="shared" si="248"/>
        <v>10.611111111111112</v>
      </c>
    </row>
    <row r="7930" spans="2:5">
      <c r="B7930" s="943">
        <v>45249</v>
      </c>
      <c r="C7930" s="195">
        <f t="shared" si="247"/>
        <v>11</v>
      </c>
      <c r="D7930" s="195">
        <v>50.2</v>
      </c>
      <c r="E7930" s="705">
        <f t="shared" si="248"/>
        <v>10.111111111111112</v>
      </c>
    </row>
    <row r="7931" spans="2:5">
      <c r="B7931" s="943">
        <v>45249</v>
      </c>
      <c r="C7931" s="195">
        <f t="shared" si="247"/>
        <v>11</v>
      </c>
      <c r="D7931" s="195">
        <v>49.6</v>
      </c>
      <c r="E7931" s="705">
        <f t="shared" si="248"/>
        <v>9.7777777777777786</v>
      </c>
    </row>
    <row r="7932" spans="2:5">
      <c r="B7932" s="943">
        <v>45249</v>
      </c>
      <c r="C7932" s="195">
        <f t="shared" si="247"/>
        <v>11</v>
      </c>
      <c r="D7932" s="195">
        <v>49.3</v>
      </c>
      <c r="E7932" s="705">
        <f t="shared" si="248"/>
        <v>9.6111111111111089</v>
      </c>
    </row>
    <row r="7933" spans="2:5">
      <c r="B7933" s="943">
        <v>45249</v>
      </c>
      <c r="C7933" s="195">
        <f t="shared" si="247"/>
        <v>11</v>
      </c>
      <c r="D7933" s="195">
        <v>48.7</v>
      </c>
      <c r="E7933" s="705">
        <f t="shared" si="248"/>
        <v>9.2777777777777786</v>
      </c>
    </row>
    <row r="7934" spans="2:5">
      <c r="B7934" s="943">
        <v>45249</v>
      </c>
      <c r="C7934" s="195">
        <f t="shared" si="247"/>
        <v>11</v>
      </c>
      <c r="D7934" s="195">
        <v>48.6</v>
      </c>
      <c r="E7934" s="705">
        <f t="shared" si="248"/>
        <v>9.2222222222222232</v>
      </c>
    </row>
    <row r="7935" spans="2:5">
      <c r="B7935" s="943">
        <v>45249</v>
      </c>
      <c r="C7935" s="195">
        <f t="shared" si="247"/>
        <v>11</v>
      </c>
      <c r="D7935" s="195">
        <v>49.5</v>
      </c>
      <c r="E7935" s="705">
        <f t="shared" si="248"/>
        <v>9.7222222222222214</v>
      </c>
    </row>
    <row r="7936" spans="2:5">
      <c r="B7936" s="943">
        <v>45249</v>
      </c>
      <c r="C7936" s="195">
        <f t="shared" si="247"/>
        <v>11</v>
      </c>
      <c r="D7936" s="195" t="s">
        <v>1436</v>
      </c>
      <c r="E7936" s="705">
        <f t="shared" si="248"/>
        <v>10</v>
      </c>
    </row>
    <row r="7937" spans="2:5">
      <c r="B7937" s="943">
        <v>45249</v>
      </c>
      <c r="C7937" s="195">
        <f t="shared" si="247"/>
        <v>11</v>
      </c>
      <c r="D7937" s="195">
        <v>50.9</v>
      </c>
      <c r="E7937" s="705">
        <f t="shared" si="248"/>
        <v>10.499999999999998</v>
      </c>
    </row>
    <row r="7938" spans="2:5">
      <c r="B7938" s="943">
        <v>45249</v>
      </c>
      <c r="C7938" s="195">
        <f t="shared" si="247"/>
        <v>11</v>
      </c>
      <c r="D7938" s="195">
        <v>50.9</v>
      </c>
      <c r="E7938" s="705">
        <f t="shared" si="248"/>
        <v>10.499999999999998</v>
      </c>
    </row>
    <row r="7939" spans="2:5">
      <c r="B7939" s="943">
        <v>45249</v>
      </c>
      <c r="C7939" s="195">
        <f t="shared" si="247"/>
        <v>11</v>
      </c>
      <c r="D7939" s="195">
        <v>51.1</v>
      </c>
      <c r="E7939" s="705">
        <f t="shared" si="248"/>
        <v>10.611111111111112</v>
      </c>
    </row>
    <row r="7940" spans="2:5">
      <c r="B7940" s="943">
        <v>45249</v>
      </c>
      <c r="C7940" s="195">
        <f t="shared" si="247"/>
        <v>11</v>
      </c>
      <c r="D7940" s="195">
        <v>50.9</v>
      </c>
      <c r="E7940" s="705">
        <f t="shared" si="248"/>
        <v>10.499999999999998</v>
      </c>
    </row>
    <row r="7941" spans="2:5">
      <c r="B7941" s="943">
        <v>45249</v>
      </c>
      <c r="C7941" s="195">
        <f t="shared" si="247"/>
        <v>11</v>
      </c>
      <c r="D7941" s="195">
        <v>50.7</v>
      </c>
      <c r="E7941" s="705">
        <f t="shared" si="248"/>
        <v>10.388888888888891</v>
      </c>
    </row>
    <row r="7942" spans="2:5">
      <c r="B7942" s="943">
        <v>45249</v>
      </c>
      <c r="C7942" s="195">
        <f t="shared" si="247"/>
        <v>11</v>
      </c>
      <c r="D7942" s="195">
        <v>50.2</v>
      </c>
      <c r="E7942" s="705">
        <f t="shared" si="248"/>
        <v>10.111111111111112</v>
      </c>
    </row>
    <row r="7943" spans="2:5">
      <c r="B7943" s="943">
        <v>45249</v>
      </c>
      <c r="C7943" s="195">
        <f t="shared" si="247"/>
        <v>11</v>
      </c>
      <c r="D7943" s="195">
        <v>49.5</v>
      </c>
      <c r="E7943" s="705">
        <f t="shared" si="248"/>
        <v>9.7222222222222214</v>
      </c>
    </row>
    <row r="7944" spans="2:5">
      <c r="B7944" s="943">
        <v>45249</v>
      </c>
      <c r="C7944" s="195">
        <f t="shared" si="247"/>
        <v>11</v>
      </c>
      <c r="D7944" s="195">
        <v>49.1</v>
      </c>
      <c r="E7944" s="705">
        <f t="shared" si="248"/>
        <v>9.5</v>
      </c>
    </row>
    <row r="7945" spans="2:5">
      <c r="B7945" s="943">
        <v>45249</v>
      </c>
      <c r="C7945" s="195">
        <f t="shared" si="247"/>
        <v>11</v>
      </c>
      <c r="D7945" s="195">
        <v>48.7</v>
      </c>
      <c r="E7945" s="705">
        <f t="shared" si="248"/>
        <v>9.2777777777777786</v>
      </c>
    </row>
    <row r="7946" spans="2:5">
      <c r="B7946" s="943">
        <v>45249</v>
      </c>
      <c r="C7946" s="195">
        <f t="shared" ref="C7946:C8009" si="249">MONTH(B7946)</f>
        <v>11</v>
      </c>
      <c r="D7946" s="195">
        <v>48.7</v>
      </c>
      <c r="E7946" s="705">
        <f t="shared" ref="E7946:E8009" si="250">CONVERT(D7946,"F","C")</f>
        <v>9.2777777777777786</v>
      </c>
    </row>
    <row r="7947" spans="2:5">
      <c r="B7947" s="943">
        <v>45249</v>
      </c>
      <c r="C7947" s="195">
        <f t="shared" si="249"/>
        <v>11</v>
      </c>
      <c r="D7947" s="195">
        <v>49.5</v>
      </c>
      <c r="E7947" s="705">
        <f t="shared" si="250"/>
        <v>9.7222222222222214</v>
      </c>
    </row>
    <row r="7948" spans="2:5">
      <c r="B7948" s="943">
        <v>45249</v>
      </c>
      <c r="C7948" s="195">
        <f t="shared" si="249"/>
        <v>11</v>
      </c>
      <c r="D7948" s="195" t="s">
        <v>1436</v>
      </c>
      <c r="E7948" s="705">
        <f t="shared" si="250"/>
        <v>10</v>
      </c>
    </row>
    <row r="7949" spans="2:5">
      <c r="B7949" s="943">
        <v>45249</v>
      </c>
      <c r="C7949" s="195">
        <f t="shared" si="249"/>
        <v>11</v>
      </c>
      <c r="D7949" s="195">
        <v>50.5</v>
      </c>
      <c r="E7949" s="705">
        <f t="shared" si="250"/>
        <v>10.277777777777777</v>
      </c>
    </row>
    <row r="7950" spans="2:5">
      <c r="B7950" s="943">
        <v>45249</v>
      </c>
      <c r="C7950" s="195">
        <f t="shared" si="249"/>
        <v>11</v>
      </c>
      <c r="D7950" s="195">
        <v>50.9</v>
      </c>
      <c r="E7950" s="705">
        <f t="shared" si="250"/>
        <v>10.499999999999998</v>
      </c>
    </row>
    <row r="7951" spans="2:5">
      <c r="B7951" s="943">
        <v>45249</v>
      </c>
      <c r="C7951" s="195">
        <f t="shared" si="249"/>
        <v>11</v>
      </c>
      <c r="D7951" s="195">
        <v>51.1</v>
      </c>
      <c r="E7951" s="705">
        <f t="shared" si="250"/>
        <v>10.611111111111112</v>
      </c>
    </row>
    <row r="7952" spans="2:5">
      <c r="B7952" s="943">
        <v>45249</v>
      </c>
      <c r="C7952" s="195">
        <f t="shared" si="249"/>
        <v>11</v>
      </c>
      <c r="D7952" s="195">
        <v>51.1</v>
      </c>
      <c r="E7952" s="705">
        <f t="shared" si="250"/>
        <v>10.611111111111112</v>
      </c>
    </row>
    <row r="7953" spans="2:5">
      <c r="B7953" s="943">
        <v>45250</v>
      </c>
      <c r="C7953" s="195">
        <f t="shared" si="249"/>
        <v>11</v>
      </c>
      <c r="D7953" s="195">
        <v>50.9</v>
      </c>
      <c r="E7953" s="705">
        <f t="shared" si="250"/>
        <v>10.499999999999998</v>
      </c>
    </row>
    <row r="7954" spans="2:5">
      <c r="B7954" s="943">
        <v>45250</v>
      </c>
      <c r="C7954" s="195">
        <f t="shared" si="249"/>
        <v>11</v>
      </c>
      <c r="D7954" s="195">
        <v>50.4</v>
      </c>
      <c r="E7954" s="705">
        <f t="shared" si="250"/>
        <v>10.222222222222221</v>
      </c>
    </row>
    <row r="7955" spans="2:5">
      <c r="B7955" s="943">
        <v>45250</v>
      </c>
      <c r="C7955" s="195">
        <f t="shared" si="249"/>
        <v>11</v>
      </c>
      <c r="D7955" s="195">
        <v>49.6</v>
      </c>
      <c r="E7955" s="705">
        <f t="shared" si="250"/>
        <v>9.7777777777777786</v>
      </c>
    </row>
    <row r="7956" spans="2:5">
      <c r="B7956" s="943">
        <v>45250</v>
      </c>
      <c r="C7956" s="195">
        <f t="shared" si="249"/>
        <v>11</v>
      </c>
      <c r="D7956" s="195">
        <v>49.1</v>
      </c>
      <c r="E7956" s="705">
        <f t="shared" si="250"/>
        <v>9.5</v>
      </c>
    </row>
    <row r="7957" spans="2:5">
      <c r="B7957" s="943">
        <v>45250</v>
      </c>
      <c r="C7957" s="195">
        <f t="shared" si="249"/>
        <v>11</v>
      </c>
      <c r="D7957" s="195">
        <v>48.6</v>
      </c>
      <c r="E7957" s="705">
        <f t="shared" si="250"/>
        <v>9.2222222222222232</v>
      </c>
    </row>
    <row r="7958" spans="2:5">
      <c r="B7958" s="943">
        <v>45250</v>
      </c>
      <c r="C7958" s="195">
        <f t="shared" si="249"/>
        <v>11</v>
      </c>
      <c r="D7958" s="195">
        <v>48.2</v>
      </c>
      <c r="E7958" s="705">
        <f t="shared" si="250"/>
        <v>9.0000000000000018</v>
      </c>
    </row>
    <row r="7959" spans="2:5">
      <c r="B7959" s="943">
        <v>45250</v>
      </c>
      <c r="C7959" s="195">
        <f t="shared" si="249"/>
        <v>11</v>
      </c>
      <c r="D7959" s="195">
        <v>48.2</v>
      </c>
      <c r="E7959" s="705">
        <f t="shared" si="250"/>
        <v>9.0000000000000018</v>
      </c>
    </row>
    <row r="7960" spans="2:5">
      <c r="B7960" s="943">
        <v>45250</v>
      </c>
      <c r="C7960" s="195">
        <f t="shared" si="249"/>
        <v>11</v>
      </c>
      <c r="D7960" s="195">
        <v>49.1</v>
      </c>
      <c r="E7960" s="705">
        <f t="shared" si="250"/>
        <v>9.5</v>
      </c>
    </row>
    <row r="7961" spans="2:5">
      <c r="B7961" s="943">
        <v>45250</v>
      </c>
      <c r="C7961" s="195">
        <f t="shared" si="249"/>
        <v>11</v>
      </c>
      <c r="D7961" s="195">
        <v>49.6</v>
      </c>
      <c r="E7961" s="705">
        <f t="shared" si="250"/>
        <v>9.7777777777777786</v>
      </c>
    </row>
    <row r="7962" spans="2:5">
      <c r="B7962" s="943">
        <v>45250</v>
      </c>
      <c r="C7962" s="195">
        <f t="shared" si="249"/>
        <v>11</v>
      </c>
      <c r="D7962" s="195">
        <v>50.4</v>
      </c>
      <c r="E7962" s="705">
        <f t="shared" si="250"/>
        <v>10.222222222222221</v>
      </c>
    </row>
    <row r="7963" spans="2:5">
      <c r="B7963" s="943">
        <v>45250</v>
      </c>
      <c r="C7963" s="195">
        <f t="shared" si="249"/>
        <v>11</v>
      </c>
      <c r="D7963" s="195">
        <v>50.7</v>
      </c>
      <c r="E7963" s="705">
        <f t="shared" si="250"/>
        <v>10.388888888888891</v>
      </c>
    </row>
    <row r="7964" spans="2:5">
      <c r="B7964" s="943">
        <v>45250</v>
      </c>
      <c r="C7964" s="195">
        <f t="shared" si="249"/>
        <v>11</v>
      </c>
      <c r="D7964" s="195">
        <v>50.9</v>
      </c>
      <c r="E7964" s="705">
        <f t="shared" si="250"/>
        <v>10.499999999999998</v>
      </c>
    </row>
    <row r="7965" spans="2:5">
      <c r="B7965" s="943">
        <v>45250</v>
      </c>
      <c r="C7965" s="195">
        <f t="shared" si="249"/>
        <v>11</v>
      </c>
      <c r="D7965" s="195">
        <v>50.7</v>
      </c>
      <c r="E7965" s="705">
        <f t="shared" si="250"/>
        <v>10.388888888888891</v>
      </c>
    </row>
    <row r="7966" spans="2:5">
      <c r="B7966" s="943">
        <v>45250</v>
      </c>
      <c r="C7966" s="195">
        <f t="shared" si="249"/>
        <v>11</v>
      </c>
      <c r="D7966" s="195">
        <v>50.4</v>
      </c>
      <c r="E7966" s="705">
        <f t="shared" si="250"/>
        <v>10.222222222222221</v>
      </c>
    </row>
    <row r="7967" spans="2:5">
      <c r="B7967" s="943">
        <v>45250</v>
      </c>
      <c r="C7967" s="195">
        <f t="shared" si="249"/>
        <v>11</v>
      </c>
      <c r="D7967" s="195">
        <v>49.8</v>
      </c>
      <c r="E7967" s="705">
        <f t="shared" si="250"/>
        <v>9.8888888888888875</v>
      </c>
    </row>
    <row r="7968" spans="2:5">
      <c r="B7968" s="943">
        <v>45250</v>
      </c>
      <c r="C7968" s="195">
        <f t="shared" si="249"/>
        <v>11</v>
      </c>
      <c r="D7968" s="195">
        <v>48.9</v>
      </c>
      <c r="E7968" s="705">
        <f t="shared" si="250"/>
        <v>9.3888888888888875</v>
      </c>
    </row>
    <row r="7969" spans="2:5">
      <c r="B7969" s="943">
        <v>45250</v>
      </c>
      <c r="C7969" s="195">
        <f t="shared" si="249"/>
        <v>11</v>
      </c>
      <c r="D7969" s="195">
        <v>48.4</v>
      </c>
      <c r="E7969" s="705">
        <f t="shared" si="250"/>
        <v>9.1111111111111107</v>
      </c>
    </row>
    <row r="7970" spans="2:5">
      <c r="B7970" s="943">
        <v>45250</v>
      </c>
      <c r="C7970" s="195">
        <f t="shared" si="249"/>
        <v>11</v>
      </c>
      <c r="D7970" s="195" t="s">
        <v>1435</v>
      </c>
      <c r="E7970" s="705">
        <f t="shared" si="250"/>
        <v>8.8888888888888893</v>
      </c>
    </row>
    <row r="7971" spans="2:5">
      <c r="B7971" s="943">
        <v>45250</v>
      </c>
      <c r="C7971" s="195">
        <f t="shared" si="249"/>
        <v>11</v>
      </c>
      <c r="D7971" s="195" t="s">
        <v>1435</v>
      </c>
      <c r="E7971" s="705">
        <f t="shared" si="250"/>
        <v>8.8888888888888893</v>
      </c>
    </row>
    <row r="7972" spans="2:5">
      <c r="B7972" s="943">
        <v>45250</v>
      </c>
      <c r="C7972" s="195">
        <f t="shared" si="249"/>
        <v>11</v>
      </c>
      <c r="D7972" s="195">
        <v>48.7</v>
      </c>
      <c r="E7972" s="705">
        <f t="shared" si="250"/>
        <v>9.2777777777777786</v>
      </c>
    </row>
    <row r="7973" spans="2:5">
      <c r="B7973" s="943">
        <v>45250</v>
      </c>
      <c r="C7973" s="195">
        <f t="shared" si="249"/>
        <v>11</v>
      </c>
      <c r="D7973" s="195">
        <v>49.3</v>
      </c>
      <c r="E7973" s="705">
        <f t="shared" si="250"/>
        <v>9.6111111111111089</v>
      </c>
    </row>
    <row r="7974" spans="2:5">
      <c r="B7974" s="943">
        <v>45250</v>
      </c>
      <c r="C7974" s="195">
        <f t="shared" si="249"/>
        <v>11</v>
      </c>
      <c r="D7974" s="195">
        <v>50.2</v>
      </c>
      <c r="E7974" s="705">
        <f t="shared" si="250"/>
        <v>10.111111111111112</v>
      </c>
    </row>
    <row r="7975" spans="2:5">
      <c r="B7975" s="943">
        <v>45250</v>
      </c>
      <c r="C7975" s="195">
        <f t="shared" si="249"/>
        <v>11</v>
      </c>
      <c r="D7975" s="195">
        <v>50.5</v>
      </c>
      <c r="E7975" s="705">
        <f t="shared" si="250"/>
        <v>10.277777777777777</v>
      </c>
    </row>
    <row r="7976" spans="2:5">
      <c r="B7976" s="943">
        <v>45250</v>
      </c>
      <c r="C7976" s="195">
        <f t="shared" si="249"/>
        <v>11</v>
      </c>
      <c r="D7976" s="195">
        <v>50.7</v>
      </c>
      <c r="E7976" s="705">
        <f t="shared" si="250"/>
        <v>10.388888888888891</v>
      </c>
    </row>
    <row r="7977" spans="2:5">
      <c r="B7977" s="943">
        <v>45251</v>
      </c>
      <c r="C7977" s="195">
        <f t="shared" si="249"/>
        <v>11</v>
      </c>
      <c r="D7977" s="195">
        <v>50.7</v>
      </c>
      <c r="E7977" s="705">
        <f t="shared" si="250"/>
        <v>10.388888888888891</v>
      </c>
    </row>
    <row r="7978" spans="2:5">
      <c r="B7978" s="943">
        <v>45251</v>
      </c>
      <c r="C7978" s="195">
        <f t="shared" si="249"/>
        <v>11</v>
      </c>
      <c r="D7978" s="195">
        <v>50.5</v>
      </c>
      <c r="E7978" s="705">
        <f t="shared" si="250"/>
        <v>10.277777777777777</v>
      </c>
    </row>
    <row r="7979" spans="2:5">
      <c r="B7979" s="943">
        <v>45251</v>
      </c>
      <c r="C7979" s="195">
        <f t="shared" si="249"/>
        <v>11</v>
      </c>
      <c r="D7979" s="195">
        <v>49.8</v>
      </c>
      <c r="E7979" s="705">
        <f t="shared" si="250"/>
        <v>9.8888888888888875</v>
      </c>
    </row>
    <row r="7980" spans="2:5">
      <c r="B7980" s="943">
        <v>45251</v>
      </c>
      <c r="C7980" s="195">
        <f t="shared" si="249"/>
        <v>11</v>
      </c>
      <c r="D7980" s="195">
        <v>48.7</v>
      </c>
      <c r="E7980" s="705">
        <f t="shared" si="250"/>
        <v>9.2777777777777786</v>
      </c>
    </row>
    <row r="7981" spans="2:5">
      <c r="B7981" s="943">
        <v>45251</v>
      </c>
      <c r="C7981" s="195">
        <f t="shared" si="249"/>
        <v>11</v>
      </c>
      <c r="D7981" s="195">
        <v>48.2</v>
      </c>
      <c r="E7981" s="705">
        <f t="shared" si="250"/>
        <v>9.0000000000000018</v>
      </c>
    </row>
    <row r="7982" spans="2:5">
      <c r="B7982" s="943">
        <v>45251</v>
      </c>
      <c r="C7982" s="195">
        <f t="shared" si="249"/>
        <v>11</v>
      </c>
      <c r="D7982" s="195">
        <v>47.7</v>
      </c>
      <c r="E7982" s="705">
        <f t="shared" si="250"/>
        <v>8.7222222222222232</v>
      </c>
    </row>
    <row r="7983" spans="2:5">
      <c r="B7983" s="943">
        <v>45251</v>
      </c>
      <c r="C7983" s="195">
        <f t="shared" si="249"/>
        <v>11</v>
      </c>
      <c r="D7983" s="195">
        <v>47.3</v>
      </c>
      <c r="E7983" s="705">
        <f t="shared" si="250"/>
        <v>8.4999999999999982</v>
      </c>
    </row>
    <row r="7984" spans="2:5">
      <c r="B7984" s="943">
        <v>45251</v>
      </c>
      <c r="C7984" s="195">
        <f t="shared" si="249"/>
        <v>11</v>
      </c>
      <c r="D7984" s="195">
        <v>47.3</v>
      </c>
      <c r="E7984" s="705">
        <f t="shared" si="250"/>
        <v>8.4999999999999982</v>
      </c>
    </row>
    <row r="7985" spans="2:5">
      <c r="B7985" s="943">
        <v>45251</v>
      </c>
      <c r="C7985" s="195">
        <f t="shared" si="249"/>
        <v>11</v>
      </c>
      <c r="D7985" s="195">
        <v>48.4</v>
      </c>
      <c r="E7985" s="705">
        <f t="shared" si="250"/>
        <v>9.1111111111111107</v>
      </c>
    </row>
    <row r="7986" spans="2:5">
      <c r="B7986" s="943">
        <v>45251</v>
      </c>
      <c r="C7986" s="195">
        <f t="shared" si="249"/>
        <v>11</v>
      </c>
      <c r="D7986" s="195">
        <v>49.1</v>
      </c>
      <c r="E7986" s="705">
        <f t="shared" si="250"/>
        <v>9.5</v>
      </c>
    </row>
    <row r="7987" spans="2:5">
      <c r="B7987" s="943">
        <v>45251</v>
      </c>
      <c r="C7987" s="195">
        <f t="shared" si="249"/>
        <v>11</v>
      </c>
      <c r="D7987" s="195" t="s">
        <v>1436</v>
      </c>
      <c r="E7987" s="705">
        <f t="shared" si="250"/>
        <v>10</v>
      </c>
    </row>
    <row r="7988" spans="2:5">
      <c r="B7988" s="943">
        <v>45251</v>
      </c>
      <c r="C7988" s="195">
        <f t="shared" si="249"/>
        <v>11</v>
      </c>
      <c r="D7988" s="195">
        <v>50.2</v>
      </c>
      <c r="E7988" s="705">
        <f t="shared" si="250"/>
        <v>10.111111111111112</v>
      </c>
    </row>
    <row r="7989" spans="2:5">
      <c r="B7989" s="943">
        <v>45251</v>
      </c>
      <c r="C7989" s="195">
        <f t="shared" si="249"/>
        <v>11</v>
      </c>
      <c r="D7989" s="195">
        <v>50.4</v>
      </c>
      <c r="E7989" s="705">
        <f t="shared" si="250"/>
        <v>10.222222222222221</v>
      </c>
    </row>
    <row r="7990" spans="2:5">
      <c r="B7990" s="943">
        <v>45251</v>
      </c>
      <c r="C7990" s="195">
        <f t="shared" si="249"/>
        <v>11</v>
      </c>
      <c r="D7990" s="195">
        <v>50.4</v>
      </c>
      <c r="E7990" s="705">
        <f t="shared" si="250"/>
        <v>10.222222222222221</v>
      </c>
    </row>
    <row r="7991" spans="2:5">
      <c r="B7991" s="943">
        <v>45251</v>
      </c>
      <c r="C7991" s="195">
        <f t="shared" si="249"/>
        <v>11</v>
      </c>
      <c r="D7991" s="195" t="s">
        <v>1436</v>
      </c>
      <c r="E7991" s="705">
        <f t="shared" si="250"/>
        <v>10</v>
      </c>
    </row>
    <row r="7992" spans="2:5">
      <c r="B7992" s="943">
        <v>45251</v>
      </c>
      <c r="C7992" s="195">
        <f t="shared" si="249"/>
        <v>11</v>
      </c>
      <c r="D7992" s="195">
        <v>49.5</v>
      </c>
      <c r="E7992" s="705">
        <f t="shared" si="250"/>
        <v>9.7222222222222214</v>
      </c>
    </row>
    <row r="7993" spans="2:5">
      <c r="B7993" s="943">
        <v>45251</v>
      </c>
      <c r="C7993" s="195">
        <f t="shared" si="249"/>
        <v>11</v>
      </c>
      <c r="D7993" s="195">
        <v>48.4</v>
      </c>
      <c r="E7993" s="705">
        <f t="shared" si="250"/>
        <v>9.1111111111111107</v>
      </c>
    </row>
    <row r="7994" spans="2:5">
      <c r="B7994" s="943">
        <v>45251</v>
      </c>
      <c r="C7994" s="195">
        <f t="shared" si="249"/>
        <v>11</v>
      </c>
      <c r="D7994" s="195">
        <v>47.8</v>
      </c>
      <c r="E7994" s="705">
        <f t="shared" si="250"/>
        <v>8.7777777777777768</v>
      </c>
    </row>
    <row r="7995" spans="2:5">
      <c r="B7995" s="943">
        <v>45251</v>
      </c>
      <c r="C7995" s="195">
        <f t="shared" si="249"/>
        <v>11</v>
      </c>
      <c r="D7995" s="195">
        <v>47.5</v>
      </c>
      <c r="E7995" s="705">
        <f t="shared" si="250"/>
        <v>8.6111111111111107</v>
      </c>
    </row>
    <row r="7996" spans="2:5">
      <c r="B7996" s="943">
        <v>45251</v>
      </c>
      <c r="C7996" s="195">
        <f t="shared" si="249"/>
        <v>11</v>
      </c>
      <c r="D7996" s="195">
        <v>47.3</v>
      </c>
      <c r="E7996" s="705">
        <f t="shared" si="250"/>
        <v>8.4999999999999982</v>
      </c>
    </row>
    <row r="7997" spans="2:5">
      <c r="B7997" s="943">
        <v>45251</v>
      </c>
      <c r="C7997" s="195">
        <f t="shared" si="249"/>
        <v>11</v>
      </c>
      <c r="D7997" s="195">
        <v>47.7</v>
      </c>
      <c r="E7997" s="705">
        <f t="shared" si="250"/>
        <v>8.7222222222222232</v>
      </c>
    </row>
    <row r="7998" spans="2:5">
      <c r="B7998" s="943">
        <v>45251</v>
      </c>
      <c r="C7998" s="195">
        <f t="shared" si="249"/>
        <v>11</v>
      </c>
      <c r="D7998" s="195">
        <v>48.6</v>
      </c>
      <c r="E7998" s="705">
        <f t="shared" si="250"/>
        <v>9.2222222222222232</v>
      </c>
    </row>
    <row r="7999" spans="2:5">
      <c r="B7999" s="943">
        <v>45251</v>
      </c>
      <c r="C7999" s="195">
        <f t="shared" si="249"/>
        <v>11</v>
      </c>
      <c r="D7999" s="195">
        <v>49.8</v>
      </c>
      <c r="E7999" s="705">
        <f t="shared" si="250"/>
        <v>9.8888888888888875</v>
      </c>
    </row>
    <row r="8000" spans="2:5">
      <c r="B8000" s="943">
        <v>45251</v>
      </c>
      <c r="C8000" s="195">
        <f t="shared" si="249"/>
        <v>11</v>
      </c>
      <c r="D8000" s="195">
        <v>50.2</v>
      </c>
      <c r="E8000" s="705">
        <f t="shared" si="250"/>
        <v>10.111111111111112</v>
      </c>
    </row>
    <row r="8001" spans="2:5">
      <c r="B8001" s="943">
        <v>45252</v>
      </c>
      <c r="C8001" s="195">
        <f t="shared" si="249"/>
        <v>11</v>
      </c>
      <c r="D8001" s="195">
        <v>50.4</v>
      </c>
      <c r="E8001" s="705">
        <f t="shared" si="250"/>
        <v>10.222222222222221</v>
      </c>
    </row>
    <row r="8002" spans="2:5">
      <c r="B8002" s="943">
        <v>45252</v>
      </c>
      <c r="C8002" s="195">
        <f t="shared" si="249"/>
        <v>11</v>
      </c>
      <c r="D8002" s="195">
        <v>50.4</v>
      </c>
      <c r="E8002" s="705">
        <f t="shared" si="250"/>
        <v>10.222222222222221</v>
      </c>
    </row>
    <row r="8003" spans="2:5">
      <c r="B8003" s="943">
        <v>45252</v>
      </c>
      <c r="C8003" s="195">
        <f t="shared" si="249"/>
        <v>11</v>
      </c>
      <c r="D8003" s="195">
        <v>50.2</v>
      </c>
      <c r="E8003" s="705">
        <f t="shared" si="250"/>
        <v>10.111111111111112</v>
      </c>
    </row>
    <row r="8004" spans="2:5">
      <c r="B8004" s="943">
        <v>45252</v>
      </c>
      <c r="C8004" s="195">
        <f t="shared" si="249"/>
        <v>11</v>
      </c>
      <c r="D8004" s="195">
        <v>49.6</v>
      </c>
      <c r="E8004" s="705">
        <f t="shared" si="250"/>
        <v>9.7777777777777786</v>
      </c>
    </row>
    <row r="8005" spans="2:5">
      <c r="B8005" s="943">
        <v>45252</v>
      </c>
      <c r="C8005" s="195">
        <f t="shared" si="249"/>
        <v>11</v>
      </c>
      <c r="D8005" s="195">
        <v>48.7</v>
      </c>
      <c r="E8005" s="705">
        <f t="shared" si="250"/>
        <v>9.2777777777777786</v>
      </c>
    </row>
    <row r="8006" spans="2:5">
      <c r="B8006" s="943">
        <v>45252</v>
      </c>
      <c r="C8006" s="195">
        <f t="shared" si="249"/>
        <v>11</v>
      </c>
      <c r="D8006" s="195">
        <v>47.8</v>
      </c>
      <c r="E8006" s="705">
        <f t="shared" si="250"/>
        <v>8.7777777777777768</v>
      </c>
    </row>
    <row r="8007" spans="2:5">
      <c r="B8007" s="943">
        <v>45252</v>
      </c>
      <c r="C8007" s="195">
        <f t="shared" si="249"/>
        <v>11</v>
      </c>
      <c r="D8007" s="195">
        <v>47.3</v>
      </c>
      <c r="E8007" s="705">
        <f t="shared" si="250"/>
        <v>8.4999999999999982</v>
      </c>
    </row>
    <row r="8008" spans="2:5">
      <c r="B8008" s="943">
        <v>45252</v>
      </c>
      <c r="C8008" s="195">
        <f t="shared" si="249"/>
        <v>11</v>
      </c>
      <c r="D8008" s="195">
        <v>46.9</v>
      </c>
      <c r="E8008" s="705">
        <f t="shared" si="250"/>
        <v>8.2777777777777768</v>
      </c>
    </row>
    <row r="8009" spans="2:5">
      <c r="B8009" s="943">
        <v>45252</v>
      </c>
      <c r="C8009" s="195">
        <f t="shared" si="249"/>
        <v>11</v>
      </c>
      <c r="D8009" s="195">
        <v>47.1</v>
      </c>
      <c r="E8009" s="705">
        <f t="shared" si="250"/>
        <v>8.3888888888888893</v>
      </c>
    </row>
    <row r="8010" spans="2:5">
      <c r="B8010" s="943">
        <v>45252</v>
      </c>
      <c r="C8010" s="195">
        <f t="shared" ref="C8010:C8073" si="251">MONTH(B8010)</f>
        <v>11</v>
      </c>
      <c r="D8010" s="195" t="s">
        <v>1435</v>
      </c>
      <c r="E8010" s="705">
        <f t="shared" ref="E8010:E8073" si="252">CONVERT(D8010,"F","C")</f>
        <v>8.8888888888888893</v>
      </c>
    </row>
    <row r="8011" spans="2:5">
      <c r="B8011" s="943">
        <v>45252</v>
      </c>
      <c r="C8011" s="195">
        <f t="shared" si="251"/>
        <v>11</v>
      </c>
      <c r="D8011" s="195">
        <v>48.9</v>
      </c>
      <c r="E8011" s="705">
        <f t="shared" si="252"/>
        <v>9.3888888888888875</v>
      </c>
    </row>
    <row r="8012" spans="2:5">
      <c r="B8012" s="943">
        <v>45252</v>
      </c>
      <c r="C8012" s="195">
        <f t="shared" si="251"/>
        <v>11</v>
      </c>
      <c r="D8012" s="195">
        <v>49.3</v>
      </c>
      <c r="E8012" s="705">
        <f t="shared" si="252"/>
        <v>9.6111111111111089</v>
      </c>
    </row>
    <row r="8013" spans="2:5">
      <c r="B8013" s="943">
        <v>45252</v>
      </c>
      <c r="C8013" s="195">
        <f t="shared" si="251"/>
        <v>11</v>
      </c>
      <c r="D8013" s="195">
        <v>49.5</v>
      </c>
      <c r="E8013" s="705">
        <f t="shared" si="252"/>
        <v>9.7222222222222214</v>
      </c>
    </row>
    <row r="8014" spans="2:5">
      <c r="B8014" s="943">
        <v>45252</v>
      </c>
      <c r="C8014" s="195">
        <f t="shared" si="251"/>
        <v>11</v>
      </c>
      <c r="D8014" s="195">
        <v>49.5</v>
      </c>
      <c r="E8014" s="705">
        <f t="shared" si="252"/>
        <v>9.7222222222222214</v>
      </c>
    </row>
    <row r="8015" spans="2:5">
      <c r="B8015" s="943">
        <v>45252</v>
      </c>
      <c r="C8015" s="195">
        <f t="shared" si="251"/>
        <v>11</v>
      </c>
      <c r="D8015" s="195">
        <v>49.5</v>
      </c>
      <c r="E8015" s="705">
        <f t="shared" si="252"/>
        <v>9.7222222222222214</v>
      </c>
    </row>
    <row r="8016" spans="2:5">
      <c r="B8016" s="943">
        <v>45252</v>
      </c>
      <c r="C8016" s="195">
        <f t="shared" si="251"/>
        <v>11</v>
      </c>
      <c r="D8016" s="195">
        <v>49.5</v>
      </c>
      <c r="E8016" s="705">
        <f t="shared" si="252"/>
        <v>9.7222222222222214</v>
      </c>
    </row>
    <row r="8017" spans="2:5">
      <c r="B8017" s="943">
        <v>45252</v>
      </c>
      <c r="C8017" s="195">
        <f t="shared" si="251"/>
        <v>11</v>
      </c>
      <c r="D8017" s="195">
        <v>49.3</v>
      </c>
      <c r="E8017" s="705">
        <f t="shared" si="252"/>
        <v>9.6111111111111089</v>
      </c>
    </row>
    <row r="8018" spans="2:5">
      <c r="B8018" s="943">
        <v>45252</v>
      </c>
      <c r="C8018" s="195">
        <f t="shared" si="251"/>
        <v>11</v>
      </c>
      <c r="D8018" s="195">
        <v>48.6</v>
      </c>
      <c r="E8018" s="705">
        <f t="shared" si="252"/>
        <v>9.2222222222222232</v>
      </c>
    </row>
    <row r="8019" spans="2:5">
      <c r="B8019" s="943">
        <v>45252</v>
      </c>
      <c r="C8019" s="195">
        <f t="shared" si="251"/>
        <v>11</v>
      </c>
      <c r="D8019" s="195">
        <v>48.2</v>
      </c>
      <c r="E8019" s="705">
        <f t="shared" si="252"/>
        <v>9.0000000000000018</v>
      </c>
    </row>
    <row r="8020" spans="2:5">
      <c r="B8020" s="943">
        <v>45252</v>
      </c>
      <c r="C8020" s="195">
        <f t="shared" si="251"/>
        <v>11</v>
      </c>
      <c r="D8020" s="195">
        <v>47.7</v>
      </c>
      <c r="E8020" s="705">
        <f t="shared" si="252"/>
        <v>8.7222222222222232</v>
      </c>
    </row>
    <row r="8021" spans="2:5">
      <c r="B8021" s="943">
        <v>45252</v>
      </c>
      <c r="C8021" s="195">
        <f t="shared" si="251"/>
        <v>11</v>
      </c>
      <c r="D8021" s="195">
        <v>47.5</v>
      </c>
      <c r="E8021" s="705">
        <f t="shared" si="252"/>
        <v>8.6111111111111107</v>
      </c>
    </row>
    <row r="8022" spans="2:5">
      <c r="B8022" s="943">
        <v>45252</v>
      </c>
      <c r="C8022" s="195">
        <f t="shared" si="251"/>
        <v>11</v>
      </c>
      <c r="D8022" s="195" t="s">
        <v>1435</v>
      </c>
      <c r="E8022" s="705">
        <f t="shared" si="252"/>
        <v>8.8888888888888893</v>
      </c>
    </row>
    <row r="8023" spans="2:5">
      <c r="B8023" s="943">
        <v>45252</v>
      </c>
      <c r="C8023" s="195">
        <f t="shared" si="251"/>
        <v>11</v>
      </c>
      <c r="D8023" s="195">
        <v>48.4</v>
      </c>
      <c r="E8023" s="705">
        <f t="shared" si="252"/>
        <v>9.1111111111111107</v>
      </c>
    </row>
    <row r="8024" spans="2:5">
      <c r="B8024" s="943">
        <v>45252</v>
      </c>
      <c r="C8024" s="195">
        <f t="shared" si="251"/>
        <v>11</v>
      </c>
      <c r="D8024" s="195">
        <v>49.1</v>
      </c>
      <c r="E8024" s="705">
        <f t="shared" si="252"/>
        <v>9.5</v>
      </c>
    </row>
    <row r="8025" spans="2:5">
      <c r="B8025" s="943">
        <v>45253</v>
      </c>
      <c r="C8025" s="195">
        <f t="shared" si="251"/>
        <v>11</v>
      </c>
      <c r="D8025" s="195">
        <v>49.5</v>
      </c>
      <c r="E8025" s="705">
        <f t="shared" si="252"/>
        <v>9.7222222222222214</v>
      </c>
    </row>
    <row r="8026" spans="2:5">
      <c r="B8026" s="943">
        <v>45253</v>
      </c>
      <c r="C8026" s="195">
        <f t="shared" si="251"/>
        <v>11</v>
      </c>
      <c r="D8026" s="195">
        <v>49.5</v>
      </c>
      <c r="E8026" s="705">
        <f t="shared" si="252"/>
        <v>9.7222222222222214</v>
      </c>
    </row>
    <row r="8027" spans="2:5">
      <c r="B8027" s="943">
        <v>45253</v>
      </c>
      <c r="C8027" s="195">
        <f t="shared" si="251"/>
        <v>11</v>
      </c>
      <c r="D8027" s="195">
        <v>49.5</v>
      </c>
      <c r="E8027" s="705">
        <f t="shared" si="252"/>
        <v>9.7222222222222214</v>
      </c>
    </row>
    <row r="8028" spans="2:5">
      <c r="B8028" s="943">
        <v>45253</v>
      </c>
      <c r="C8028" s="195">
        <f t="shared" si="251"/>
        <v>11</v>
      </c>
      <c r="D8028" s="195">
        <v>49.3</v>
      </c>
      <c r="E8028" s="705">
        <f t="shared" si="252"/>
        <v>9.6111111111111089</v>
      </c>
    </row>
    <row r="8029" spans="2:5">
      <c r="B8029" s="943">
        <v>45253</v>
      </c>
      <c r="C8029" s="195">
        <f t="shared" si="251"/>
        <v>11</v>
      </c>
      <c r="D8029" s="195">
        <v>48.9</v>
      </c>
      <c r="E8029" s="705">
        <f t="shared" si="252"/>
        <v>9.3888888888888875</v>
      </c>
    </row>
    <row r="8030" spans="2:5">
      <c r="B8030" s="943">
        <v>45253</v>
      </c>
      <c r="C8030" s="195">
        <f t="shared" si="251"/>
        <v>11</v>
      </c>
      <c r="D8030" s="195">
        <v>48.2</v>
      </c>
      <c r="E8030" s="705">
        <f t="shared" si="252"/>
        <v>9.0000000000000018</v>
      </c>
    </row>
    <row r="8031" spans="2:5">
      <c r="B8031" s="943">
        <v>45253</v>
      </c>
      <c r="C8031" s="195">
        <f t="shared" si="251"/>
        <v>11</v>
      </c>
      <c r="D8031" s="195">
        <v>47.5</v>
      </c>
      <c r="E8031" s="705">
        <f t="shared" si="252"/>
        <v>8.6111111111111107</v>
      </c>
    </row>
    <row r="8032" spans="2:5">
      <c r="B8032" s="943">
        <v>45253</v>
      </c>
      <c r="C8032" s="195">
        <f t="shared" si="251"/>
        <v>11</v>
      </c>
      <c r="D8032" s="195">
        <v>47.1</v>
      </c>
      <c r="E8032" s="705">
        <f t="shared" si="252"/>
        <v>8.3888888888888893</v>
      </c>
    </row>
    <row r="8033" spans="2:5">
      <c r="B8033" s="943">
        <v>45253</v>
      </c>
      <c r="C8033" s="195">
        <f t="shared" si="251"/>
        <v>11</v>
      </c>
      <c r="D8033" s="195">
        <v>46.8</v>
      </c>
      <c r="E8033" s="705">
        <f t="shared" si="252"/>
        <v>8.2222222222222197</v>
      </c>
    </row>
    <row r="8034" spans="2:5">
      <c r="B8034" s="943">
        <v>45253</v>
      </c>
      <c r="C8034" s="195">
        <f t="shared" si="251"/>
        <v>11</v>
      </c>
      <c r="D8034" s="195">
        <v>46.8</v>
      </c>
      <c r="E8034" s="705">
        <f t="shared" si="252"/>
        <v>8.2222222222222197</v>
      </c>
    </row>
    <row r="8035" spans="2:5">
      <c r="B8035" s="943">
        <v>45253</v>
      </c>
      <c r="C8035" s="195">
        <f t="shared" si="251"/>
        <v>11</v>
      </c>
      <c r="D8035" s="195">
        <v>47.8</v>
      </c>
      <c r="E8035" s="705">
        <f t="shared" si="252"/>
        <v>8.7777777777777768</v>
      </c>
    </row>
    <row r="8036" spans="2:5">
      <c r="B8036" s="943">
        <v>45253</v>
      </c>
      <c r="C8036" s="195">
        <f t="shared" si="251"/>
        <v>11</v>
      </c>
      <c r="D8036" s="195">
        <v>48.4</v>
      </c>
      <c r="E8036" s="705">
        <f t="shared" si="252"/>
        <v>9.1111111111111107</v>
      </c>
    </row>
    <row r="8037" spans="2:5">
      <c r="B8037" s="943">
        <v>45253</v>
      </c>
      <c r="C8037" s="195">
        <f t="shared" si="251"/>
        <v>11</v>
      </c>
      <c r="D8037" s="195">
        <v>49.1</v>
      </c>
      <c r="E8037" s="705">
        <f t="shared" si="252"/>
        <v>9.5</v>
      </c>
    </row>
    <row r="8038" spans="2:5">
      <c r="B8038" s="943">
        <v>45253</v>
      </c>
      <c r="C8038" s="195">
        <f t="shared" si="251"/>
        <v>11</v>
      </c>
      <c r="D8038" s="195">
        <v>49.5</v>
      </c>
      <c r="E8038" s="705">
        <f t="shared" si="252"/>
        <v>9.7222222222222214</v>
      </c>
    </row>
    <row r="8039" spans="2:5">
      <c r="B8039" s="943">
        <v>45253</v>
      </c>
      <c r="C8039" s="195">
        <f t="shared" si="251"/>
        <v>11</v>
      </c>
      <c r="D8039" s="195">
        <v>49.5</v>
      </c>
      <c r="E8039" s="705">
        <f t="shared" si="252"/>
        <v>9.7222222222222214</v>
      </c>
    </row>
    <row r="8040" spans="2:5">
      <c r="B8040" s="943">
        <v>45253</v>
      </c>
      <c r="C8040" s="195">
        <f t="shared" si="251"/>
        <v>11</v>
      </c>
      <c r="D8040" s="195">
        <v>49.5</v>
      </c>
      <c r="E8040" s="705">
        <f t="shared" si="252"/>
        <v>9.7222222222222214</v>
      </c>
    </row>
    <row r="8041" spans="2:5">
      <c r="B8041" s="943">
        <v>45253</v>
      </c>
      <c r="C8041" s="195">
        <f t="shared" si="251"/>
        <v>11</v>
      </c>
      <c r="D8041" s="195">
        <v>49.3</v>
      </c>
      <c r="E8041" s="705">
        <f t="shared" si="252"/>
        <v>9.6111111111111089</v>
      </c>
    </row>
    <row r="8042" spans="2:5">
      <c r="B8042" s="943">
        <v>45253</v>
      </c>
      <c r="C8042" s="195">
        <f t="shared" si="251"/>
        <v>11</v>
      </c>
      <c r="D8042" s="195">
        <v>48.6</v>
      </c>
      <c r="E8042" s="705">
        <f t="shared" si="252"/>
        <v>9.2222222222222232</v>
      </c>
    </row>
    <row r="8043" spans="2:5">
      <c r="B8043" s="943">
        <v>45253</v>
      </c>
      <c r="C8043" s="195">
        <f t="shared" si="251"/>
        <v>11</v>
      </c>
      <c r="D8043" s="195">
        <v>47.8</v>
      </c>
      <c r="E8043" s="705">
        <f t="shared" si="252"/>
        <v>8.7777777777777768</v>
      </c>
    </row>
    <row r="8044" spans="2:5">
      <c r="B8044" s="943">
        <v>45253</v>
      </c>
      <c r="C8044" s="195">
        <f t="shared" si="251"/>
        <v>11</v>
      </c>
      <c r="D8044" s="195">
        <v>47.5</v>
      </c>
      <c r="E8044" s="705">
        <f t="shared" si="252"/>
        <v>8.6111111111111107</v>
      </c>
    </row>
    <row r="8045" spans="2:5">
      <c r="B8045" s="943">
        <v>45253</v>
      </c>
      <c r="C8045" s="195">
        <f t="shared" si="251"/>
        <v>11</v>
      </c>
      <c r="D8045" s="195">
        <v>46.9</v>
      </c>
      <c r="E8045" s="705">
        <f t="shared" si="252"/>
        <v>8.2777777777777768</v>
      </c>
    </row>
    <row r="8046" spans="2:5">
      <c r="B8046" s="943">
        <v>45253</v>
      </c>
      <c r="C8046" s="195">
        <f t="shared" si="251"/>
        <v>11</v>
      </c>
      <c r="D8046" s="195">
        <v>46.8</v>
      </c>
      <c r="E8046" s="705">
        <f t="shared" si="252"/>
        <v>8.2222222222222197</v>
      </c>
    </row>
    <row r="8047" spans="2:5">
      <c r="B8047" s="943">
        <v>45253</v>
      </c>
      <c r="C8047" s="195">
        <f t="shared" si="251"/>
        <v>11</v>
      </c>
      <c r="D8047" s="195">
        <v>47.1</v>
      </c>
      <c r="E8047" s="705">
        <f t="shared" si="252"/>
        <v>8.3888888888888893</v>
      </c>
    </row>
    <row r="8048" spans="2:5">
      <c r="B8048" s="943">
        <v>45253</v>
      </c>
      <c r="C8048" s="195">
        <f t="shared" si="251"/>
        <v>11</v>
      </c>
      <c r="D8048" s="195" t="s">
        <v>1435</v>
      </c>
      <c r="E8048" s="705">
        <f t="shared" si="252"/>
        <v>8.8888888888888893</v>
      </c>
    </row>
    <row r="8049" spans="2:5">
      <c r="B8049" s="943">
        <v>45254</v>
      </c>
      <c r="C8049" s="195">
        <f t="shared" si="251"/>
        <v>11</v>
      </c>
      <c r="D8049" s="195">
        <v>48.6</v>
      </c>
      <c r="E8049" s="705">
        <f t="shared" si="252"/>
        <v>9.2222222222222232</v>
      </c>
    </row>
    <row r="8050" spans="2:5">
      <c r="B8050" s="943">
        <v>45254</v>
      </c>
      <c r="C8050" s="195">
        <f t="shared" si="251"/>
        <v>11</v>
      </c>
      <c r="D8050" s="195">
        <v>49.1</v>
      </c>
      <c r="E8050" s="705">
        <f t="shared" si="252"/>
        <v>9.5</v>
      </c>
    </row>
    <row r="8051" spans="2:5">
      <c r="B8051" s="943">
        <v>45254</v>
      </c>
      <c r="C8051" s="195">
        <f t="shared" si="251"/>
        <v>11</v>
      </c>
      <c r="D8051" s="195">
        <v>49.3</v>
      </c>
      <c r="E8051" s="705">
        <f t="shared" si="252"/>
        <v>9.6111111111111089</v>
      </c>
    </row>
    <row r="8052" spans="2:5">
      <c r="B8052" s="943">
        <v>45254</v>
      </c>
      <c r="C8052" s="195">
        <f t="shared" si="251"/>
        <v>11</v>
      </c>
      <c r="D8052" s="195">
        <v>49.5</v>
      </c>
      <c r="E8052" s="705">
        <f t="shared" si="252"/>
        <v>9.7222222222222214</v>
      </c>
    </row>
    <row r="8053" spans="2:5">
      <c r="B8053" s="943">
        <v>45254</v>
      </c>
      <c r="C8053" s="195">
        <f t="shared" si="251"/>
        <v>11</v>
      </c>
      <c r="D8053" s="195">
        <v>49.3</v>
      </c>
      <c r="E8053" s="705">
        <f t="shared" si="252"/>
        <v>9.6111111111111089</v>
      </c>
    </row>
    <row r="8054" spans="2:5">
      <c r="B8054" s="943">
        <v>45254</v>
      </c>
      <c r="C8054" s="195">
        <f t="shared" si="251"/>
        <v>11</v>
      </c>
      <c r="D8054" s="195">
        <v>48.7</v>
      </c>
      <c r="E8054" s="705">
        <f t="shared" si="252"/>
        <v>9.2777777777777786</v>
      </c>
    </row>
    <row r="8055" spans="2:5">
      <c r="B8055" s="943">
        <v>45254</v>
      </c>
      <c r="C8055" s="195">
        <f t="shared" si="251"/>
        <v>11</v>
      </c>
      <c r="D8055" s="195">
        <v>47.8</v>
      </c>
      <c r="E8055" s="705">
        <f t="shared" si="252"/>
        <v>8.7777777777777768</v>
      </c>
    </row>
    <row r="8056" spans="2:5">
      <c r="B8056" s="943">
        <v>45254</v>
      </c>
      <c r="C8056" s="195">
        <f t="shared" si="251"/>
        <v>11</v>
      </c>
      <c r="D8056" s="195">
        <v>47.1</v>
      </c>
      <c r="E8056" s="705">
        <f t="shared" si="252"/>
        <v>8.3888888888888893</v>
      </c>
    </row>
    <row r="8057" spans="2:5">
      <c r="B8057" s="943">
        <v>45254</v>
      </c>
      <c r="C8057" s="195">
        <f t="shared" si="251"/>
        <v>11</v>
      </c>
      <c r="D8057" s="195">
        <v>46.6</v>
      </c>
      <c r="E8057" s="705">
        <f t="shared" si="252"/>
        <v>8.1111111111111125</v>
      </c>
    </row>
    <row r="8058" spans="2:5">
      <c r="B8058" s="943">
        <v>45254</v>
      </c>
      <c r="C8058" s="195">
        <f t="shared" si="251"/>
        <v>11</v>
      </c>
      <c r="D8058" s="195">
        <v>46.2</v>
      </c>
      <c r="E8058" s="705">
        <f t="shared" si="252"/>
        <v>7.8888888888888902</v>
      </c>
    </row>
    <row r="8059" spans="2:5">
      <c r="B8059" s="943">
        <v>45254</v>
      </c>
      <c r="C8059" s="195">
        <f t="shared" si="251"/>
        <v>11</v>
      </c>
      <c r="D8059" s="195">
        <v>46.4</v>
      </c>
      <c r="E8059" s="705">
        <f t="shared" si="252"/>
        <v>7.9999999999999991</v>
      </c>
    </row>
    <row r="8060" spans="2:5">
      <c r="B8060" s="943">
        <v>45254</v>
      </c>
      <c r="C8060" s="195">
        <f t="shared" si="251"/>
        <v>11</v>
      </c>
      <c r="D8060" s="195">
        <v>47.5</v>
      </c>
      <c r="E8060" s="705">
        <f t="shared" si="252"/>
        <v>8.6111111111111107</v>
      </c>
    </row>
    <row r="8061" spans="2:5">
      <c r="B8061" s="943">
        <v>45254</v>
      </c>
      <c r="C8061" s="195">
        <f t="shared" si="251"/>
        <v>11</v>
      </c>
      <c r="D8061" s="195">
        <v>48.4</v>
      </c>
      <c r="E8061" s="705">
        <f t="shared" si="252"/>
        <v>9.1111111111111107</v>
      </c>
    </row>
    <row r="8062" spans="2:5">
      <c r="B8062" s="943">
        <v>45254</v>
      </c>
      <c r="C8062" s="195">
        <f t="shared" si="251"/>
        <v>11</v>
      </c>
      <c r="D8062" s="195">
        <v>49.1</v>
      </c>
      <c r="E8062" s="705">
        <f t="shared" si="252"/>
        <v>9.5</v>
      </c>
    </row>
    <row r="8063" spans="2:5">
      <c r="B8063" s="943">
        <v>45254</v>
      </c>
      <c r="C8063" s="195">
        <f t="shared" si="251"/>
        <v>11</v>
      </c>
      <c r="D8063" s="195">
        <v>49.3</v>
      </c>
      <c r="E8063" s="705">
        <f t="shared" si="252"/>
        <v>9.6111111111111089</v>
      </c>
    </row>
    <row r="8064" spans="2:5">
      <c r="B8064" s="943">
        <v>45254</v>
      </c>
      <c r="C8064" s="195">
        <f t="shared" si="251"/>
        <v>11</v>
      </c>
      <c r="D8064" s="195">
        <v>49.5</v>
      </c>
      <c r="E8064" s="705">
        <f t="shared" si="252"/>
        <v>9.7222222222222214</v>
      </c>
    </row>
    <row r="8065" spans="2:5">
      <c r="B8065" s="943">
        <v>45254</v>
      </c>
      <c r="C8065" s="195">
        <f t="shared" si="251"/>
        <v>11</v>
      </c>
      <c r="D8065" s="195">
        <v>49.5</v>
      </c>
      <c r="E8065" s="705">
        <f t="shared" si="252"/>
        <v>9.7222222222222214</v>
      </c>
    </row>
    <row r="8066" spans="2:5">
      <c r="B8066" s="943">
        <v>45254</v>
      </c>
      <c r="C8066" s="195">
        <f t="shared" si="251"/>
        <v>11</v>
      </c>
      <c r="D8066" s="195">
        <v>49.1</v>
      </c>
      <c r="E8066" s="705">
        <f t="shared" si="252"/>
        <v>9.5</v>
      </c>
    </row>
    <row r="8067" spans="2:5">
      <c r="B8067" s="943">
        <v>45254</v>
      </c>
      <c r="C8067" s="195">
        <f t="shared" si="251"/>
        <v>11</v>
      </c>
      <c r="D8067" s="195">
        <v>48.2</v>
      </c>
      <c r="E8067" s="705">
        <f t="shared" si="252"/>
        <v>9.0000000000000018</v>
      </c>
    </row>
    <row r="8068" spans="2:5">
      <c r="B8068" s="943">
        <v>45254</v>
      </c>
      <c r="C8068" s="195">
        <f t="shared" si="251"/>
        <v>11</v>
      </c>
      <c r="D8068" s="195">
        <v>47.3</v>
      </c>
      <c r="E8068" s="705">
        <f t="shared" si="252"/>
        <v>8.4999999999999982</v>
      </c>
    </row>
    <row r="8069" spans="2:5">
      <c r="B8069" s="943">
        <v>45254</v>
      </c>
      <c r="C8069" s="195">
        <f t="shared" si="251"/>
        <v>11</v>
      </c>
      <c r="D8069" s="195">
        <v>46.8</v>
      </c>
      <c r="E8069" s="705">
        <f t="shared" si="252"/>
        <v>8.2222222222222197</v>
      </c>
    </row>
    <row r="8070" spans="2:5">
      <c r="B8070" s="943">
        <v>45254</v>
      </c>
      <c r="C8070" s="195">
        <f t="shared" si="251"/>
        <v>11</v>
      </c>
      <c r="D8070" s="195">
        <v>46.4</v>
      </c>
      <c r="E8070" s="705">
        <f t="shared" si="252"/>
        <v>7.9999999999999991</v>
      </c>
    </row>
    <row r="8071" spans="2:5">
      <c r="B8071" s="943">
        <v>45254</v>
      </c>
      <c r="C8071" s="195">
        <f t="shared" si="251"/>
        <v>11</v>
      </c>
      <c r="D8071" s="195" t="s">
        <v>1434</v>
      </c>
      <c r="E8071" s="705">
        <f t="shared" si="252"/>
        <v>7.7777777777777777</v>
      </c>
    </row>
    <row r="8072" spans="2:5">
      <c r="B8072" s="943">
        <v>45254</v>
      </c>
      <c r="C8072" s="195">
        <f t="shared" si="251"/>
        <v>11</v>
      </c>
      <c r="D8072" s="195">
        <v>46.4</v>
      </c>
      <c r="E8072" s="705">
        <f t="shared" si="252"/>
        <v>7.9999999999999991</v>
      </c>
    </row>
    <row r="8073" spans="2:5">
      <c r="B8073" s="943">
        <v>45255</v>
      </c>
      <c r="C8073" s="195">
        <f t="shared" si="251"/>
        <v>11</v>
      </c>
      <c r="D8073" s="195">
        <v>47.7</v>
      </c>
      <c r="E8073" s="705">
        <f t="shared" si="252"/>
        <v>8.7222222222222232</v>
      </c>
    </row>
    <row r="8074" spans="2:5">
      <c r="B8074" s="943">
        <v>45255</v>
      </c>
      <c r="C8074" s="195">
        <f t="shared" ref="C8074:C8137" si="253">MONTH(B8074)</f>
        <v>11</v>
      </c>
      <c r="D8074" s="195">
        <v>48.6</v>
      </c>
      <c r="E8074" s="705">
        <f t="shared" ref="E8074:E8137" si="254">CONVERT(D8074,"F","C")</f>
        <v>9.2222222222222232</v>
      </c>
    </row>
    <row r="8075" spans="2:5">
      <c r="B8075" s="943">
        <v>45255</v>
      </c>
      <c r="C8075" s="195">
        <f t="shared" si="253"/>
        <v>11</v>
      </c>
      <c r="D8075" s="195">
        <v>49.3</v>
      </c>
      <c r="E8075" s="705">
        <f t="shared" si="254"/>
        <v>9.6111111111111089</v>
      </c>
    </row>
    <row r="8076" spans="2:5">
      <c r="B8076" s="943">
        <v>45255</v>
      </c>
      <c r="C8076" s="195">
        <f t="shared" si="253"/>
        <v>11</v>
      </c>
      <c r="D8076" s="195">
        <v>49.5</v>
      </c>
      <c r="E8076" s="705">
        <f t="shared" si="254"/>
        <v>9.7222222222222214</v>
      </c>
    </row>
    <row r="8077" spans="2:5">
      <c r="B8077" s="943">
        <v>45255</v>
      </c>
      <c r="C8077" s="195">
        <f t="shared" si="253"/>
        <v>11</v>
      </c>
      <c r="D8077" s="195">
        <v>49.5</v>
      </c>
      <c r="E8077" s="705">
        <f t="shared" si="254"/>
        <v>9.7222222222222214</v>
      </c>
    </row>
    <row r="8078" spans="2:5">
      <c r="B8078" s="943">
        <v>45255</v>
      </c>
      <c r="C8078" s="195">
        <f t="shared" si="253"/>
        <v>11</v>
      </c>
      <c r="D8078" s="195">
        <v>49.1</v>
      </c>
      <c r="E8078" s="705">
        <f t="shared" si="254"/>
        <v>9.5</v>
      </c>
    </row>
    <row r="8079" spans="2:5">
      <c r="B8079" s="943">
        <v>45255</v>
      </c>
      <c r="C8079" s="195">
        <f t="shared" si="253"/>
        <v>11</v>
      </c>
      <c r="D8079" s="195">
        <v>48.2</v>
      </c>
      <c r="E8079" s="705">
        <f t="shared" si="254"/>
        <v>9.0000000000000018</v>
      </c>
    </row>
    <row r="8080" spans="2:5">
      <c r="B8080" s="943">
        <v>45255</v>
      </c>
      <c r="C8080" s="195">
        <f t="shared" si="253"/>
        <v>11</v>
      </c>
      <c r="D8080" s="195">
        <v>46.9</v>
      </c>
      <c r="E8080" s="705">
        <f t="shared" si="254"/>
        <v>8.2777777777777768</v>
      </c>
    </row>
    <row r="8081" spans="2:5">
      <c r="B8081" s="943">
        <v>45255</v>
      </c>
      <c r="C8081" s="195">
        <f t="shared" si="253"/>
        <v>11</v>
      </c>
      <c r="D8081" s="195" t="s">
        <v>1434</v>
      </c>
      <c r="E8081" s="705">
        <f t="shared" si="254"/>
        <v>7.7777777777777777</v>
      </c>
    </row>
    <row r="8082" spans="2:5">
      <c r="B8082" s="943">
        <v>45255</v>
      </c>
      <c r="C8082" s="195">
        <f t="shared" si="253"/>
        <v>11</v>
      </c>
      <c r="D8082" s="195">
        <v>45.5</v>
      </c>
      <c r="E8082" s="705">
        <f t="shared" si="254"/>
        <v>7.5</v>
      </c>
    </row>
    <row r="8083" spans="2:5">
      <c r="B8083" s="943">
        <v>45255</v>
      </c>
      <c r="C8083" s="195">
        <f t="shared" si="253"/>
        <v>11</v>
      </c>
      <c r="D8083" s="195">
        <v>45.1</v>
      </c>
      <c r="E8083" s="705">
        <f t="shared" si="254"/>
        <v>7.2777777777777786</v>
      </c>
    </row>
    <row r="8084" spans="2:5">
      <c r="B8084" s="943">
        <v>45255</v>
      </c>
      <c r="C8084" s="195">
        <f t="shared" si="253"/>
        <v>11</v>
      </c>
      <c r="D8084" s="195">
        <v>45.5</v>
      </c>
      <c r="E8084" s="705">
        <f t="shared" si="254"/>
        <v>7.5</v>
      </c>
    </row>
    <row r="8085" spans="2:5">
      <c r="B8085" s="943">
        <v>45255</v>
      </c>
      <c r="C8085" s="195">
        <f t="shared" si="253"/>
        <v>11</v>
      </c>
      <c r="D8085" s="195">
        <v>46.6</v>
      </c>
      <c r="E8085" s="705">
        <f t="shared" si="254"/>
        <v>8.1111111111111125</v>
      </c>
    </row>
    <row r="8086" spans="2:5">
      <c r="B8086" s="943">
        <v>45255</v>
      </c>
      <c r="C8086" s="195">
        <f t="shared" si="253"/>
        <v>11</v>
      </c>
      <c r="D8086" s="195">
        <v>47.8</v>
      </c>
      <c r="E8086" s="705">
        <f t="shared" si="254"/>
        <v>8.7777777777777768</v>
      </c>
    </row>
    <row r="8087" spans="2:5">
      <c r="B8087" s="943">
        <v>45255</v>
      </c>
      <c r="C8087" s="195">
        <f t="shared" si="253"/>
        <v>11</v>
      </c>
      <c r="D8087" s="195">
        <v>48.9</v>
      </c>
      <c r="E8087" s="705">
        <f t="shared" si="254"/>
        <v>9.3888888888888875</v>
      </c>
    </row>
    <row r="8088" spans="2:5">
      <c r="B8088" s="943">
        <v>45255</v>
      </c>
      <c r="C8088" s="195">
        <f t="shared" si="253"/>
        <v>11</v>
      </c>
      <c r="D8088" s="195">
        <v>49.3</v>
      </c>
      <c r="E8088" s="705">
        <f t="shared" si="254"/>
        <v>9.6111111111111089</v>
      </c>
    </row>
    <row r="8089" spans="2:5">
      <c r="B8089" s="943">
        <v>45255</v>
      </c>
      <c r="C8089" s="195">
        <f t="shared" si="253"/>
        <v>11</v>
      </c>
      <c r="D8089" s="195">
        <v>49.3</v>
      </c>
      <c r="E8089" s="705">
        <f t="shared" si="254"/>
        <v>9.6111111111111089</v>
      </c>
    </row>
    <row r="8090" spans="2:5">
      <c r="B8090" s="943">
        <v>45255</v>
      </c>
      <c r="C8090" s="195">
        <f t="shared" si="253"/>
        <v>11</v>
      </c>
      <c r="D8090" s="195">
        <v>49.1</v>
      </c>
      <c r="E8090" s="705">
        <f t="shared" si="254"/>
        <v>9.5</v>
      </c>
    </row>
    <row r="8091" spans="2:5">
      <c r="B8091" s="943">
        <v>45255</v>
      </c>
      <c r="C8091" s="195">
        <f t="shared" si="253"/>
        <v>11</v>
      </c>
      <c r="D8091" s="195">
        <v>48.7</v>
      </c>
      <c r="E8091" s="705">
        <f t="shared" si="254"/>
        <v>9.2777777777777786</v>
      </c>
    </row>
    <row r="8092" spans="2:5">
      <c r="B8092" s="943">
        <v>45255</v>
      </c>
      <c r="C8092" s="195">
        <f t="shared" si="253"/>
        <v>11</v>
      </c>
      <c r="D8092" s="195">
        <v>47.7</v>
      </c>
      <c r="E8092" s="705">
        <f t="shared" si="254"/>
        <v>8.7222222222222232</v>
      </c>
    </row>
    <row r="8093" spans="2:5">
      <c r="B8093" s="943">
        <v>45255</v>
      </c>
      <c r="C8093" s="195">
        <f t="shared" si="253"/>
        <v>11</v>
      </c>
      <c r="D8093" s="195">
        <v>46.6</v>
      </c>
      <c r="E8093" s="705">
        <f t="shared" si="254"/>
        <v>8.1111111111111125</v>
      </c>
    </row>
    <row r="8094" spans="2:5">
      <c r="B8094" s="943">
        <v>45255</v>
      </c>
      <c r="C8094" s="195">
        <f t="shared" si="253"/>
        <v>11</v>
      </c>
      <c r="D8094" s="195">
        <v>45.9</v>
      </c>
      <c r="E8094" s="705">
        <f t="shared" si="254"/>
        <v>7.7222222222222214</v>
      </c>
    </row>
    <row r="8095" spans="2:5">
      <c r="B8095" s="943">
        <v>45255</v>
      </c>
      <c r="C8095" s="195">
        <f t="shared" si="253"/>
        <v>11</v>
      </c>
      <c r="D8095" s="195">
        <v>45.1</v>
      </c>
      <c r="E8095" s="705">
        <f t="shared" si="254"/>
        <v>7.2777777777777786</v>
      </c>
    </row>
    <row r="8096" spans="2:5">
      <c r="B8096" s="943">
        <v>45255</v>
      </c>
      <c r="C8096" s="195">
        <f t="shared" si="253"/>
        <v>11</v>
      </c>
      <c r="D8096" s="195" t="s">
        <v>1425</v>
      </c>
      <c r="E8096" s="705">
        <f t="shared" si="254"/>
        <v>7.2222222222222223</v>
      </c>
    </row>
    <row r="8097" spans="2:5">
      <c r="B8097" s="943">
        <v>45256</v>
      </c>
      <c r="C8097" s="195">
        <f t="shared" si="253"/>
        <v>11</v>
      </c>
      <c r="D8097" s="195">
        <v>45.9</v>
      </c>
      <c r="E8097" s="705">
        <f t="shared" si="254"/>
        <v>7.7222222222222214</v>
      </c>
    </row>
    <row r="8098" spans="2:5">
      <c r="B8098" s="943">
        <v>45256</v>
      </c>
      <c r="C8098" s="195">
        <f t="shared" si="253"/>
        <v>11</v>
      </c>
      <c r="D8098" s="195">
        <v>46.6</v>
      </c>
      <c r="E8098" s="705">
        <f t="shared" si="254"/>
        <v>8.1111111111111125</v>
      </c>
    </row>
    <row r="8099" spans="2:5">
      <c r="B8099" s="943">
        <v>45256</v>
      </c>
      <c r="C8099" s="195">
        <f t="shared" si="253"/>
        <v>11</v>
      </c>
      <c r="D8099" s="195" t="s">
        <v>1435</v>
      </c>
      <c r="E8099" s="705">
        <f t="shared" si="254"/>
        <v>8.8888888888888893</v>
      </c>
    </row>
    <row r="8100" spans="2:5">
      <c r="B8100" s="943">
        <v>45256</v>
      </c>
      <c r="C8100" s="195">
        <f t="shared" si="253"/>
        <v>11</v>
      </c>
      <c r="D8100" s="195">
        <v>48.9</v>
      </c>
      <c r="E8100" s="705">
        <f t="shared" si="254"/>
        <v>9.3888888888888875</v>
      </c>
    </row>
    <row r="8101" spans="2:5">
      <c r="B8101" s="943">
        <v>45256</v>
      </c>
      <c r="C8101" s="195">
        <f t="shared" si="253"/>
        <v>11</v>
      </c>
      <c r="D8101" s="195">
        <v>49.1</v>
      </c>
      <c r="E8101" s="705">
        <f t="shared" si="254"/>
        <v>9.5</v>
      </c>
    </row>
    <row r="8102" spans="2:5">
      <c r="B8102" s="943">
        <v>45256</v>
      </c>
      <c r="C8102" s="195">
        <f t="shared" si="253"/>
        <v>11</v>
      </c>
      <c r="D8102" s="195">
        <v>49.1</v>
      </c>
      <c r="E8102" s="705">
        <f t="shared" si="254"/>
        <v>9.5</v>
      </c>
    </row>
    <row r="8103" spans="2:5">
      <c r="B8103" s="943">
        <v>45256</v>
      </c>
      <c r="C8103" s="195">
        <f t="shared" si="253"/>
        <v>11</v>
      </c>
      <c r="D8103" s="195">
        <v>48.7</v>
      </c>
      <c r="E8103" s="705">
        <f t="shared" si="254"/>
        <v>9.2777777777777786</v>
      </c>
    </row>
    <row r="8104" spans="2:5">
      <c r="B8104" s="943">
        <v>45256</v>
      </c>
      <c r="C8104" s="195">
        <f t="shared" si="253"/>
        <v>11</v>
      </c>
      <c r="D8104" s="195" t="s">
        <v>1435</v>
      </c>
      <c r="E8104" s="705">
        <f t="shared" si="254"/>
        <v>8.8888888888888893</v>
      </c>
    </row>
    <row r="8105" spans="2:5">
      <c r="B8105" s="943">
        <v>45256</v>
      </c>
      <c r="C8105" s="195">
        <f t="shared" si="253"/>
        <v>11</v>
      </c>
      <c r="D8105" s="195">
        <v>46.8</v>
      </c>
      <c r="E8105" s="705">
        <f t="shared" si="254"/>
        <v>8.2222222222222197</v>
      </c>
    </row>
    <row r="8106" spans="2:5">
      <c r="B8106" s="943">
        <v>45256</v>
      </c>
      <c r="C8106" s="195">
        <f t="shared" si="253"/>
        <v>11</v>
      </c>
      <c r="D8106" s="195">
        <v>45.9</v>
      </c>
      <c r="E8106" s="705">
        <f t="shared" si="254"/>
        <v>7.7222222222222214</v>
      </c>
    </row>
    <row r="8107" spans="2:5">
      <c r="B8107" s="943">
        <v>45256</v>
      </c>
      <c r="C8107" s="195">
        <f t="shared" si="253"/>
        <v>11</v>
      </c>
      <c r="D8107" s="195">
        <v>45.1</v>
      </c>
      <c r="E8107" s="705">
        <f t="shared" si="254"/>
        <v>7.2777777777777786</v>
      </c>
    </row>
    <row r="8108" spans="2:5">
      <c r="B8108" s="943">
        <v>45256</v>
      </c>
      <c r="C8108" s="195">
        <f t="shared" si="253"/>
        <v>11</v>
      </c>
      <c r="D8108" s="195" t="s">
        <v>1425</v>
      </c>
      <c r="E8108" s="705">
        <f t="shared" si="254"/>
        <v>7.2222222222222223</v>
      </c>
    </row>
    <row r="8109" spans="2:5">
      <c r="B8109" s="943">
        <v>45256</v>
      </c>
      <c r="C8109" s="195">
        <f t="shared" si="253"/>
        <v>11</v>
      </c>
      <c r="D8109" s="195">
        <v>45.9</v>
      </c>
      <c r="E8109" s="705">
        <f t="shared" si="254"/>
        <v>7.7222222222222214</v>
      </c>
    </row>
    <row r="8110" spans="2:5">
      <c r="B8110" s="943">
        <v>45256</v>
      </c>
      <c r="C8110" s="195">
        <f t="shared" si="253"/>
        <v>11</v>
      </c>
      <c r="D8110" s="195">
        <v>47.1</v>
      </c>
      <c r="E8110" s="705">
        <f t="shared" si="254"/>
        <v>8.3888888888888893</v>
      </c>
    </row>
    <row r="8111" spans="2:5">
      <c r="B8111" s="943">
        <v>45256</v>
      </c>
      <c r="C8111" s="195">
        <f t="shared" si="253"/>
        <v>11</v>
      </c>
      <c r="D8111" s="195">
        <v>48.4</v>
      </c>
      <c r="E8111" s="705">
        <f t="shared" si="254"/>
        <v>9.1111111111111107</v>
      </c>
    </row>
    <row r="8112" spans="2:5">
      <c r="B8112" s="943">
        <v>45256</v>
      </c>
      <c r="C8112" s="195">
        <f t="shared" si="253"/>
        <v>11</v>
      </c>
      <c r="D8112" s="195">
        <v>48.9</v>
      </c>
      <c r="E8112" s="705">
        <f t="shared" si="254"/>
        <v>9.3888888888888875</v>
      </c>
    </row>
    <row r="8113" spans="2:5">
      <c r="B8113" s="943">
        <v>45256</v>
      </c>
      <c r="C8113" s="195">
        <f t="shared" si="253"/>
        <v>11</v>
      </c>
      <c r="D8113" s="195">
        <v>49.1</v>
      </c>
      <c r="E8113" s="705">
        <f t="shared" si="254"/>
        <v>9.5</v>
      </c>
    </row>
    <row r="8114" spans="2:5">
      <c r="B8114" s="943">
        <v>45256</v>
      </c>
      <c r="C8114" s="195">
        <f t="shared" si="253"/>
        <v>11</v>
      </c>
      <c r="D8114" s="195">
        <v>49.3</v>
      </c>
      <c r="E8114" s="705">
        <f t="shared" si="254"/>
        <v>9.6111111111111089</v>
      </c>
    </row>
    <row r="8115" spans="2:5">
      <c r="B8115" s="943">
        <v>45256</v>
      </c>
      <c r="C8115" s="195">
        <f t="shared" si="253"/>
        <v>11</v>
      </c>
      <c r="D8115" s="195">
        <v>49.1</v>
      </c>
      <c r="E8115" s="705">
        <f t="shared" si="254"/>
        <v>9.5</v>
      </c>
    </row>
    <row r="8116" spans="2:5">
      <c r="B8116" s="943">
        <v>45256</v>
      </c>
      <c r="C8116" s="195">
        <f t="shared" si="253"/>
        <v>11</v>
      </c>
      <c r="D8116" s="195">
        <v>48.6</v>
      </c>
      <c r="E8116" s="705">
        <f t="shared" si="254"/>
        <v>9.2222222222222232</v>
      </c>
    </row>
    <row r="8117" spans="2:5">
      <c r="B8117" s="943">
        <v>45256</v>
      </c>
      <c r="C8117" s="195">
        <f t="shared" si="253"/>
        <v>11</v>
      </c>
      <c r="D8117" s="195">
        <v>47.3</v>
      </c>
      <c r="E8117" s="705">
        <f t="shared" si="254"/>
        <v>8.4999999999999982</v>
      </c>
    </row>
    <row r="8118" spans="2:5">
      <c r="B8118" s="943">
        <v>45256</v>
      </c>
      <c r="C8118" s="195">
        <f t="shared" si="253"/>
        <v>11</v>
      </c>
      <c r="D8118" s="195">
        <v>46.4</v>
      </c>
      <c r="E8118" s="705">
        <f t="shared" si="254"/>
        <v>7.9999999999999991</v>
      </c>
    </row>
    <row r="8119" spans="2:5">
      <c r="B8119" s="943">
        <v>45256</v>
      </c>
      <c r="C8119" s="195">
        <f t="shared" si="253"/>
        <v>11</v>
      </c>
      <c r="D8119" s="195">
        <v>45.7</v>
      </c>
      <c r="E8119" s="705">
        <f t="shared" si="254"/>
        <v>7.6111111111111125</v>
      </c>
    </row>
    <row r="8120" spans="2:5">
      <c r="B8120" s="943">
        <v>45256</v>
      </c>
      <c r="C8120" s="195">
        <f t="shared" si="253"/>
        <v>11</v>
      </c>
      <c r="D8120" s="195" t="s">
        <v>1425</v>
      </c>
      <c r="E8120" s="705">
        <f t="shared" si="254"/>
        <v>7.2222222222222223</v>
      </c>
    </row>
    <row r="8121" spans="2:5">
      <c r="B8121" s="943">
        <v>45257</v>
      </c>
      <c r="C8121" s="195">
        <f t="shared" si="253"/>
        <v>11</v>
      </c>
      <c r="D8121" s="195">
        <v>44.8</v>
      </c>
      <c r="E8121" s="705">
        <f t="shared" si="254"/>
        <v>7.1111111111111089</v>
      </c>
    </row>
    <row r="8122" spans="2:5">
      <c r="B8122" s="943">
        <v>45257</v>
      </c>
      <c r="C8122" s="195">
        <f t="shared" si="253"/>
        <v>11</v>
      </c>
      <c r="D8122" s="195" t="s">
        <v>1434</v>
      </c>
      <c r="E8122" s="705">
        <f t="shared" si="254"/>
        <v>7.7777777777777777</v>
      </c>
    </row>
    <row r="8123" spans="2:5">
      <c r="B8123" s="943">
        <v>45257</v>
      </c>
      <c r="C8123" s="195">
        <f t="shared" si="253"/>
        <v>11</v>
      </c>
      <c r="D8123" s="195">
        <v>46.9</v>
      </c>
      <c r="E8123" s="705">
        <f t="shared" si="254"/>
        <v>8.2777777777777768</v>
      </c>
    </row>
    <row r="8124" spans="2:5">
      <c r="B8124" s="943">
        <v>45257</v>
      </c>
      <c r="C8124" s="195">
        <f t="shared" si="253"/>
        <v>11</v>
      </c>
      <c r="D8124" s="195">
        <v>48.4</v>
      </c>
      <c r="E8124" s="705">
        <f t="shared" si="254"/>
        <v>9.1111111111111107</v>
      </c>
    </row>
    <row r="8125" spans="2:5">
      <c r="B8125" s="943">
        <v>45257</v>
      </c>
      <c r="C8125" s="195">
        <f t="shared" si="253"/>
        <v>11</v>
      </c>
      <c r="D8125" s="195">
        <v>48.9</v>
      </c>
      <c r="E8125" s="705">
        <f t="shared" si="254"/>
        <v>9.3888888888888875</v>
      </c>
    </row>
    <row r="8126" spans="2:5">
      <c r="B8126" s="943">
        <v>45257</v>
      </c>
      <c r="C8126" s="195">
        <f t="shared" si="253"/>
        <v>11</v>
      </c>
      <c r="D8126" s="195">
        <v>49.1</v>
      </c>
      <c r="E8126" s="705">
        <f t="shared" si="254"/>
        <v>9.5</v>
      </c>
    </row>
    <row r="8127" spans="2:5">
      <c r="B8127" s="943">
        <v>45257</v>
      </c>
      <c r="C8127" s="195">
        <f t="shared" si="253"/>
        <v>11</v>
      </c>
      <c r="D8127" s="195">
        <v>48.9</v>
      </c>
      <c r="E8127" s="705">
        <f t="shared" si="254"/>
        <v>9.3888888888888875</v>
      </c>
    </row>
    <row r="8128" spans="2:5">
      <c r="B8128" s="943">
        <v>45257</v>
      </c>
      <c r="C8128" s="195">
        <f t="shared" si="253"/>
        <v>11</v>
      </c>
      <c r="D8128" s="195">
        <v>48.7</v>
      </c>
      <c r="E8128" s="705">
        <f t="shared" si="254"/>
        <v>9.2777777777777786</v>
      </c>
    </row>
    <row r="8129" spans="2:5">
      <c r="B8129" s="943">
        <v>45257</v>
      </c>
      <c r="C8129" s="195">
        <f t="shared" si="253"/>
        <v>11</v>
      </c>
      <c r="D8129" s="195">
        <v>48.4</v>
      </c>
      <c r="E8129" s="705">
        <f t="shared" si="254"/>
        <v>9.1111111111111107</v>
      </c>
    </row>
    <row r="8130" spans="2:5">
      <c r="B8130" s="943">
        <v>45257</v>
      </c>
      <c r="C8130" s="195">
        <f t="shared" si="253"/>
        <v>11</v>
      </c>
      <c r="D8130" s="195">
        <v>47.3</v>
      </c>
      <c r="E8130" s="705">
        <f t="shared" si="254"/>
        <v>8.4999999999999982</v>
      </c>
    </row>
    <row r="8131" spans="2:5">
      <c r="B8131" s="943">
        <v>45257</v>
      </c>
      <c r="C8131" s="195">
        <f t="shared" si="253"/>
        <v>11</v>
      </c>
      <c r="D8131" s="195">
        <v>46.6</v>
      </c>
      <c r="E8131" s="705">
        <f t="shared" si="254"/>
        <v>8.1111111111111125</v>
      </c>
    </row>
    <row r="8132" spans="2:5">
      <c r="B8132" s="943">
        <v>45257</v>
      </c>
      <c r="C8132" s="195">
        <f t="shared" si="253"/>
        <v>11</v>
      </c>
      <c r="D8132" s="195" t="s">
        <v>1434</v>
      </c>
      <c r="E8132" s="705">
        <f t="shared" si="254"/>
        <v>7.7777777777777777</v>
      </c>
    </row>
    <row r="8133" spans="2:5">
      <c r="B8133" s="943">
        <v>45257</v>
      </c>
      <c r="C8133" s="195">
        <f t="shared" si="253"/>
        <v>11</v>
      </c>
      <c r="D8133" s="195" t="s">
        <v>1434</v>
      </c>
      <c r="E8133" s="705">
        <f t="shared" si="254"/>
        <v>7.7777777777777777</v>
      </c>
    </row>
    <row r="8134" spans="2:5">
      <c r="B8134" s="943">
        <v>45257</v>
      </c>
      <c r="C8134" s="195">
        <f t="shared" si="253"/>
        <v>11</v>
      </c>
      <c r="D8134" s="195">
        <v>47.1</v>
      </c>
      <c r="E8134" s="705">
        <f t="shared" si="254"/>
        <v>8.3888888888888893</v>
      </c>
    </row>
    <row r="8135" spans="2:5">
      <c r="B8135" s="943">
        <v>45257</v>
      </c>
      <c r="C8135" s="195">
        <f t="shared" si="253"/>
        <v>11</v>
      </c>
      <c r="D8135" s="195">
        <v>47.7</v>
      </c>
      <c r="E8135" s="705">
        <f t="shared" si="254"/>
        <v>8.7222222222222232</v>
      </c>
    </row>
    <row r="8136" spans="2:5">
      <c r="B8136" s="943">
        <v>45257</v>
      </c>
      <c r="C8136" s="195">
        <f t="shared" si="253"/>
        <v>11</v>
      </c>
      <c r="D8136" s="195">
        <v>48.4</v>
      </c>
      <c r="E8136" s="705">
        <f t="shared" si="254"/>
        <v>9.1111111111111107</v>
      </c>
    </row>
    <row r="8137" spans="2:5">
      <c r="B8137" s="943">
        <v>45257</v>
      </c>
      <c r="C8137" s="195">
        <f t="shared" si="253"/>
        <v>11</v>
      </c>
      <c r="D8137" s="195">
        <v>48.7</v>
      </c>
      <c r="E8137" s="705">
        <f t="shared" si="254"/>
        <v>9.2777777777777786</v>
      </c>
    </row>
    <row r="8138" spans="2:5">
      <c r="B8138" s="943">
        <v>45257</v>
      </c>
      <c r="C8138" s="195">
        <f t="shared" ref="C8138:C8201" si="255">MONTH(B8138)</f>
        <v>11</v>
      </c>
      <c r="D8138" s="195">
        <v>48.9</v>
      </c>
      <c r="E8138" s="705">
        <f t="shared" ref="E8138:E8201" si="256">CONVERT(D8138,"F","C")</f>
        <v>9.3888888888888875</v>
      </c>
    </row>
    <row r="8139" spans="2:5">
      <c r="B8139" s="943">
        <v>45257</v>
      </c>
      <c r="C8139" s="195">
        <f t="shared" si="255"/>
        <v>11</v>
      </c>
      <c r="D8139" s="195">
        <v>48.9</v>
      </c>
      <c r="E8139" s="705">
        <f t="shared" si="256"/>
        <v>9.3888888888888875</v>
      </c>
    </row>
    <row r="8140" spans="2:5">
      <c r="B8140" s="943">
        <v>45257</v>
      </c>
      <c r="C8140" s="195">
        <f t="shared" si="255"/>
        <v>11</v>
      </c>
      <c r="D8140" s="195">
        <v>48.7</v>
      </c>
      <c r="E8140" s="705">
        <f t="shared" si="256"/>
        <v>9.2777777777777786</v>
      </c>
    </row>
    <row r="8141" spans="2:5">
      <c r="B8141" s="943">
        <v>45257</v>
      </c>
      <c r="C8141" s="195">
        <f t="shared" si="255"/>
        <v>11</v>
      </c>
      <c r="D8141" s="195">
        <v>48.4</v>
      </c>
      <c r="E8141" s="705">
        <f t="shared" si="256"/>
        <v>9.1111111111111107</v>
      </c>
    </row>
    <row r="8142" spans="2:5">
      <c r="B8142" s="943">
        <v>45257</v>
      </c>
      <c r="C8142" s="195">
        <f t="shared" si="255"/>
        <v>11</v>
      </c>
      <c r="D8142" s="195">
        <v>47.5</v>
      </c>
      <c r="E8142" s="705">
        <f t="shared" si="256"/>
        <v>8.6111111111111107</v>
      </c>
    </row>
    <row r="8143" spans="2:5">
      <c r="B8143" s="943">
        <v>45257</v>
      </c>
      <c r="C8143" s="195">
        <f t="shared" si="255"/>
        <v>11</v>
      </c>
      <c r="D8143" s="195">
        <v>46.8</v>
      </c>
      <c r="E8143" s="705">
        <f t="shared" si="256"/>
        <v>8.2222222222222197</v>
      </c>
    </row>
    <row r="8144" spans="2:5">
      <c r="B8144" s="943">
        <v>45257</v>
      </c>
      <c r="C8144" s="195">
        <f t="shared" si="255"/>
        <v>11</v>
      </c>
      <c r="D8144" s="195" t="s">
        <v>1434</v>
      </c>
      <c r="E8144" s="705">
        <f t="shared" si="256"/>
        <v>7.7777777777777777</v>
      </c>
    </row>
    <row r="8145" spans="2:5">
      <c r="B8145" s="943">
        <v>45258</v>
      </c>
      <c r="C8145" s="195">
        <f t="shared" si="255"/>
        <v>11</v>
      </c>
      <c r="D8145" s="195">
        <v>45.5</v>
      </c>
      <c r="E8145" s="705">
        <f t="shared" si="256"/>
        <v>7.5</v>
      </c>
    </row>
    <row r="8146" spans="2:5">
      <c r="B8146" s="943">
        <v>45258</v>
      </c>
      <c r="C8146" s="195">
        <f t="shared" si="255"/>
        <v>11</v>
      </c>
      <c r="D8146" s="195">
        <v>45.3</v>
      </c>
      <c r="E8146" s="705">
        <f t="shared" si="256"/>
        <v>7.3888888888888875</v>
      </c>
    </row>
    <row r="8147" spans="2:5">
      <c r="B8147" s="943">
        <v>45258</v>
      </c>
      <c r="C8147" s="195">
        <f t="shared" si="255"/>
        <v>11</v>
      </c>
      <c r="D8147" s="195">
        <v>46.6</v>
      </c>
      <c r="E8147" s="705">
        <f t="shared" si="256"/>
        <v>8.1111111111111125</v>
      </c>
    </row>
    <row r="8148" spans="2:5">
      <c r="B8148" s="943">
        <v>45258</v>
      </c>
      <c r="C8148" s="195">
        <f t="shared" si="255"/>
        <v>11</v>
      </c>
      <c r="D8148" s="195">
        <v>47.3</v>
      </c>
      <c r="E8148" s="705">
        <f t="shared" si="256"/>
        <v>8.4999999999999982</v>
      </c>
    </row>
    <row r="8149" spans="2:5">
      <c r="B8149" s="943">
        <v>45258</v>
      </c>
      <c r="C8149" s="195">
        <f t="shared" si="255"/>
        <v>11</v>
      </c>
      <c r="D8149" s="195">
        <v>48.6</v>
      </c>
      <c r="E8149" s="705">
        <f t="shared" si="256"/>
        <v>9.2222222222222232</v>
      </c>
    </row>
    <row r="8150" spans="2:5">
      <c r="B8150" s="943">
        <v>45258</v>
      </c>
      <c r="C8150" s="195">
        <f t="shared" si="255"/>
        <v>11</v>
      </c>
      <c r="D8150" s="195">
        <v>48.9</v>
      </c>
      <c r="E8150" s="705">
        <f t="shared" si="256"/>
        <v>9.3888888888888875</v>
      </c>
    </row>
    <row r="8151" spans="2:5">
      <c r="B8151" s="943">
        <v>45258</v>
      </c>
      <c r="C8151" s="195">
        <f t="shared" si="255"/>
        <v>11</v>
      </c>
      <c r="D8151" s="195">
        <v>48.9</v>
      </c>
      <c r="E8151" s="705">
        <f t="shared" si="256"/>
        <v>9.3888888888888875</v>
      </c>
    </row>
    <row r="8152" spans="2:5">
      <c r="B8152" s="943">
        <v>45258</v>
      </c>
      <c r="C8152" s="195">
        <f t="shared" si="255"/>
        <v>11</v>
      </c>
      <c r="D8152" s="195">
        <v>48.7</v>
      </c>
      <c r="E8152" s="705">
        <f t="shared" si="256"/>
        <v>9.2777777777777786</v>
      </c>
    </row>
    <row r="8153" spans="2:5">
      <c r="B8153" s="943">
        <v>45258</v>
      </c>
      <c r="C8153" s="195">
        <f t="shared" si="255"/>
        <v>11</v>
      </c>
      <c r="D8153" s="195">
        <v>48.4</v>
      </c>
      <c r="E8153" s="705">
        <f t="shared" si="256"/>
        <v>9.1111111111111107</v>
      </c>
    </row>
    <row r="8154" spans="2:5">
      <c r="B8154" s="943">
        <v>45258</v>
      </c>
      <c r="C8154" s="195">
        <f t="shared" si="255"/>
        <v>11</v>
      </c>
      <c r="D8154" s="195">
        <v>47.7</v>
      </c>
      <c r="E8154" s="705">
        <f t="shared" si="256"/>
        <v>8.7222222222222232</v>
      </c>
    </row>
    <row r="8155" spans="2:5">
      <c r="B8155" s="943">
        <v>45258</v>
      </c>
      <c r="C8155" s="195">
        <f t="shared" si="255"/>
        <v>11</v>
      </c>
      <c r="D8155" s="195">
        <v>46.4</v>
      </c>
      <c r="E8155" s="705">
        <f t="shared" si="256"/>
        <v>7.9999999999999991</v>
      </c>
    </row>
    <row r="8156" spans="2:5">
      <c r="B8156" s="943">
        <v>45258</v>
      </c>
      <c r="C8156" s="195">
        <f t="shared" si="255"/>
        <v>11</v>
      </c>
      <c r="D8156" s="195">
        <v>45.9</v>
      </c>
      <c r="E8156" s="705">
        <f t="shared" si="256"/>
        <v>7.7222222222222214</v>
      </c>
    </row>
    <row r="8157" spans="2:5">
      <c r="B8157" s="943">
        <v>45258</v>
      </c>
      <c r="C8157" s="195">
        <f t="shared" si="255"/>
        <v>11</v>
      </c>
      <c r="D8157" s="195">
        <v>45.3</v>
      </c>
      <c r="E8157" s="705">
        <f t="shared" si="256"/>
        <v>7.3888888888888875</v>
      </c>
    </row>
    <row r="8158" spans="2:5">
      <c r="B8158" s="943">
        <v>45258</v>
      </c>
      <c r="C8158" s="195">
        <f t="shared" si="255"/>
        <v>11</v>
      </c>
      <c r="D8158" s="195">
        <v>45.5</v>
      </c>
      <c r="E8158" s="705">
        <f t="shared" si="256"/>
        <v>7.5</v>
      </c>
    </row>
    <row r="8159" spans="2:5">
      <c r="B8159" s="943">
        <v>45258</v>
      </c>
      <c r="C8159" s="195">
        <f t="shared" si="255"/>
        <v>11</v>
      </c>
      <c r="D8159" s="195">
        <v>46.6</v>
      </c>
      <c r="E8159" s="705">
        <f t="shared" si="256"/>
        <v>8.1111111111111125</v>
      </c>
    </row>
    <row r="8160" spans="2:5">
      <c r="B8160" s="943">
        <v>45258</v>
      </c>
      <c r="C8160" s="195">
        <f t="shared" si="255"/>
        <v>11</v>
      </c>
      <c r="D8160" s="195">
        <v>47.5</v>
      </c>
      <c r="E8160" s="705">
        <f t="shared" si="256"/>
        <v>8.6111111111111107</v>
      </c>
    </row>
    <row r="8161" spans="2:5">
      <c r="B8161" s="943">
        <v>45258</v>
      </c>
      <c r="C8161" s="195">
        <f t="shared" si="255"/>
        <v>11</v>
      </c>
      <c r="D8161" s="195">
        <v>48.6</v>
      </c>
      <c r="E8161" s="705">
        <f t="shared" si="256"/>
        <v>9.2222222222222232</v>
      </c>
    </row>
    <row r="8162" spans="2:5">
      <c r="B8162" s="943">
        <v>45258</v>
      </c>
      <c r="C8162" s="195">
        <f t="shared" si="255"/>
        <v>11</v>
      </c>
      <c r="D8162" s="195">
        <v>48.9</v>
      </c>
      <c r="E8162" s="705">
        <f t="shared" si="256"/>
        <v>9.3888888888888875</v>
      </c>
    </row>
    <row r="8163" spans="2:5">
      <c r="B8163" s="943">
        <v>45258</v>
      </c>
      <c r="C8163" s="195">
        <f t="shared" si="255"/>
        <v>11</v>
      </c>
      <c r="D8163" s="195">
        <v>49.1</v>
      </c>
      <c r="E8163" s="705">
        <f t="shared" si="256"/>
        <v>9.5</v>
      </c>
    </row>
    <row r="8164" spans="2:5">
      <c r="B8164" s="943">
        <v>45258</v>
      </c>
      <c r="C8164" s="195">
        <f t="shared" si="255"/>
        <v>11</v>
      </c>
      <c r="D8164" s="195">
        <v>48.9</v>
      </c>
      <c r="E8164" s="705">
        <f t="shared" si="256"/>
        <v>9.3888888888888875</v>
      </c>
    </row>
    <row r="8165" spans="2:5">
      <c r="B8165" s="943">
        <v>45258</v>
      </c>
      <c r="C8165" s="195">
        <f t="shared" si="255"/>
        <v>11</v>
      </c>
      <c r="D8165" s="195">
        <v>48.6</v>
      </c>
      <c r="E8165" s="705">
        <f t="shared" si="256"/>
        <v>9.2222222222222232</v>
      </c>
    </row>
    <row r="8166" spans="2:5">
      <c r="B8166" s="943">
        <v>45258</v>
      </c>
      <c r="C8166" s="195">
        <f t="shared" si="255"/>
        <v>11</v>
      </c>
      <c r="D8166" s="195">
        <v>47.8</v>
      </c>
      <c r="E8166" s="705">
        <f t="shared" si="256"/>
        <v>8.7777777777777768</v>
      </c>
    </row>
    <row r="8167" spans="2:5">
      <c r="B8167" s="943">
        <v>45258</v>
      </c>
      <c r="C8167" s="195">
        <f t="shared" si="255"/>
        <v>11</v>
      </c>
      <c r="D8167" s="195">
        <v>46.6</v>
      </c>
      <c r="E8167" s="705">
        <f t="shared" si="256"/>
        <v>8.1111111111111125</v>
      </c>
    </row>
    <row r="8168" spans="2:5">
      <c r="B8168" s="943">
        <v>45258</v>
      </c>
      <c r="C8168" s="195">
        <f t="shared" si="255"/>
        <v>11</v>
      </c>
      <c r="D8168" s="195">
        <v>45.7</v>
      </c>
      <c r="E8168" s="705">
        <f t="shared" si="256"/>
        <v>7.6111111111111125</v>
      </c>
    </row>
    <row r="8169" spans="2:5">
      <c r="B8169" s="943">
        <v>45259</v>
      </c>
      <c r="C8169" s="195">
        <f t="shared" si="255"/>
        <v>11</v>
      </c>
      <c r="D8169" s="195" t="s">
        <v>1425</v>
      </c>
      <c r="E8169" s="705">
        <f t="shared" si="256"/>
        <v>7.2222222222222223</v>
      </c>
    </row>
    <row r="8170" spans="2:5">
      <c r="B8170" s="943">
        <v>45259</v>
      </c>
      <c r="C8170" s="195">
        <f t="shared" si="255"/>
        <v>11</v>
      </c>
      <c r="D8170" s="195">
        <v>44.6</v>
      </c>
      <c r="E8170" s="705">
        <f t="shared" si="256"/>
        <v>7.0000000000000009</v>
      </c>
    </row>
    <row r="8171" spans="2:5">
      <c r="B8171" s="943">
        <v>45259</v>
      </c>
      <c r="C8171" s="195">
        <f t="shared" si="255"/>
        <v>11</v>
      </c>
      <c r="D8171" s="195">
        <v>44.6</v>
      </c>
      <c r="E8171" s="705">
        <f t="shared" si="256"/>
        <v>7.0000000000000009</v>
      </c>
    </row>
    <row r="8172" spans="2:5">
      <c r="B8172" s="943">
        <v>45259</v>
      </c>
      <c r="C8172" s="195">
        <f t="shared" si="255"/>
        <v>11</v>
      </c>
      <c r="D8172" s="195">
        <v>45.7</v>
      </c>
      <c r="E8172" s="705">
        <f t="shared" si="256"/>
        <v>7.6111111111111125</v>
      </c>
    </row>
    <row r="8173" spans="2:5">
      <c r="B8173" s="943">
        <v>45259</v>
      </c>
      <c r="C8173" s="195">
        <f t="shared" si="255"/>
        <v>11</v>
      </c>
      <c r="D8173" s="195">
        <v>46.8</v>
      </c>
      <c r="E8173" s="705">
        <f t="shared" si="256"/>
        <v>8.2222222222222197</v>
      </c>
    </row>
    <row r="8174" spans="2:5">
      <c r="B8174" s="943">
        <v>45259</v>
      </c>
      <c r="C8174" s="195">
        <f t="shared" si="255"/>
        <v>11</v>
      </c>
      <c r="D8174" s="195">
        <v>47.8</v>
      </c>
      <c r="E8174" s="705">
        <f t="shared" si="256"/>
        <v>8.7777777777777768</v>
      </c>
    </row>
    <row r="8175" spans="2:5">
      <c r="B8175" s="943">
        <v>45259</v>
      </c>
      <c r="C8175" s="195">
        <f t="shared" si="255"/>
        <v>11</v>
      </c>
      <c r="D8175" s="195">
        <v>48.6</v>
      </c>
      <c r="E8175" s="705">
        <f t="shared" si="256"/>
        <v>9.2222222222222232</v>
      </c>
    </row>
    <row r="8176" spans="2:5">
      <c r="B8176" s="943">
        <v>45259</v>
      </c>
      <c r="C8176" s="195">
        <f t="shared" si="255"/>
        <v>11</v>
      </c>
      <c r="D8176" s="195">
        <v>48.7</v>
      </c>
      <c r="E8176" s="705">
        <f t="shared" si="256"/>
        <v>9.2777777777777786</v>
      </c>
    </row>
    <row r="8177" spans="2:5">
      <c r="B8177" s="943">
        <v>45259</v>
      </c>
      <c r="C8177" s="195">
        <f t="shared" si="255"/>
        <v>11</v>
      </c>
      <c r="D8177" s="195">
        <v>48.6</v>
      </c>
      <c r="E8177" s="705">
        <f t="shared" si="256"/>
        <v>9.2222222222222232</v>
      </c>
    </row>
    <row r="8178" spans="2:5">
      <c r="B8178" s="943">
        <v>45259</v>
      </c>
      <c r="C8178" s="195">
        <f t="shared" si="255"/>
        <v>11</v>
      </c>
      <c r="D8178" s="195">
        <v>47.8</v>
      </c>
      <c r="E8178" s="705">
        <f t="shared" si="256"/>
        <v>8.7777777777777768</v>
      </c>
    </row>
    <row r="8179" spans="2:5">
      <c r="B8179" s="943">
        <v>45259</v>
      </c>
      <c r="C8179" s="195">
        <f t="shared" si="255"/>
        <v>11</v>
      </c>
      <c r="D8179" s="195">
        <v>46.6</v>
      </c>
      <c r="E8179" s="705">
        <f t="shared" si="256"/>
        <v>8.1111111111111125</v>
      </c>
    </row>
    <row r="8180" spans="2:5">
      <c r="B8180" s="943">
        <v>45259</v>
      </c>
      <c r="C8180" s="195">
        <f t="shared" si="255"/>
        <v>11</v>
      </c>
      <c r="D8180" s="195">
        <v>45.1</v>
      </c>
      <c r="E8180" s="705">
        <f t="shared" si="256"/>
        <v>7.2777777777777786</v>
      </c>
    </row>
    <row r="8181" spans="2:5">
      <c r="B8181" s="943">
        <v>45259</v>
      </c>
      <c r="C8181" s="195">
        <f t="shared" si="255"/>
        <v>11</v>
      </c>
      <c r="D8181" s="195">
        <v>44.4</v>
      </c>
      <c r="E8181" s="705">
        <f t="shared" si="256"/>
        <v>6.8888888888888875</v>
      </c>
    </row>
    <row r="8182" spans="2:5">
      <c r="B8182" s="943">
        <v>45259</v>
      </c>
      <c r="C8182" s="195">
        <f t="shared" si="255"/>
        <v>11</v>
      </c>
      <c r="D8182" s="195">
        <v>44.1</v>
      </c>
      <c r="E8182" s="705">
        <f t="shared" si="256"/>
        <v>6.7222222222222232</v>
      </c>
    </row>
    <row r="8183" spans="2:5">
      <c r="B8183" s="943">
        <v>45259</v>
      </c>
      <c r="C8183" s="195">
        <f t="shared" si="255"/>
        <v>11</v>
      </c>
      <c r="D8183" s="195">
        <v>44.8</v>
      </c>
      <c r="E8183" s="705">
        <f t="shared" si="256"/>
        <v>7.1111111111111089</v>
      </c>
    </row>
    <row r="8184" spans="2:5">
      <c r="B8184" s="943">
        <v>45259</v>
      </c>
      <c r="C8184" s="195">
        <f t="shared" si="255"/>
        <v>11</v>
      </c>
      <c r="D8184" s="195">
        <v>45.7</v>
      </c>
      <c r="E8184" s="705">
        <f t="shared" si="256"/>
        <v>7.6111111111111125</v>
      </c>
    </row>
    <row r="8185" spans="2:5">
      <c r="B8185" s="943">
        <v>45259</v>
      </c>
      <c r="C8185" s="195">
        <f t="shared" si="255"/>
        <v>11</v>
      </c>
      <c r="D8185" s="195">
        <v>46.9</v>
      </c>
      <c r="E8185" s="705">
        <f t="shared" si="256"/>
        <v>8.2777777777777768</v>
      </c>
    </row>
    <row r="8186" spans="2:5">
      <c r="B8186" s="943">
        <v>45259</v>
      </c>
      <c r="C8186" s="195">
        <f t="shared" si="255"/>
        <v>11</v>
      </c>
      <c r="D8186" s="195">
        <v>48.4</v>
      </c>
      <c r="E8186" s="705">
        <f t="shared" si="256"/>
        <v>9.1111111111111107</v>
      </c>
    </row>
    <row r="8187" spans="2:5">
      <c r="B8187" s="943">
        <v>45259</v>
      </c>
      <c r="C8187" s="195">
        <f t="shared" si="255"/>
        <v>11</v>
      </c>
      <c r="D8187" s="195">
        <v>48.9</v>
      </c>
      <c r="E8187" s="705">
        <f t="shared" si="256"/>
        <v>9.3888888888888875</v>
      </c>
    </row>
    <row r="8188" spans="2:5">
      <c r="B8188" s="943">
        <v>45259</v>
      </c>
      <c r="C8188" s="195">
        <f t="shared" si="255"/>
        <v>11</v>
      </c>
      <c r="D8188" s="195">
        <v>48.9</v>
      </c>
      <c r="E8188" s="705">
        <f t="shared" si="256"/>
        <v>9.3888888888888875</v>
      </c>
    </row>
    <row r="8189" spans="2:5">
      <c r="B8189" s="943">
        <v>45259</v>
      </c>
      <c r="C8189" s="195">
        <f t="shared" si="255"/>
        <v>11</v>
      </c>
      <c r="D8189" s="195">
        <v>48.7</v>
      </c>
      <c r="E8189" s="705">
        <f t="shared" si="256"/>
        <v>9.2777777777777786</v>
      </c>
    </row>
    <row r="8190" spans="2:5">
      <c r="B8190" s="943">
        <v>45259</v>
      </c>
      <c r="C8190" s="195">
        <f t="shared" si="255"/>
        <v>11</v>
      </c>
      <c r="D8190" s="195">
        <v>48.2</v>
      </c>
      <c r="E8190" s="705">
        <f t="shared" si="256"/>
        <v>9.0000000000000018</v>
      </c>
    </row>
    <row r="8191" spans="2:5">
      <c r="B8191" s="943">
        <v>45259</v>
      </c>
      <c r="C8191" s="195">
        <f t="shared" si="255"/>
        <v>11</v>
      </c>
      <c r="D8191" s="195">
        <v>46.9</v>
      </c>
      <c r="E8191" s="705">
        <f t="shared" si="256"/>
        <v>8.2777777777777768</v>
      </c>
    </row>
    <row r="8192" spans="2:5">
      <c r="B8192" s="943">
        <v>45259</v>
      </c>
      <c r="C8192" s="195">
        <f t="shared" si="255"/>
        <v>11</v>
      </c>
      <c r="D8192" s="195">
        <v>45.5</v>
      </c>
      <c r="E8192" s="705">
        <f t="shared" si="256"/>
        <v>7.5</v>
      </c>
    </row>
    <row r="8193" spans="2:5">
      <c r="B8193" s="943">
        <v>45260</v>
      </c>
      <c r="C8193" s="195">
        <f t="shared" si="255"/>
        <v>11</v>
      </c>
      <c r="D8193" s="195">
        <v>44.6</v>
      </c>
      <c r="E8193" s="705">
        <f t="shared" si="256"/>
        <v>7.0000000000000009</v>
      </c>
    </row>
    <row r="8194" spans="2:5">
      <c r="B8194" s="943">
        <v>45260</v>
      </c>
      <c r="C8194" s="195">
        <f t="shared" si="255"/>
        <v>11</v>
      </c>
      <c r="D8194" s="195">
        <v>43.9</v>
      </c>
      <c r="E8194" s="705">
        <f t="shared" si="256"/>
        <v>6.6111111111111098</v>
      </c>
    </row>
    <row r="8195" spans="2:5">
      <c r="B8195" s="943">
        <v>45260</v>
      </c>
      <c r="C8195" s="195">
        <f t="shared" si="255"/>
        <v>11</v>
      </c>
      <c r="D8195" s="195">
        <v>43.5</v>
      </c>
      <c r="E8195" s="705">
        <f t="shared" si="256"/>
        <v>6.3888888888888884</v>
      </c>
    </row>
    <row r="8196" spans="2:5">
      <c r="B8196" s="943">
        <v>45260</v>
      </c>
      <c r="C8196" s="195">
        <f t="shared" si="255"/>
        <v>11</v>
      </c>
      <c r="D8196" s="195">
        <v>44.1</v>
      </c>
      <c r="E8196" s="705">
        <f t="shared" si="256"/>
        <v>6.7222222222222232</v>
      </c>
    </row>
    <row r="8197" spans="2:5">
      <c r="B8197" s="943">
        <v>45260</v>
      </c>
      <c r="C8197" s="195">
        <f t="shared" si="255"/>
        <v>11</v>
      </c>
      <c r="D8197" s="195">
        <v>45.3</v>
      </c>
      <c r="E8197" s="705">
        <f t="shared" si="256"/>
        <v>7.3888888888888875</v>
      </c>
    </row>
    <row r="8198" spans="2:5">
      <c r="B8198" s="943">
        <v>45260</v>
      </c>
      <c r="C8198" s="195">
        <f t="shared" si="255"/>
        <v>11</v>
      </c>
      <c r="D8198" s="195">
        <v>46.6</v>
      </c>
      <c r="E8198" s="705">
        <f t="shared" si="256"/>
        <v>8.1111111111111125</v>
      </c>
    </row>
    <row r="8199" spans="2:5">
      <c r="B8199" s="943">
        <v>45260</v>
      </c>
      <c r="C8199" s="195">
        <f t="shared" si="255"/>
        <v>11</v>
      </c>
      <c r="D8199" s="195">
        <v>47.8</v>
      </c>
      <c r="E8199" s="705">
        <f t="shared" si="256"/>
        <v>8.7777777777777768</v>
      </c>
    </row>
    <row r="8200" spans="2:5">
      <c r="B8200" s="943">
        <v>45260</v>
      </c>
      <c r="C8200" s="195">
        <f t="shared" si="255"/>
        <v>11</v>
      </c>
      <c r="D8200" s="195">
        <v>48.2</v>
      </c>
      <c r="E8200" s="705">
        <f t="shared" si="256"/>
        <v>9.0000000000000018</v>
      </c>
    </row>
    <row r="8201" spans="2:5">
      <c r="B8201" s="943">
        <v>45260</v>
      </c>
      <c r="C8201" s="195">
        <f t="shared" si="255"/>
        <v>11</v>
      </c>
      <c r="D8201" s="195">
        <v>48.4</v>
      </c>
      <c r="E8201" s="705">
        <f t="shared" si="256"/>
        <v>9.1111111111111107</v>
      </c>
    </row>
    <row r="8202" spans="2:5">
      <c r="B8202" s="943">
        <v>45260</v>
      </c>
      <c r="C8202" s="195">
        <f t="shared" ref="C8202:C8265" si="257">MONTH(B8202)</f>
        <v>11</v>
      </c>
      <c r="D8202" s="195">
        <v>48.2</v>
      </c>
      <c r="E8202" s="705">
        <f t="shared" ref="E8202:E8265" si="258">CONVERT(D8202,"F","C")</f>
        <v>9.0000000000000018</v>
      </c>
    </row>
    <row r="8203" spans="2:5">
      <c r="B8203" s="943">
        <v>45260</v>
      </c>
      <c r="C8203" s="195">
        <f t="shared" si="257"/>
        <v>11</v>
      </c>
      <c r="D8203" s="195">
        <v>47.5</v>
      </c>
      <c r="E8203" s="705">
        <f t="shared" si="258"/>
        <v>8.6111111111111107</v>
      </c>
    </row>
    <row r="8204" spans="2:5">
      <c r="B8204" s="943">
        <v>45260</v>
      </c>
      <c r="C8204" s="195">
        <f t="shared" si="257"/>
        <v>11</v>
      </c>
      <c r="D8204" s="195">
        <v>46.2</v>
      </c>
      <c r="E8204" s="705">
        <f t="shared" si="258"/>
        <v>7.8888888888888902</v>
      </c>
    </row>
    <row r="8205" spans="2:5">
      <c r="B8205" s="943">
        <v>45260</v>
      </c>
      <c r="C8205" s="195">
        <f t="shared" si="257"/>
        <v>11</v>
      </c>
      <c r="D8205" s="195">
        <v>44.8</v>
      </c>
      <c r="E8205" s="705">
        <f t="shared" si="258"/>
        <v>7.1111111111111089</v>
      </c>
    </row>
    <row r="8206" spans="2:5">
      <c r="B8206" s="943">
        <v>45260</v>
      </c>
      <c r="C8206" s="195">
        <f t="shared" si="257"/>
        <v>11</v>
      </c>
      <c r="D8206" s="195">
        <v>44.1</v>
      </c>
      <c r="E8206" s="705">
        <f t="shared" si="258"/>
        <v>6.7222222222222232</v>
      </c>
    </row>
    <row r="8207" spans="2:5">
      <c r="B8207" s="943">
        <v>45260</v>
      </c>
      <c r="C8207" s="195">
        <f t="shared" si="257"/>
        <v>11</v>
      </c>
      <c r="D8207" s="195">
        <v>43.9</v>
      </c>
      <c r="E8207" s="705">
        <f t="shared" si="258"/>
        <v>6.6111111111111098</v>
      </c>
    </row>
    <row r="8208" spans="2:5">
      <c r="B8208" s="943">
        <v>45260</v>
      </c>
      <c r="C8208" s="195">
        <f t="shared" si="257"/>
        <v>11</v>
      </c>
      <c r="D8208" s="195">
        <v>44.4</v>
      </c>
      <c r="E8208" s="705">
        <f t="shared" si="258"/>
        <v>6.8888888888888875</v>
      </c>
    </row>
    <row r="8209" spans="2:5">
      <c r="B8209" s="943">
        <v>45260</v>
      </c>
      <c r="C8209" s="195">
        <f t="shared" si="257"/>
        <v>11</v>
      </c>
      <c r="D8209" s="195">
        <v>46.2</v>
      </c>
      <c r="E8209" s="705">
        <f t="shared" si="258"/>
        <v>7.8888888888888902</v>
      </c>
    </row>
    <row r="8210" spans="2:5">
      <c r="B8210" s="943">
        <v>45260</v>
      </c>
      <c r="C8210" s="195">
        <f t="shared" si="257"/>
        <v>11</v>
      </c>
      <c r="D8210" s="195">
        <v>47.1</v>
      </c>
      <c r="E8210" s="705">
        <f t="shared" si="258"/>
        <v>8.3888888888888893</v>
      </c>
    </row>
    <row r="8211" spans="2:5">
      <c r="B8211" s="943">
        <v>45260</v>
      </c>
      <c r="C8211" s="195">
        <f t="shared" si="257"/>
        <v>11</v>
      </c>
      <c r="D8211" s="195">
        <v>48.4</v>
      </c>
      <c r="E8211" s="705">
        <f t="shared" si="258"/>
        <v>9.1111111111111107</v>
      </c>
    </row>
    <row r="8212" spans="2:5">
      <c r="B8212" s="943">
        <v>45260</v>
      </c>
      <c r="C8212" s="195">
        <f t="shared" si="257"/>
        <v>11</v>
      </c>
      <c r="D8212" s="195">
        <v>48.7</v>
      </c>
      <c r="E8212" s="705">
        <f t="shared" si="258"/>
        <v>9.2777777777777786</v>
      </c>
    </row>
    <row r="8213" spans="2:5">
      <c r="B8213" s="943">
        <v>45260</v>
      </c>
      <c r="C8213" s="195">
        <f t="shared" si="257"/>
        <v>11</v>
      </c>
      <c r="D8213" s="195">
        <v>48.7</v>
      </c>
      <c r="E8213" s="705">
        <f t="shared" si="258"/>
        <v>9.2777777777777786</v>
      </c>
    </row>
    <row r="8214" spans="2:5">
      <c r="B8214" s="943">
        <v>45260</v>
      </c>
      <c r="C8214" s="195">
        <f t="shared" si="257"/>
        <v>11</v>
      </c>
      <c r="D8214" s="195">
        <v>48.7</v>
      </c>
      <c r="E8214" s="705">
        <f t="shared" si="258"/>
        <v>9.2777777777777786</v>
      </c>
    </row>
    <row r="8215" spans="2:5">
      <c r="B8215" s="943">
        <v>45260</v>
      </c>
      <c r="C8215" s="195">
        <f t="shared" si="257"/>
        <v>11</v>
      </c>
      <c r="D8215" s="195" t="s">
        <v>1435</v>
      </c>
      <c r="E8215" s="705">
        <f t="shared" si="258"/>
        <v>8.8888888888888893</v>
      </c>
    </row>
    <row r="8216" spans="2:5">
      <c r="B8216" s="943">
        <v>45260</v>
      </c>
      <c r="C8216" s="195">
        <f t="shared" si="257"/>
        <v>11</v>
      </c>
      <c r="D8216" s="195">
        <v>46.8</v>
      </c>
      <c r="E8216" s="705">
        <f t="shared" si="258"/>
        <v>8.2222222222222197</v>
      </c>
    </row>
    <row r="8217" spans="2:5">
      <c r="B8217" s="943">
        <v>45261</v>
      </c>
      <c r="C8217" s="195">
        <f t="shared" si="257"/>
        <v>12</v>
      </c>
      <c r="D8217" s="195">
        <v>45.5</v>
      </c>
      <c r="E8217" s="705">
        <f t="shared" si="258"/>
        <v>7.5</v>
      </c>
    </row>
    <row r="8218" spans="2:5">
      <c r="B8218" s="943">
        <v>45261</v>
      </c>
      <c r="C8218" s="195">
        <f t="shared" si="257"/>
        <v>12</v>
      </c>
      <c r="D8218" s="195">
        <v>44.4</v>
      </c>
      <c r="E8218" s="705">
        <f t="shared" si="258"/>
        <v>6.8888888888888875</v>
      </c>
    </row>
    <row r="8219" spans="2:5">
      <c r="B8219" s="943">
        <v>45261</v>
      </c>
      <c r="C8219" s="195">
        <f t="shared" si="257"/>
        <v>12</v>
      </c>
      <c r="D8219" s="195">
        <v>43.7</v>
      </c>
      <c r="E8219" s="705">
        <f t="shared" si="258"/>
        <v>6.5000000000000018</v>
      </c>
    </row>
    <row r="8220" spans="2:5">
      <c r="B8220" s="943">
        <v>45261</v>
      </c>
      <c r="C8220" s="195">
        <f t="shared" si="257"/>
        <v>12</v>
      </c>
      <c r="D8220" s="195">
        <v>43.3</v>
      </c>
      <c r="E8220" s="705">
        <f t="shared" si="258"/>
        <v>6.2777777777777759</v>
      </c>
    </row>
    <row r="8221" spans="2:5">
      <c r="B8221" s="943">
        <v>45261</v>
      </c>
      <c r="C8221" s="195">
        <f t="shared" si="257"/>
        <v>12</v>
      </c>
      <c r="D8221" s="195">
        <v>44.4</v>
      </c>
      <c r="E8221" s="705">
        <f t="shared" si="258"/>
        <v>6.8888888888888875</v>
      </c>
    </row>
    <row r="8222" spans="2:5">
      <c r="B8222" s="943">
        <v>45261</v>
      </c>
      <c r="C8222" s="195">
        <f t="shared" si="257"/>
        <v>12</v>
      </c>
      <c r="D8222" s="195">
        <v>45.5</v>
      </c>
      <c r="E8222" s="705">
        <f t="shared" si="258"/>
        <v>7.5</v>
      </c>
    </row>
    <row r="8223" spans="2:5">
      <c r="B8223" s="943">
        <v>45261</v>
      </c>
      <c r="C8223" s="195">
        <f t="shared" si="257"/>
        <v>12</v>
      </c>
      <c r="D8223" s="195">
        <v>46.4</v>
      </c>
      <c r="E8223" s="705">
        <f t="shared" si="258"/>
        <v>7.9999999999999991</v>
      </c>
    </row>
    <row r="8224" spans="2:5">
      <c r="B8224" s="943">
        <v>45261</v>
      </c>
      <c r="C8224" s="195">
        <f t="shared" si="257"/>
        <v>12</v>
      </c>
      <c r="D8224" s="195">
        <v>47.7</v>
      </c>
      <c r="E8224" s="705">
        <f t="shared" si="258"/>
        <v>8.7222222222222232</v>
      </c>
    </row>
    <row r="8225" spans="2:5">
      <c r="B8225" s="943">
        <v>45261</v>
      </c>
      <c r="C8225" s="195">
        <f t="shared" si="257"/>
        <v>12</v>
      </c>
      <c r="D8225" s="195" t="s">
        <v>1435</v>
      </c>
      <c r="E8225" s="705">
        <f t="shared" si="258"/>
        <v>8.8888888888888893</v>
      </c>
    </row>
    <row r="8226" spans="2:5">
      <c r="B8226" s="943">
        <v>45261</v>
      </c>
      <c r="C8226" s="195">
        <f t="shared" si="257"/>
        <v>12</v>
      </c>
      <c r="D8226" s="195">
        <v>48.2</v>
      </c>
      <c r="E8226" s="705">
        <f t="shared" si="258"/>
        <v>9.0000000000000018</v>
      </c>
    </row>
    <row r="8227" spans="2:5">
      <c r="B8227" s="943">
        <v>45261</v>
      </c>
      <c r="C8227" s="195">
        <f t="shared" si="257"/>
        <v>12</v>
      </c>
      <c r="D8227" s="195">
        <v>47.8</v>
      </c>
      <c r="E8227" s="705">
        <f t="shared" si="258"/>
        <v>8.7777777777777768</v>
      </c>
    </row>
    <row r="8228" spans="2:5">
      <c r="B8228" s="943">
        <v>45261</v>
      </c>
      <c r="C8228" s="195">
        <f t="shared" si="257"/>
        <v>12</v>
      </c>
      <c r="D8228" s="195">
        <v>46.9</v>
      </c>
      <c r="E8228" s="705">
        <f t="shared" si="258"/>
        <v>8.2777777777777768</v>
      </c>
    </row>
    <row r="8229" spans="2:5">
      <c r="B8229" s="943">
        <v>45261</v>
      </c>
      <c r="C8229" s="195">
        <f t="shared" si="257"/>
        <v>12</v>
      </c>
      <c r="D8229" s="195">
        <v>45.7</v>
      </c>
      <c r="E8229" s="705">
        <f t="shared" si="258"/>
        <v>7.6111111111111125</v>
      </c>
    </row>
    <row r="8230" spans="2:5">
      <c r="B8230" s="943">
        <v>45261</v>
      </c>
      <c r="C8230" s="195">
        <f t="shared" si="257"/>
        <v>12</v>
      </c>
      <c r="D8230" s="195">
        <v>44.4</v>
      </c>
      <c r="E8230" s="705">
        <f t="shared" si="258"/>
        <v>6.8888888888888875</v>
      </c>
    </row>
    <row r="8231" spans="2:5">
      <c r="B8231" s="943">
        <v>45261</v>
      </c>
      <c r="C8231" s="195">
        <f t="shared" si="257"/>
        <v>12</v>
      </c>
      <c r="D8231" s="195">
        <v>43.9</v>
      </c>
      <c r="E8231" s="705">
        <f t="shared" si="258"/>
        <v>6.6111111111111098</v>
      </c>
    </row>
    <row r="8232" spans="2:5">
      <c r="B8232" s="943">
        <v>45261</v>
      </c>
      <c r="C8232" s="195">
        <f t="shared" si="257"/>
        <v>12</v>
      </c>
      <c r="D8232" s="195">
        <v>43.9</v>
      </c>
      <c r="E8232" s="705">
        <f t="shared" si="258"/>
        <v>6.6111111111111098</v>
      </c>
    </row>
    <row r="8233" spans="2:5">
      <c r="B8233" s="943">
        <v>45261</v>
      </c>
      <c r="C8233" s="195">
        <f t="shared" si="257"/>
        <v>12</v>
      </c>
      <c r="D8233" s="195">
        <v>45.7</v>
      </c>
      <c r="E8233" s="705">
        <f t="shared" si="258"/>
        <v>7.6111111111111125</v>
      </c>
    </row>
    <row r="8234" spans="2:5">
      <c r="B8234" s="943">
        <v>45261</v>
      </c>
      <c r="C8234" s="195">
        <f t="shared" si="257"/>
        <v>12</v>
      </c>
      <c r="D8234" s="195">
        <v>46.2</v>
      </c>
      <c r="E8234" s="705">
        <f t="shared" si="258"/>
        <v>7.8888888888888902</v>
      </c>
    </row>
    <row r="8235" spans="2:5">
      <c r="B8235" s="943">
        <v>45261</v>
      </c>
      <c r="C8235" s="195">
        <f t="shared" si="257"/>
        <v>12</v>
      </c>
      <c r="D8235" s="195">
        <v>47.5</v>
      </c>
      <c r="E8235" s="705">
        <f t="shared" si="258"/>
        <v>8.6111111111111107</v>
      </c>
    </row>
    <row r="8236" spans="2:5">
      <c r="B8236" s="943">
        <v>45261</v>
      </c>
      <c r="C8236" s="195">
        <f t="shared" si="257"/>
        <v>12</v>
      </c>
      <c r="D8236" s="195">
        <v>48.2</v>
      </c>
      <c r="E8236" s="705">
        <f t="shared" si="258"/>
        <v>9.0000000000000018</v>
      </c>
    </row>
    <row r="8237" spans="2:5">
      <c r="B8237" s="943">
        <v>45261</v>
      </c>
      <c r="C8237" s="195">
        <f t="shared" si="257"/>
        <v>12</v>
      </c>
      <c r="D8237" s="195">
        <v>48.4</v>
      </c>
      <c r="E8237" s="705">
        <f t="shared" si="258"/>
        <v>9.1111111111111107</v>
      </c>
    </row>
    <row r="8238" spans="2:5">
      <c r="B8238" s="943">
        <v>45261</v>
      </c>
      <c r="C8238" s="195">
        <f t="shared" si="257"/>
        <v>12</v>
      </c>
      <c r="D8238" s="195">
        <v>48.6</v>
      </c>
      <c r="E8238" s="705">
        <f t="shared" si="258"/>
        <v>9.2222222222222232</v>
      </c>
    </row>
    <row r="8239" spans="2:5">
      <c r="B8239" s="943">
        <v>45261</v>
      </c>
      <c r="C8239" s="195">
        <f t="shared" si="257"/>
        <v>12</v>
      </c>
      <c r="D8239" s="195">
        <v>48.4</v>
      </c>
      <c r="E8239" s="705">
        <f t="shared" si="258"/>
        <v>9.1111111111111107</v>
      </c>
    </row>
    <row r="8240" spans="2:5">
      <c r="B8240" s="943">
        <v>45261</v>
      </c>
      <c r="C8240" s="195">
        <f t="shared" si="257"/>
        <v>12</v>
      </c>
      <c r="D8240" s="195">
        <v>47.7</v>
      </c>
      <c r="E8240" s="705">
        <f t="shared" si="258"/>
        <v>8.7222222222222232</v>
      </c>
    </row>
    <row r="8241" spans="2:5">
      <c r="B8241" s="943">
        <v>45262</v>
      </c>
      <c r="C8241" s="195">
        <f t="shared" si="257"/>
        <v>12</v>
      </c>
      <c r="D8241" s="195">
        <v>46.4</v>
      </c>
      <c r="E8241" s="705">
        <f t="shared" si="258"/>
        <v>7.9999999999999991</v>
      </c>
    </row>
    <row r="8242" spans="2:5">
      <c r="B8242" s="943">
        <v>45262</v>
      </c>
      <c r="C8242" s="195">
        <f t="shared" si="257"/>
        <v>12</v>
      </c>
      <c r="D8242" s="195">
        <v>45.1</v>
      </c>
      <c r="E8242" s="705">
        <f t="shared" si="258"/>
        <v>7.2777777777777786</v>
      </c>
    </row>
    <row r="8243" spans="2:5">
      <c r="B8243" s="943">
        <v>45262</v>
      </c>
      <c r="C8243" s="195">
        <f t="shared" si="257"/>
        <v>12</v>
      </c>
      <c r="D8243" s="195">
        <v>44.4</v>
      </c>
      <c r="E8243" s="705">
        <f t="shared" si="258"/>
        <v>6.8888888888888875</v>
      </c>
    </row>
    <row r="8244" spans="2:5">
      <c r="B8244" s="943">
        <v>45262</v>
      </c>
      <c r="C8244" s="195">
        <f t="shared" si="257"/>
        <v>12</v>
      </c>
      <c r="D8244" s="195">
        <v>43.9</v>
      </c>
      <c r="E8244" s="705">
        <f t="shared" si="258"/>
        <v>6.6111111111111098</v>
      </c>
    </row>
    <row r="8245" spans="2:5">
      <c r="B8245" s="943">
        <v>45262</v>
      </c>
      <c r="C8245" s="195">
        <f t="shared" si="257"/>
        <v>12</v>
      </c>
      <c r="D8245" s="195">
        <v>43.7</v>
      </c>
      <c r="E8245" s="705">
        <f t="shared" si="258"/>
        <v>6.5000000000000018</v>
      </c>
    </row>
    <row r="8246" spans="2:5">
      <c r="B8246" s="943">
        <v>45262</v>
      </c>
      <c r="C8246" s="195">
        <f t="shared" si="257"/>
        <v>12</v>
      </c>
      <c r="D8246" s="195">
        <v>45.1</v>
      </c>
      <c r="E8246" s="705">
        <f t="shared" si="258"/>
        <v>7.2777777777777786</v>
      </c>
    </row>
    <row r="8247" spans="2:5">
      <c r="B8247" s="943">
        <v>45262</v>
      </c>
      <c r="C8247" s="195">
        <f t="shared" si="257"/>
        <v>12</v>
      </c>
      <c r="D8247" s="195" t="s">
        <v>1434</v>
      </c>
      <c r="E8247" s="705">
        <f t="shared" si="258"/>
        <v>7.7777777777777777</v>
      </c>
    </row>
    <row r="8248" spans="2:5">
      <c r="B8248" s="943">
        <v>45262</v>
      </c>
      <c r="C8248" s="195">
        <f t="shared" si="257"/>
        <v>12</v>
      </c>
      <c r="D8248" s="195">
        <v>47.1</v>
      </c>
      <c r="E8248" s="705">
        <f t="shared" si="258"/>
        <v>8.3888888888888893</v>
      </c>
    </row>
    <row r="8249" spans="2:5">
      <c r="B8249" s="943">
        <v>45262</v>
      </c>
      <c r="C8249" s="195">
        <f t="shared" si="257"/>
        <v>12</v>
      </c>
      <c r="D8249" s="195">
        <v>47.8</v>
      </c>
      <c r="E8249" s="705">
        <f t="shared" si="258"/>
        <v>8.7777777777777768</v>
      </c>
    </row>
    <row r="8250" spans="2:5">
      <c r="B8250" s="943">
        <v>45262</v>
      </c>
      <c r="C8250" s="195">
        <f t="shared" si="257"/>
        <v>12</v>
      </c>
      <c r="D8250" s="195">
        <v>48.2</v>
      </c>
      <c r="E8250" s="705">
        <f t="shared" si="258"/>
        <v>9.0000000000000018</v>
      </c>
    </row>
    <row r="8251" spans="2:5">
      <c r="B8251" s="943">
        <v>45262</v>
      </c>
      <c r="C8251" s="195">
        <f t="shared" si="257"/>
        <v>12</v>
      </c>
      <c r="D8251" s="195">
        <v>48.2</v>
      </c>
      <c r="E8251" s="705">
        <f t="shared" si="258"/>
        <v>9.0000000000000018</v>
      </c>
    </row>
    <row r="8252" spans="2:5">
      <c r="B8252" s="943">
        <v>45262</v>
      </c>
      <c r="C8252" s="195">
        <f t="shared" si="257"/>
        <v>12</v>
      </c>
      <c r="D8252" s="195" t="s">
        <v>1435</v>
      </c>
      <c r="E8252" s="705">
        <f t="shared" si="258"/>
        <v>8.8888888888888893</v>
      </c>
    </row>
    <row r="8253" spans="2:5">
      <c r="B8253" s="943">
        <v>45262</v>
      </c>
      <c r="C8253" s="195">
        <f t="shared" si="257"/>
        <v>12</v>
      </c>
      <c r="D8253" s="195">
        <v>47.1</v>
      </c>
      <c r="E8253" s="705">
        <f t="shared" si="258"/>
        <v>8.3888888888888893</v>
      </c>
    </row>
    <row r="8254" spans="2:5">
      <c r="B8254" s="943">
        <v>45262</v>
      </c>
      <c r="C8254" s="195">
        <f t="shared" si="257"/>
        <v>12</v>
      </c>
      <c r="D8254" s="195" t="s">
        <v>1434</v>
      </c>
      <c r="E8254" s="705">
        <f t="shared" si="258"/>
        <v>7.7777777777777777</v>
      </c>
    </row>
    <row r="8255" spans="2:5">
      <c r="B8255" s="943">
        <v>45262</v>
      </c>
      <c r="C8255" s="195">
        <f t="shared" si="257"/>
        <v>12</v>
      </c>
      <c r="D8255" s="195" t="s">
        <v>1425</v>
      </c>
      <c r="E8255" s="705">
        <f t="shared" si="258"/>
        <v>7.2222222222222223</v>
      </c>
    </row>
    <row r="8256" spans="2:5">
      <c r="B8256" s="943">
        <v>45262</v>
      </c>
      <c r="C8256" s="195">
        <f t="shared" si="257"/>
        <v>12</v>
      </c>
      <c r="D8256" s="195">
        <v>44.6</v>
      </c>
      <c r="E8256" s="705">
        <f t="shared" si="258"/>
        <v>7.0000000000000009</v>
      </c>
    </row>
    <row r="8257" spans="2:5">
      <c r="B8257" s="943">
        <v>45262</v>
      </c>
      <c r="C8257" s="195">
        <f t="shared" si="257"/>
        <v>12</v>
      </c>
      <c r="D8257" s="195">
        <v>44.8</v>
      </c>
      <c r="E8257" s="705">
        <f t="shared" si="258"/>
        <v>7.1111111111111089</v>
      </c>
    </row>
    <row r="8258" spans="2:5">
      <c r="B8258" s="943">
        <v>45262</v>
      </c>
      <c r="C8258" s="195">
        <f t="shared" si="257"/>
        <v>12</v>
      </c>
      <c r="D8258" s="195">
        <v>46.4</v>
      </c>
      <c r="E8258" s="705">
        <f t="shared" si="258"/>
        <v>7.9999999999999991</v>
      </c>
    </row>
    <row r="8259" spans="2:5">
      <c r="B8259" s="943">
        <v>45262</v>
      </c>
      <c r="C8259" s="195">
        <f t="shared" si="257"/>
        <v>12</v>
      </c>
      <c r="D8259" s="195">
        <v>46.9</v>
      </c>
      <c r="E8259" s="705">
        <f t="shared" si="258"/>
        <v>8.2777777777777768</v>
      </c>
    </row>
    <row r="8260" spans="2:5">
      <c r="B8260" s="943">
        <v>45262</v>
      </c>
      <c r="C8260" s="195">
        <f t="shared" si="257"/>
        <v>12</v>
      </c>
      <c r="D8260" s="195">
        <v>47.8</v>
      </c>
      <c r="E8260" s="705">
        <f t="shared" si="258"/>
        <v>8.7777777777777768</v>
      </c>
    </row>
    <row r="8261" spans="2:5">
      <c r="B8261" s="943">
        <v>45262</v>
      </c>
      <c r="C8261" s="195">
        <f t="shared" si="257"/>
        <v>12</v>
      </c>
      <c r="D8261" s="195">
        <v>48.4</v>
      </c>
      <c r="E8261" s="705">
        <f t="shared" si="258"/>
        <v>9.1111111111111107</v>
      </c>
    </row>
    <row r="8262" spans="2:5">
      <c r="B8262" s="943">
        <v>45262</v>
      </c>
      <c r="C8262" s="195">
        <f t="shared" si="257"/>
        <v>12</v>
      </c>
      <c r="D8262" s="195">
        <v>48.7</v>
      </c>
      <c r="E8262" s="705">
        <f t="shared" si="258"/>
        <v>9.2777777777777786</v>
      </c>
    </row>
    <row r="8263" spans="2:5">
      <c r="B8263" s="943">
        <v>45262</v>
      </c>
      <c r="C8263" s="195">
        <f t="shared" si="257"/>
        <v>12</v>
      </c>
      <c r="D8263" s="195">
        <v>48.7</v>
      </c>
      <c r="E8263" s="705">
        <f t="shared" si="258"/>
        <v>9.2777777777777786</v>
      </c>
    </row>
    <row r="8264" spans="2:5">
      <c r="B8264" s="943">
        <v>45262</v>
      </c>
      <c r="C8264" s="195">
        <f t="shared" si="257"/>
        <v>12</v>
      </c>
      <c r="D8264" s="195">
        <v>48.4</v>
      </c>
      <c r="E8264" s="705">
        <f t="shared" si="258"/>
        <v>9.1111111111111107</v>
      </c>
    </row>
    <row r="8265" spans="2:5">
      <c r="B8265" s="943">
        <v>45263</v>
      </c>
      <c r="C8265" s="195">
        <f t="shared" si="257"/>
        <v>12</v>
      </c>
      <c r="D8265" s="195">
        <v>47.7</v>
      </c>
      <c r="E8265" s="705">
        <f t="shared" si="258"/>
        <v>8.7222222222222232</v>
      </c>
    </row>
    <row r="8266" spans="2:5">
      <c r="B8266" s="943">
        <v>45263</v>
      </c>
      <c r="C8266" s="195">
        <f t="shared" ref="C8266:C8329" si="259">MONTH(B8266)</f>
        <v>12</v>
      </c>
      <c r="D8266" s="195">
        <v>46.4</v>
      </c>
      <c r="E8266" s="705">
        <f t="shared" ref="E8266:E8329" si="260">CONVERT(D8266,"F","C")</f>
        <v>7.9999999999999991</v>
      </c>
    </row>
    <row r="8267" spans="2:5">
      <c r="B8267" s="943">
        <v>45263</v>
      </c>
      <c r="C8267" s="195">
        <f t="shared" si="259"/>
        <v>12</v>
      </c>
      <c r="D8267" s="195">
        <v>45.3</v>
      </c>
      <c r="E8267" s="705">
        <f t="shared" si="260"/>
        <v>7.3888888888888875</v>
      </c>
    </row>
    <row r="8268" spans="2:5">
      <c r="B8268" s="943">
        <v>45263</v>
      </c>
      <c r="C8268" s="195">
        <f t="shared" si="259"/>
        <v>12</v>
      </c>
      <c r="D8268" s="195">
        <v>44.6</v>
      </c>
      <c r="E8268" s="705">
        <f t="shared" si="260"/>
        <v>7.0000000000000009</v>
      </c>
    </row>
    <row r="8269" spans="2:5">
      <c r="B8269" s="943">
        <v>45263</v>
      </c>
      <c r="C8269" s="195">
        <f t="shared" si="259"/>
        <v>12</v>
      </c>
      <c r="D8269" s="195">
        <v>44.2</v>
      </c>
      <c r="E8269" s="705">
        <f t="shared" si="260"/>
        <v>6.7777777777777795</v>
      </c>
    </row>
    <row r="8270" spans="2:5">
      <c r="B8270" s="943">
        <v>45263</v>
      </c>
      <c r="C8270" s="195">
        <f t="shared" si="259"/>
        <v>12</v>
      </c>
      <c r="D8270" s="195">
        <v>44.6</v>
      </c>
      <c r="E8270" s="705">
        <f t="shared" si="260"/>
        <v>7.0000000000000009</v>
      </c>
    </row>
    <row r="8271" spans="2:5">
      <c r="B8271" s="943">
        <v>45263</v>
      </c>
      <c r="C8271" s="195">
        <f t="shared" si="259"/>
        <v>12</v>
      </c>
      <c r="D8271" s="195">
        <v>45.9</v>
      </c>
      <c r="E8271" s="705">
        <f t="shared" si="260"/>
        <v>7.7222222222222214</v>
      </c>
    </row>
    <row r="8272" spans="2:5">
      <c r="B8272" s="943">
        <v>45263</v>
      </c>
      <c r="C8272" s="195">
        <f t="shared" si="259"/>
        <v>12</v>
      </c>
      <c r="D8272" s="195">
        <v>46.8</v>
      </c>
      <c r="E8272" s="705">
        <f t="shared" si="260"/>
        <v>8.2222222222222197</v>
      </c>
    </row>
    <row r="8273" spans="2:5">
      <c r="B8273" s="943">
        <v>45263</v>
      </c>
      <c r="C8273" s="195">
        <f t="shared" si="259"/>
        <v>12</v>
      </c>
      <c r="D8273" s="195">
        <v>47.5</v>
      </c>
      <c r="E8273" s="705">
        <f t="shared" si="260"/>
        <v>8.6111111111111107</v>
      </c>
    </row>
    <row r="8274" spans="2:5">
      <c r="B8274" s="943">
        <v>45263</v>
      </c>
      <c r="C8274" s="195">
        <f t="shared" si="259"/>
        <v>12</v>
      </c>
      <c r="D8274" s="195">
        <v>48.2</v>
      </c>
      <c r="E8274" s="705">
        <f t="shared" si="260"/>
        <v>9.0000000000000018</v>
      </c>
    </row>
    <row r="8275" spans="2:5">
      <c r="B8275" s="943">
        <v>45263</v>
      </c>
      <c r="C8275" s="195">
        <f t="shared" si="259"/>
        <v>12</v>
      </c>
      <c r="D8275" s="195">
        <v>48.4</v>
      </c>
      <c r="E8275" s="705">
        <f t="shared" si="260"/>
        <v>9.1111111111111107</v>
      </c>
    </row>
    <row r="8276" spans="2:5">
      <c r="B8276" s="943">
        <v>45263</v>
      </c>
      <c r="C8276" s="195">
        <f t="shared" si="259"/>
        <v>12</v>
      </c>
      <c r="D8276" s="195">
        <v>48.2</v>
      </c>
      <c r="E8276" s="705">
        <f t="shared" si="260"/>
        <v>9.0000000000000018</v>
      </c>
    </row>
    <row r="8277" spans="2:5">
      <c r="B8277" s="943">
        <v>45263</v>
      </c>
      <c r="C8277" s="195">
        <f t="shared" si="259"/>
        <v>12</v>
      </c>
      <c r="D8277" s="195">
        <v>47.8</v>
      </c>
      <c r="E8277" s="705">
        <f t="shared" si="260"/>
        <v>8.7777777777777768</v>
      </c>
    </row>
    <row r="8278" spans="2:5">
      <c r="B8278" s="943">
        <v>45263</v>
      </c>
      <c r="C8278" s="195">
        <f t="shared" si="259"/>
        <v>12</v>
      </c>
      <c r="D8278" s="195">
        <v>47.1</v>
      </c>
      <c r="E8278" s="705">
        <f t="shared" si="260"/>
        <v>8.3888888888888893</v>
      </c>
    </row>
    <row r="8279" spans="2:5">
      <c r="B8279" s="943">
        <v>45263</v>
      </c>
      <c r="C8279" s="195">
        <f t="shared" si="259"/>
        <v>12</v>
      </c>
      <c r="D8279" s="195" t="s">
        <v>1434</v>
      </c>
      <c r="E8279" s="705">
        <f t="shared" si="260"/>
        <v>7.7777777777777777</v>
      </c>
    </row>
    <row r="8280" spans="2:5">
      <c r="B8280" s="943">
        <v>45263</v>
      </c>
      <c r="C8280" s="195">
        <f t="shared" si="259"/>
        <v>12</v>
      </c>
      <c r="D8280" s="195">
        <v>45.1</v>
      </c>
      <c r="E8280" s="705">
        <f t="shared" si="260"/>
        <v>7.2777777777777786</v>
      </c>
    </row>
    <row r="8281" spans="2:5">
      <c r="B8281" s="943">
        <v>45263</v>
      </c>
      <c r="C8281" s="195">
        <f t="shared" si="259"/>
        <v>12</v>
      </c>
      <c r="D8281" s="195" t="s">
        <v>1425</v>
      </c>
      <c r="E8281" s="705">
        <f t="shared" si="260"/>
        <v>7.2222222222222223</v>
      </c>
    </row>
    <row r="8282" spans="2:5">
      <c r="B8282" s="943">
        <v>45263</v>
      </c>
      <c r="C8282" s="195">
        <f t="shared" si="259"/>
        <v>12</v>
      </c>
      <c r="D8282" s="195">
        <v>45.7</v>
      </c>
      <c r="E8282" s="705">
        <f t="shared" si="260"/>
        <v>7.6111111111111125</v>
      </c>
    </row>
    <row r="8283" spans="2:5">
      <c r="B8283" s="943">
        <v>45263</v>
      </c>
      <c r="C8283" s="195">
        <f t="shared" si="259"/>
        <v>12</v>
      </c>
      <c r="D8283" s="195">
        <v>47.1</v>
      </c>
      <c r="E8283" s="705">
        <f t="shared" si="260"/>
        <v>8.3888888888888893</v>
      </c>
    </row>
    <row r="8284" spans="2:5">
      <c r="B8284" s="943">
        <v>45263</v>
      </c>
      <c r="C8284" s="195">
        <f t="shared" si="259"/>
        <v>12</v>
      </c>
      <c r="D8284" s="195">
        <v>47.7</v>
      </c>
      <c r="E8284" s="705">
        <f t="shared" si="260"/>
        <v>8.7222222222222232</v>
      </c>
    </row>
    <row r="8285" spans="2:5">
      <c r="B8285" s="943">
        <v>45263</v>
      </c>
      <c r="C8285" s="195">
        <f t="shared" si="259"/>
        <v>12</v>
      </c>
      <c r="D8285" s="195">
        <v>48.2</v>
      </c>
      <c r="E8285" s="705">
        <f t="shared" si="260"/>
        <v>9.0000000000000018</v>
      </c>
    </row>
    <row r="8286" spans="2:5">
      <c r="B8286" s="943">
        <v>45263</v>
      </c>
      <c r="C8286" s="195">
        <f t="shared" si="259"/>
        <v>12</v>
      </c>
      <c r="D8286" s="195">
        <v>48.4</v>
      </c>
      <c r="E8286" s="705">
        <f t="shared" si="260"/>
        <v>9.1111111111111107</v>
      </c>
    </row>
    <row r="8287" spans="2:5">
      <c r="B8287" s="943">
        <v>45263</v>
      </c>
      <c r="C8287" s="195">
        <f t="shared" si="259"/>
        <v>12</v>
      </c>
      <c r="D8287" s="195">
        <v>48.6</v>
      </c>
      <c r="E8287" s="705">
        <f t="shared" si="260"/>
        <v>9.2222222222222232</v>
      </c>
    </row>
    <row r="8288" spans="2:5">
      <c r="B8288" s="943">
        <v>45263</v>
      </c>
      <c r="C8288" s="195">
        <f t="shared" si="259"/>
        <v>12</v>
      </c>
      <c r="D8288" s="195">
        <v>48.2</v>
      </c>
      <c r="E8288" s="705">
        <f t="shared" si="260"/>
        <v>9.0000000000000018</v>
      </c>
    </row>
    <row r="8289" spans="2:5">
      <c r="B8289" s="943">
        <v>45264</v>
      </c>
      <c r="C8289" s="195">
        <f t="shared" si="259"/>
        <v>12</v>
      </c>
      <c r="D8289" s="195" t="s">
        <v>1435</v>
      </c>
      <c r="E8289" s="705">
        <f t="shared" si="260"/>
        <v>8.8888888888888893</v>
      </c>
    </row>
    <row r="8290" spans="2:5">
      <c r="B8290" s="943">
        <v>45264</v>
      </c>
      <c r="C8290" s="195">
        <f t="shared" si="259"/>
        <v>12</v>
      </c>
      <c r="D8290" s="195">
        <v>47.5</v>
      </c>
      <c r="E8290" s="705">
        <f t="shared" si="260"/>
        <v>8.6111111111111107</v>
      </c>
    </row>
    <row r="8291" spans="2:5">
      <c r="B8291" s="943">
        <v>45264</v>
      </c>
      <c r="C8291" s="195">
        <f t="shared" si="259"/>
        <v>12</v>
      </c>
      <c r="D8291" s="195">
        <v>46.4</v>
      </c>
      <c r="E8291" s="705">
        <f t="shared" si="260"/>
        <v>7.9999999999999991</v>
      </c>
    </row>
    <row r="8292" spans="2:5">
      <c r="B8292" s="943">
        <v>45264</v>
      </c>
      <c r="C8292" s="195">
        <f t="shared" si="259"/>
        <v>12</v>
      </c>
      <c r="D8292" s="195">
        <v>45.5</v>
      </c>
      <c r="E8292" s="705">
        <f t="shared" si="260"/>
        <v>7.5</v>
      </c>
    </row>
    <row r="8293" spans="2:5">
      <c r="B8293" s="943">
        <v>45264</v>
      </c>
      <c r="C8293" s="195">
        <f t="shared" si="259"/>
        <v>12</v>
      </c>
      <c r="D8293" s="195" t="s">
        <v>1425</v>
      </c>
      <c r="E8293" s="705">
        <f t="shared" si="260"/>
        <v>7.2222222222222223</v>
      </c>
    </row>
    <row r="8294" spans="2:5">
      <c r="B8294" s="943">
        <v>45264</v>
      </c>
      <c r="C8294" s="195">
        <f t="shared" si="259"/>
        <v>12</v>
      </c>
      <c r="D8294" s="195">
        <v>44.6</v>
      </c>
      <c r="E8294" s="705">
        <f t="shared" si="260"/>
        <v>7.0000000000000009</v>
      </c>
    </row>
    <row r="8295" spans="2:5">
      <c r="B8295" s="943">
        <v>45264</v>
      </c>
      <c r="C8295" s="195">
        <f t="shared" si="259"/>
        <v>12</v>
      </c>
      <c r="D8295" s="195">
        <v>45.3</v>
      </c>
      <c r="E8295" s="705">
        <f t="shared" si="260"/>
        <v>7.3888888888888875</v>
      </c>
    </row>
    <row r="8296" spans="2:5">
      <c r="B8296" s="943">
        <v>45264</v>
      </c>
      <c r="C8296" s="195">
        <f t="shared" si="259"/>
        <v>12</v>
      </c>
      <c r="D8296" s="195">
        <v>46.2</v>
      </c>
      <c r="E8296" s="705">
        <f t="shared" si="260"/>
        <v>7.8888888888888902</v>
      </c>
    </row>
    <row r="8297" spans="2:5">
      <c r="B8297" s="943">
        <v>45264</v>
      </c>
      <c r="C8297" s="195">
        <f t="shared" si="259"/>
        <v>12</v>
      </c>
      <c r="D8297" s="195">
        <v>46.9</v>
      </c>
      <c r="E8297" s="705">
        <f t="shared" si="260"/>
        <v>8.2777777777777768</v>
      </c>
    </row>
    <row r="8298" spans="2:5">
      <c r="B8298" s="943">
        <v>45264</v>
      </c>
      <c r="C8298" s="195">
        <f t="shared" si="259"/>
        <v>12</v>
      </c>
      <c r="D8298" s="195">
        <v>47.3</v>
      </c>
      <c r="E8298" s="705">
        <f t="shared" si="260"/>
        <v>8.4999999999999982</v>
      </c>
    </row>
    <row r="8299" spans="2:5">
      <c r="B8299" s="943">
        <v>45264</v>
      </c>
      <c r="C8299" s="195">
        <f t="shared" si="259"/>
        <v>12</v>
      </c>
      <c r="D8299" s="195">
        <v>47.7</v>
      </c>
      <c r="E8299" s="705">
        <f t="shared" si="260"/>
        <v>8.7222222222222232</v>
      </c>
    </row>
    <row r="8300" spans="2:5">
      <c r="B8300" s="943">
        <v>45264</v>
      </c>
      <c r="C8300" s="195">
        <f t="shared" si="259"/>
        <v>12</v>
      </c>
      <c r="D8300" s="195">
        <v>47.8</v>
      </c>
      <c r="E8300" s="705">
        <f t="shared" si="260"/>
        <v>8.7777777777777768</v>
      </c>
    </row>
    <row r="8301" spans="2:5">
      <c r="B8301" s="943">
        <v>45264</v>
      </c>
      <c r="C8301" s="195">
        <f t="shared" si="259"/>
        <v>12</v>
      </c>
      <c r="D8301" s="195">
        <v>47.7</v>
      </c>
      <c r="E8301" s="705">
        <f t="shared" si="260"/>
        <v>8.7222222222222232</v>
      </c>
    </row>
    <row r="8302" spans="2:5">
      <c r="B8302" s="943">
        <v>45264</v>
      </c>
      <c r="C8302" s="195">
        <f t="shared" si="259"/>
        <v>12</v>
      </c>
      <c r="D8302" s="195">
        <v>47.3</v>
      </c>
      <c r="E8302" s="705">
        <f t="shared" si="260"/>
        <v>8.4999999999999982</v>
      </c>
    </row>
    <row r="8303" spans="2:5">
      <c r="B8303" s="943">
        <v>45264</v>
      </c>
      <c r="C8303" s="195">
        <f t="shared" si="259"/>
        <v>12</v>
      </c>
      <c r="D8303" s="195">
        <v>46.6</v>
      </c>
      <c r="E8303" s="705">
        <f t="shared" si="260"/>
        <v>8.1111111111111125</v>
      </c>
    </row>
    <row r="8304" spans="2:5">
      <c r="B8304" s="943">
        <v>45264</v>
      </c>
      <c r="C8304" s="195">
        <f t="shared" si="259"/>
        <v>12</v>
      </c>
      <c r="D8304" s="195">
        <v>45.7</v>
      </c>
      <c r="E8304" s="705">
        <f t="shared" si="260"/>
        <v>7.6111111111111125</v>
      </c>
    </row>
    <row r="8305" spans="2:5">
      <c r="B8305" s="943">
        <v>45264</v>
      </c>
      <c r="C8305" s="195">
        <f t="shared" si="259"/>
        <v>12</v>
      </c>
      <c r="D8305" s="195" t="s">
        <v>1425</v>
      </c>
      <c r="E8305" s="705">
        <f t="shared" si="260"/>
        <v>7.2222222222222223</v>
      </c>
    </row>
    <row r="8306" spans="2:5">
      <c r="B8306" s="943">
        <v>45264</v>
      </c>
      <c r="C8306" s="195">
        <f t="shared" si="259"/>
        <v>12</v>
      </c>
      <c r="D8306" s="195">
        <v>44.8</v>
      </c>
      <c r="E8306" s="705">
        <f t="shared" si="260"/>
        <v>7.1111111111111089</v>
      </c>
    </row>
    <row r="8307" spans="2:5">
      <c r="B8307" s="943">
        <v>45264</v>
      </c>
      <c r="C8307" s="195">
        <f t="shared" si="259"/>
        <v>12</v>
      </c>
      <c r="D8307" s="195">
        <v>45.1</v>
      </c>
      <c r="E8307" s="705">
        <f t="shared" si="260"/>
        <v>7.2777777777777786</v>
      </c>
    </row>
    <row r="8308" spans="2:5">
      <c r="B8308" s="943">
        <v>45264</v>
      </c>
      <c r="C8308" s="195">
        <f t="shared" si="259"/>
        <v>12</v>
      </c>
      <c r="D8308" s="195">
        <v>46.2</v>
      </c>
      <c r="E8308" s="705">
        <f t="shared" si="260"/>
        <v>7.8888888888888902</v>
      </c>
    </row>
    <row r="8309" spans="2:5">
      <c r="B8309" s="943">
        <v>45264</v>
      </c>
      <c r="C8309" s="195">
        <f t="shared" si="259"/>
        <v>12</v>
      </c>
      <c r="D8309" s="195">
        <v>46.6</v>
      </c>
      <c r="E8309" s="705">
        <f t="shared" si="260"/>
        <v>8.1111111111111125</v>
      </c>
    </row>
    <row r="8310" spans="2:5">
      <c r="B8310" s="943">
        <v>45264</v>
      </c>
      <c r="C8310" s="195">
        <f t="shared" si="259"/>
        <v>12</v>
      </c>
      <c r="D8310" s="195">
        <v>47.1</v>
      </c>
      <c r="E8310" s="705">
        <f t="shared" si="260"/>
        <v>8.3888888888888893</v>
      </c>
    </row>
    <row r="8311" spans="2:5">
      <c r="B8311" s="943">
        <v>45264</v>
      </c>
      <c r="C8311" s="195">
        <f t="shared" si="259"/>
        <v>12</v>
      </c>
      <c r="D8311" s="195">
        <v>47.5</v>
      </c>
      <c r="E8311" s="705">
        <f t="shared" si="260"/>
        <v>8.6111111111111107</v>
      </c>
    </row>
    <row r="8312" spans="2:5">
      <c r="B8312" s="943">
        <v>45264</v>
      </c>
      <c r="C8312" s="195">
        <f t="shared" si="259"/>
        <v>12</v>
      </c>
      <c r="D8312" s="195">
        <v>47.7</v>
      </c>
      <c r="E8312" s="705">
        <f t="shared" si="260"/>
        <v>8.7222222222222232</v>
      </c>
    </row>
    <row r="8313" spans="2:5">
      <c r="B8313" s="943">
        <v>45265</v>
      </c>
      <c r="C8313" s="195">
        <f t="shared" si="259"/>
        <v>12</v>
      </c>
      <c r="D8313" s="195">
        <v>47.5</v>
      </c>
      <c r="E8313" s="705">
        <f t="shared" si="260"/>
        <v>8.6111111111111107</v>
      </c>
    </row>
    <row r="8314" spans="2:5">
      <c r="B8314" s="943">
        <v>45265</v>
      </c>
      <c r="C8314" s="195">
        <f t="shared" si="259"/>
        <v>12</v>
      </c>
      <c r="D8314" s="195">
        <v>47.1</v>
      </c>
      <c r="E8314" s="705">
        <f t="shared" si="260"/>
        <v>8.3888888888888893</v>
      </c>
    </row>
    <row r="8315" spans="2:5">
      <c r="B8315" s="943">
        <v>45265</v>
      </c>
      <c r="C8315" s="195">
        <f t="shared" si="259"/>
        <v>12</v>
      </c>
      <c r="D8315" s="195">
        <v>46.6</v>
      </c>
      <c r="E8315" s="705">
        <f t="shared" si="260"/>
        <v>8.1111111111111125</v>
      </c>
    </row>
    <row r="8316" spans="2:5">
      <c r="B8316" s="943">
        <v>45265</v>
      </c>
      <c r="C8316" s="195">
        <f t="shared" si="259"/>
        <v>12</v>
      </c>
      <c r="D8316" s="195">
        <v>45.5</v>
      </c>
      <c r="E8316" s="705">
        <f t="shared" si="260"/>
        <v>7.5</v>
      </c>
    </row>
    <row r="8317" spans="2:5">
      <c r="B8317" s="943">
        <v>45265</v>
      </c>
      <c r="C8317" s="195">
        <f t="shared" si="259"/>
        <v>12</v>
      </c>
      <c r="D8317" s="195">
        <v>44.6</v>
      </c>
      <c r="E8317" s="705">
        <f t="shared" si="260"/>
        <v>7.0000000000000009</v>
      </c>
    </row>
    <row r="8318" spans="2:5">
      <c r="B8318" s="943">
        <v>45265</v>
      </c>
      <c r="C8318" s="195">
        <f t="shared" si="259"/>
        <v>12</v>
      </c>
      <c r="D8318" s="195">
        <v>44.2</v>
      </c>
      <c r="E8318" s="705">
        <f t="shared" si="260"/>
        <v>6.7777777777777795</v>
      </c>
    </row>
    <row r="8319" spans="2:5">
      <c r="B8319" s="943">
        <v>45265</v>
      </c>
      <c r="C8319" s="195">
        <f t="shared" si="259"/>
        <v>12</v>
      </c>
      <c r="D8319" s="195">
        <v>44.1</v>
      </c>
      <c r="E8319" s="705">
        <f t="shared" si="260"/>
        <v>6.7222222222222232</v>
      </c>
    </row>
    <row r="8320" spans="2:5">
      <c r="B8320" s="943">
        <v>45265</v>
      </c>
      <c r="C8320" s="195">
        <f t="shared" si="259"/>
        <v>12</v>
      </c>
      <c r="D8320" s="195">
        <v>44.6</v>
      </c>
      <c r="E8320" s="705">
        <f t="shared" si="260"/>
        <v>7.0000000000000009</v>
      </c>
    </row>
    <row r="8321" spans="2:5">
      <c r="B8321" s="943">
        <v>45265</v>
      </c>
      <c r="C8321" s="195">
        <f t="shared" si="259"/>
        <v>12</v>
      </c>
      <c r="D8321" s="195">
        <v>45.9</v>
      </c>
      <c r="E8321" s="705">
        <f t="shared" si="260"/>
        <v>7.7222222222222214</v>
      </c>
    </row>
    <row r="8322" spans="2:5">
      <c r="B8322" s="943">
        <v>45265</v>
      </c>
      <c r="C8322" s="195">
        <f t="shared" si="259"/>
        <v>12</v>
      </c>
      <c r="D8322" s="195">
        <v>46.4</v>
      </c>
      <c r="E8322" s="705">
        <f t="shared" si="260"/>
        <v>7.9999999999999991</v>
      </c>
    </row>
    <row r="8323" spans="2:5">
      <c r="B8323" s="943">
        <v>45265</v>
      </c>
      <c r="C8323" s="195">
        <f t="shared" si="259"/>
        <v>12</v>
      </c>
      <c r="D8323" s="195">
        <v>46.8</v>
      </c>
      <c r="E8323" s="705">
        <f t="shared" si="260"/>
        <v>8.2222222222222197</v>
      </c>
    </row>
    <row r="8324" spans="2:5">
      <c r="B8324" s="943">
        <v>45265</v>
      </c>
      <c r="C8324" s="195">
        <f t="shared" si="259"/>
        <v>12</v>
      </c>
      <c r="D8324" s="195">
        <v>47.1</v>
      </c>
      <c r="E8324" s="705">
        <f t="shared" si="260"/>
        <v>8.3888888888888893</v>
      </c>
    </row>
    <row r="8325" spans="2:5">
      <c r="B8325" s="943">
        <v>45265</v>
      </c>
      <c r="C8325" s="195">
        <f t="shared" si="259"/>
        <v>12</v>
      </c>
      <c r="D8325" s="195">
        <v>47.3</v>
      </c>
      <c r="E8325" s="705">
        <f t="shared" si="260"/>
        <v>8.4999999999999982</v>
      </c>
    </row>
    <row r="8326" spans="2:5">
      <c r="B8326" s="943">
        <v>45265</v>
      </c>
      <c r="C8326" s="195">
        <f t="shared" si="259"/>
        <v>12</v>
      </c>
      <c r="D8326" s="195">
        <v>46.9</v>
      </c>
      <c r="E8326" s="705">
        <f t="shared" si="260"/>
        <v>8.2777777777777768</v>
      </c>
    </row>
    <row r="8327" spans="2:5">
      <c r="B8327" s="943">
        <v>45265</v>
      </c>
      <c r="C8327" s="195">
        <f t="shared" si="259"/>
        <v>12</v>
      </c>
      <c r="D8327" s="195">
        <v>46.6</v>
      </c>
      <c r="E8327" s="705">
        <f t="shared" si="260"/>
        <v>8.1111111111111125</v>
      </c>
    </row>
    <row r="8328" spans="2:5">
      <c r="B8328" s="943">
        <v>45265</v>
      </c>
      <c r="C8328" s="195">
        <f t="shared" si="259"/>
        <v>12</v>
      </c>
      <c r="D8328" s="195">
        <v>45.9</v>
      </c>
      <c r="E8328" s="705">
        <f t="shared" si="260"/>
        <v>7.7222222222222214</v>
      </c>
    </row>
    <row r="8329" spans="2:5">
      <c r="B8329" s="943">
        <v>45265</v>
      </c>
      <c r="C8329" s="195">
        <f t="shared" si="259"/>
        <v>12</v>
      </c>
      <c r="D8329" s="195">
        <v>44.8</v>
      </c>
      <c r="E8329" s="705">
        <f t="shared" si="260"/>
        <v>7.1111111111111089</v>
      </c>
    </row>
    <row r="8330" spans="2:5">
      <c r="B8330" s="943">
        <v>45265</v>
      </c>
      <c r="C8330" s="195">
        <f t="shared" ref="C8330:C8393" si="261">MONTH(B8330)</f>
        <v>12</v>
      </c>
      <c r="D8330" s="195">
        <v>44.2</v>
      </c>
      <c r="E8330" s="705">
        <f t="shared" ref="E8330:E8393" si="262">CONVERT(D8330,"F","C")</f>
        <v>6.7777777777777795</v>
      </c>
    </row>
    <row r="8331" spans="2:5">
      <c r="B8331" s="943">
        <v>45265</v>
      </c>
      <c r="C8331" s="195">
        <f t="shared" si="261"/>
        <v>12</v>
      </c>
      <c r="D8331" s="195">
        <v>44.1</v>
      </c>
      <c r="E8331" s="705">
        <f t="shared" si="262"/>
        <v>6.7222222222222232</v>
      </c>
    </row>
    <row r="8332" spans="2:5">
      <c r="B8332" s="943">
        <v>45265</v>
      </c>
      <c r="C8332" s="195">
        <f t="shared" si="261"/>
        <v>12</v>
      </c>
      <c r="D8332" s="195">
        <v>44.6</v>
      </c>
      <c r="E8332" s="705">
        <f t="shared" si="262"/>
        <v>7.0000000000000009</v>
      </c>
    </row>
    <row r="8333" spans="2:5">
      <c r="B8333" s="943">
        <v>45265</v>
      </c>
      <c r="C8333" s="195">
        <f t="shared" si="261"/>
        <v>12</v>
      </c>
      <c r="D8333" s="195">
        <v>45.3</v>
      </c>
      <c r="E8333" s="705">
        <f t="shared" si="262"/>
        <v>7.3888888888888875</v>
      </c>
    </row>
    <row r="8334" spans="2:5">
      <c r="B8334" s="943">
        <v>45265</v>
      </c>
      <c r="C8334" s="195">
        <f t="shared" si="261"/>
        <v>12</v>
      </c>
      <c r="D8334" s="195" t="s">
        <v>1434</v>
      </c>
      <c r="E8334" s="705">
        <f t="shared" si="262"/>
        <v>7.7777777777777777</v>
      </c>
    </row>
    <row r="8335" spans="2:5">
      <c r="B8335" s="943">
        <v>45265</v>
      </c>
      <c r="C8335" s="195">
        <f t="shared" si="261"/>
        <v>12</v>
      </c>
      <c r="D8335" s="195">
        <v>46.4</v>
      </c>
      <c r="E8335" s="705">
        <f t="shared" si="262"/>
        <v>7.9999999999999991</v>
      </c>
    </row>
    <row r="8336" spans="2:5">
      <c r="B8336" s="943">
        <v>45265</v>
      </c>
      <c r="C8336" s="195">
        <f t="shared" si="261"/>
        <v>12</v>
      </c>
      <c r="D8336" s="195">
        <v>46.9</v>
      </c>
      <c r="E8336" s="705">
        <f t="shared" si="262"/>
        <v>8.2777777777777768</v>
      </c>
    </row>
    <row r="8337" spans="2:5">
      <c r="B8337" s="943">
        <v>45266</v>
      </c>
      <c r="C8337" s="195">
        <f t="shared" si="261"/>
        <v>12</v>
      </c>
      <c r="D8337" s="195">
        <v>47.1</v>
      </c>
      <c r="E8337" s="705">
        <f t="shared" si="262"/>
        <v>8.3888888888888893</v>
      </c>
    </row>
    <row r="8338" spans="2:5">
      <c r="B8338" s="943">
        <v>45266</v>
      </c>
      <c r="C8338" s="195">
        <f t="shared" si="261"/>
        <v>12</v>
      </c>
      <c r="D8338" s="195">
        <v>46.8</v>
      </c>
      <c r="E8338" s="705">
        <f t="shared" si="262"/>
        <v>8.2222222222222197</v>
      </c>
    </row>
    <row r="8339" spans="2:5">
      <c r="B8339" s="943">
        <v>45266</v>
      </c>
      <c r="C8339" s="195">
        <f t="shared" si="261"/>
        <v>12</v>
      </c>
      <c r="D8339" s="195">
        <v>46.4</v>
      </c>
      <c r="E8339" s="705">
        <f t="shared" si="262"/>
        <v>7.9999999999999991</v>
      </c>
    </row>
    <row r="8340" spans="2:5">
      <c r="B8340" s="943">
        <v>45266</v>
      </c>
      <c r="C8340" s="195">
        <f t="shared" si="261"/>
        <v>12</v>
      </c>
      <c r="D8340" s="195">
        <v>45.7</v>
      </c>
      <c r="E8340" s="705">
        <f t="shared" si="262"/>
        <v>7.6111111111111125</v>
      </c>
    </row>
    <row r="8341" spans="2:5">
      <c r="B8341" s="943">
        <v>45266</v>
      </c>
      <c r="C8341" s="195">
        <f t="shared" si="261"/>
        <v>12</v>
      </c>
      <c r="D8341" s="195">
        <v>44.6</v>
      </c>
      <c r="E8341" s="705">
        <f t="shared" si="262"/>
        <v>7.0000000000000009</v>
      </c>
    </row>
    <row r="8342" spans="2:5">
      <c r="B8342" s="943">
        <v>45266</v>
      </c>
      <c r="C8342" s="195">
        <f t="shared" si="261"/>
        <v>12</v>
      </c>
      <c r="D8342" s="195">
        <v>43.9</v>
      </c>
      <c r="E8342" s="705">
        <f t="shared" si="262"/>
        <v>6.6111111111111098</v>
      </c>
    </row>
    <row r="8343" spans="2:5">
      <c r="B8343" s="943">
        <v>45266</v>
      </c>
      <c r="C8343" s="195">
        <f t="shared" si="261"/>
        <v>12</v>
      </c>
      <c r="D8343" s="195">
        <v>43.5</v>
      </c>
      <c r="E8343" s="705">
        <f t="shared" si="262"/>
        <v>6.3888888888888884</v>
      </c>
    </row>
    <row r="8344" spans="2:5">
      <c r="B8344" s="943">
        <v>45266</v>
      </c>
      <c r="C8344" s="195">
        <f t="shared" si="261"/>
        <v>12</v>
      </c>
      <c r="D8344" s="195">
        <v>43.5</v>
      </c>
      <c r="E8344" s="705">
        <f t="shared" si="262"/>
        <v>6.3888888888888884</v>
      </c>
    </row>
    <row r="8345" spans="2:5">
      <c r="B8345" s="943">
        <v>45266</v>
      </c>
      <c r="C8345" s="195">
        <f t="shared" si="261"/>
        <v>12</v>
      </c>
      <c r="D8345" s="195">
        <v>43.9</v>
      </c>
      <c r="E8345" s="705">
        <f t="shared" si="262"/>
        <v>6.6111111111111098</v>
      </c>
    </row>
    <row r="8346" spans="2:5">
      <c r="B8346" s="943">
        <v>45266</v>
      </c>
      <c r="C8346" s="195">
        <f t="shared" si="261"/>
        <v>12</v>
      </c>
      <c r="D8346" s="195">
        <v>45.5</v>
      </c>
      <c r="E8346" s="705">
        <f t="shared" si="262"/>
        <v>7.5</v>
      </c>
    </row>
    <row r="8347" spans="2:5">
      <c r="B8347" s="943">
        <v>45266</v>
      </c>
      <c r="C8347" s="195">
        <f t="shared" si="261"/>
        <v>12</v>
      </c>
      <c r="D8347" s="195" t="s">
        <v>1434</v>
      </c>
      <c r="E8347" s="705">
        <f t="shared" si="262"/>
        <v>7.7777777777777777</v>
      </c>
    </row>
    <row r="8348" spans="2:5">
      <c r="B8348" s="943">
        <v>45266</v>
      </c>
      <c r="C8348" s="195">
        <f t="shared" si="261"/>
        <v>12</v>
      </c>
      <c r="D8348" s="195">
        <v>46.4</v>
      </c>
      <c r="E8348" s="705">
        <f t="shared" si="262"/>
        <v>7.9999999999999991</v>
      </c>
    </row>
    <row r="8349" spans="2:5">
      <c r="B8349" s="943">
        <v>45266</v>
      </c>
      <c r="C8349" s="195">
        <f t="shared" si="261"/>
        <v>12</v>
      </c>
      <c r="D8349" s="195">
        <v>46.8</v>
      </c>
      <c r="E8349" s="705">
        <f t="shared" si="262"/>
        <v>8.2222222222222197</v>
      </c>
    </row>
    <row r="8350" spans="2:5">
      <c r="B8350" s="943">
        <v>45266</v>
      </c>
      <c r="C8350" s="195">
        <f t="shared" si="261"/>
        <v>12</v>
      </c>
      <c r="D8350" s="195">
        <v>46.9</v>
      </c>
      <c r="E8350" s="705">
        <f t="shared" si="262"/>
        <v>8.2777777777777768</v>
      </c>
    </row>
    <row r="8351" spans="2:5">
      <c r="B8351" s="943">
        <v>45266</v>
      </c>
      <c r="C8351" s="195">
        <f t="shared" si="261"/>
        <v>12</v>
      </c>
      <c r="D8351" s="195">
        <v>46.6</v>
      </c>
      <c r="E8351" s="705">
        <f t="shared" si="262"/>
        <v>8.1111111111111125</v>
      </c>
    </row>
    <row r="8352" spans="2:5">
      <c r="B8352" s="943">
        <v>45266</v>
      </c>
      <c r="C8352" s="195">
        <f t="shared" si="261"/>
        <v>12</v>
      </c>
      <c r="D8352" s="195" t="s">
        <v>1434</v>
      </c>
      <c r="E8352" s="705">
        <f t="shared" si="262"/>
        <v>7.7777777777777777</v>
      </c>
    </row>
    <row r="8353" spans="2:5">
      <c r="B8353" s="943">
        <v>45266</v>
      </c>
      <c r="C8353" s="195">
        <f t="shared" si="261"/>
        <v>12</v>
      </c>
      <c r="D8353" s="195">
        <v>45.3</v>
      </c>
      <c r="E8353" s="705">
        <f t="shared" si="262"/>
        <v>7.3888888888888875</v>
      </c>
    </row>
    <row r="8354" spans="2:5">
      <c r="B8354" s="943">
        <v>45266</v>
      </c>
      <c r="C8354" s="195">
        <f t="shared" si="261"/>
        <v>12</v>
      </c>
      <c r="D8354" s="195">
        <v>44.2</v>
      </c>
      <c r="E8354" s="705">
        <f t="shared" si="262"/>
        <v>6.7777777777777795</v>
      </c>
    </row>
    <row r="8355" spans="2:5">
      <c r="B8355" s="943">
        <v>45266</v>
      </c>
      <c r="C8355" s="195">
        <f t="shared" si="261"/>
        <v>12</v>
      </c>
      <c r="D8355" s="195">
        <v>43.7</v>
      </c>
      <c r="E8355" s="705">
        <f t="shared" si="262"/>
        <v>6.5000000000000018</v>
      </c>
    </row>
    <row r="8356" spans="2:5">
      <c r="B8356" s="943">
        <v>45266</v>
      </c>
      <c r="C8356" s="195">
        <f t="shared" si="261"/>
        <v>12</v>
      </c>
      <c r="D8356" s="195">
        <v>43.5</v>
      </c>
      <c r="E8356" s="705">
        <f t="shared" si="262"/>
        <v>6.3888888888888884</v>
      </c>
    </row>
    <row r="8357" spans="2:5">
      <c r="B8357" s="943">
        <v>45266</v>
      </c>
      <c r="C8357" s="195">
        <f t="shared" si="261"/>
        <v>12</v>
      </c>
      <c r="D8357" s="195">
        <v>44.1</v>
      </c>
      <c r="E8357" s="705">
        <f t="shared" si="262"/>
        <v>6.7222222222222232</v>
      </c>
    </row>
    <row r="8358" spans="2:5">
      <c r="B8358" s="943">
        <v>45266</v>
      </c>
      <c r="C8358" s="195">
        <f t="shared" si="261"/>
        <v>12</v>
      </c>
      <c r="D8358" s="195">
        <v>44.8</v>
      </c>
      <c r="E8358" s="705">
        <f t="shared" si="262"/>
        <v>7.1111111111111089</v>
      </c>
    </row>
    <row r="8359" spans="2:5">
      <c r="B8359" s="943">
        <v>45266</v>
      </c>
      <c r="C8359" s="195">
        <f t="shared" si="261"/>
        <v>12</v>
      </c>
      <c r="D8359" s="195">
        <v>45.5</v>
      </c>
      <c r="E8359" s="705">
        <f t="shared" si="262"/>
        <v>7.5</v>
      </c>
    </row>
    <row r="8360" spans="2:5">
      <c r="B8360" s="943">
        <v>45266</v>
      </c>
      <c r="C8360" s="195">
        <f t="shared" si="261"/>
        <v>12</v>
      </c>
      <c r="D8360" s="195" t="s">
        <v>1434</v>
      </c>
      <c r="E8360" s="705">
        <f t="shared" si="262"/>
        <v>7.7777777777777777</v>
      </c>
    </row>
    <row r="8361" spans="2:5">
      <c r="B8361" s="943">
        <v>45267</v>
      </c>
      <c r="C8361" s="195">
        <f t="shared" si="261"/>
        <v>12</v>
      </c>
      <c r="D8361" s="195">
        <v>46.4</v>
      </c>
      <c r="E8361" s="705">
        <f t="shared" si="262"/>
        <v>7.9999999999999991</v>
      </c>
    </row>
    <row r="8362" spans="2:5">
      <c r="B8362" s="943">
        <v>45267</v>
      </c>
      <c r="C8362" s="195">
        <f t="shared" si="261"/>
        <v>12</v>
      </c>
      <c r="D8362" s="195">
        <v>46.8</v>
      </c>
      <c r="E8362" s="705">
        <f t="shared" si="262"/>
        <v>8.2222222222222197</v>
      </c>
    </row>
    <row r="8363" spans="2:5">
      <c r="B8363" s="943">
        <v>45267</v>
      </c>
      <c r="C8363" s="195">
        <f t="shared" si="261"/>
        <v>12</v>
      </c>
      <c r="D8363" s="195">
        <v>46.2</v>
      </c>
      <c r="E8363" s="705">
        <f t="shared" si="262"/>
        <v>7.8888888888888902</v>
      </c>
    </row>
    <row r="8364" spans="2:5">
      <c r="B8364" s="943">
        <v>45267</v>
      </c>
      <c r="C8364" s="195">
        <f t="shared" si="261"/>
        <v>12</v>
      </c>
      <c r="D8364" s="195">
        <v>45.9</v>
      </c>
      <c r="E8364" s="705">
        <f t="shared" si="262"/>
        <v>7.7222222222222214</v>
      </c>
    </row>
    <row r="8365" spans="2:5">
      <c r="B8365" s="943">
        <v>45267</v>
      </c>
      <c r="C8365" s="195">
        <f t="shared" si="261"/>
        <v>12</v>
      </c>
      <c r="D8365" s="195">
        <v>45.1</v>
      </c>
      <c r="E8365" s="705">
        <f t="shared" si="262"/>
        <v>7.2777777777777786</v>
      </c>
    </row>
    <row r="8366" spans="2:5">
      <c r="B8366" s="943">
        <v>45267</v>
      </c>
      <c r="C8366" s="195">
        <f t="shared" si="261"/>
        <v>12</v>
      </c>
      <c r="D8366" s="195">
        <v>43.9</v>
      </c>
      <c r="E8366" s="705">
        <f t="shared" si="262"/>
        <v>6.6111111111111098</v>
      </c>
    </row>
    <row r="8367" spans="2:5">
      <c r="B8367" s="943">
        <v>45267</v>
      </c>
      <c r="C8367" s="195">
        <f t="shared" si="261"/>
        <v>12</v>
      </c>
      <c r="D8367" s="195">
        <v>43.2</v>
      </c>
      <c r="E8367" s="705">
        <f t="shared" si="262"/>
        <v>6.2222222222222232</v>
      </c>
    </row>
    <row r="8368" spans="2:5">
      <c r="B8368" s="943">
        <v>45267</v>
      </c>
      <c r="C8368" s="195">
        <f t="shared" si="261"/>
        <v>12</v>
      </c>
      <c r="D8368" s="195">
        <v>42.6</v>
      </c>
      <c r="E8368" s="705">
        <f t="shared" si="262"/>
        <v>5.8888888888888893</v>
      </c>
    </row>
    <row r="8369" spans="2:5">
      <c r="B8369" s="943">
        <v>45267</v>
      </c>
      <c r="C8369" s="195">
        <f t="shared" si="261"/>
        <v>12</v>
      </c>
      <c r="D8369" s="195" t="s">
        <v>1430</v>
      </c>
      <c r="E8369" s="705">
        <f t="shared" si="262"/>
        <v>6.1111111111111107</v>
      </c>
    </row>
    <row r="8370" spans="2:5">
      <c r="B8370" s="943">
        <v>45267</v>
      </c>
      <c r="C8370" s="195">
        <f t="shared" si="261"/>
        <v>12</v>
      </c>
      <c r="D8370" s="195">
        <v>43.5</v>
      </c>
      <c r="E8370" s="705">
        <f t="shared" si="262"/>
        <v>6.3888888888888884</v>
      </c>
    </row>
    <row r="8371" spans="2:5">
      <c r="B8371" s="943">
        <v>45267</v>
      </c>
      <c r="C8371" s="195">
        <f t="shared" si="261"/>
        <v>12</v>
      </c>
      <c r="D8371" s="195">
        <v>44.8</v>
      </c>
      <c r="E8371" s="705">
        <f t="shared" si="262"/>
        <v>7.1111111111111089</v>
      </c>
    </row>
    <row r="8372" spans="2:5">
      <c r="B8372" s="943">
        <v>45267</v>
      </c>
      <c r="C8372" s="195">
        <f t="shared" si="261"/>
        <v>12</v>
      </c>
      <c r="D8372" s="195">
        <v>45.3</v>
      </c>
      <c r="E8372" s="705">
        <f t="shared" si="262"/>
        <v>7.3888888888888875</v>
      </c>
    </row>
    <row r="8373" spans="2:5">
      <c r="B8373" s="943">
        <v>45267</v>
      </c>
      <c r="C8373" s="195">
        <f t="shared" si="261"/>
        <v>12</v>
      </c>
      <c r="D8373" s="195">
        <v>45.7</v>
      </c>
      <c r="E8373" s="705">
        <f t="shared" si="262"/>
        <v>7.6111111111111125</v>
      </c>
    </row>
    <row r="8374" spans="2:5">
      <c r="B8374" s="943">
        <v>45267</v>
      </c>
      <c r="C8374" s="195">
        <f t="shared" si="261"/>
        <v>12</v>
      </c>
      <c r="D8374" s="195" t="s">
        <v>1434</v>
      </c>
      <c r="E8374" s="705">
        <f t="shared" si="262"/>
        <v>7.7777777777777777</v>
      </c>
    </row>
    <row r="8375" spans="2:5">
      <c r="B8375" s="943">
        <v>45267</v>
      </c>
      <c r="C8375" s="195">
        <f t="shared" si="261"/>
        <v>12</v>
      </c>
      <c r="D8375" s="195" t="s">
        <v>1434</v>
      </c>
      <c r="E8375" s="705">
        <f t="shared" si="262"/>
        <v>7.7777777777777777</v>
      </c>
    </row>
    <row r="8376" spans="2:5">
      <c r="B8376" s="943">
        <v>45267</v>
      </c>
      <c r="C8376" s="195">
        <f t="shared" si="261"/>
        <v>12</v>
      </c>
      <c r="D8376" s="195">
        <v>45.9</v>
      </c>
      <c r="E8376" s="705">
        <f t="shared" si="262"/>
        <v>7.7222222222222214</v>
      </c>
    </row>
    <row r="8377" spans="2:5">
      <c r="B8377" s="943">
        <v>45267</v>
      </c>
      <c r="C8377" s="195">
        <f t="shared" si="261"/>
        <v>12</v>
      </c>
      <c r="D8377" s="195">
        <v>45.1</v>
      </c>
      <c r="E8377" s="705">
        <f t="shared" si="262"/>
        <v>7.2777777777777786</v>
      </c>
    </row>
    <row r="8378" spans="2:5">
      <c r="B8378" s="943">
        <v>45267</v>
      </c>
      <c r="C8378" s="195">
        <f t="shared" si="261"/>
        <v>12</v>
      </c>
      <c r="D8378" s="195">
        <v>44.2</v>
      </c>
      <c r="E8378" s="705">
        <f t="shared" si="262"/>
        <v>6.7777777777777795</v>
      </c>
    </row>
    <row r="8379" spans="2:5">
      <c r="B8379" s="943">
        <v>45267</v>
      </c>
      <c r="C8379" s="195">
        <f t="shared" si="261"/>
        <v>12</v>
      </c>
      <c r="D8379" s="195">
        <v>43.3</v>
      </c>
      <c r="E8379" s="705">
        <f t="shared" si="262"/>
        <v>6.2777777777777759</v>
      </c>
    </row>
    <row r="8380" spans="2:5">
      <c r="B8380" s="943">
        <v>45267</v>
      </c>
      <c r="C8380" s="195">
        <f t="shared" si="261"/>
        <v>12</v>
      </c>
      <c r="D8380" s="195">
        <v>42.8</v>
      </c>
      <c r="E8380" s="705">
        <f t="shared" si="262"/>
        <v>5.9999999999999982</v>
      </c>
    </row>
    <row r="8381" spans="2:5">
      <c r="B8381" s="943">
        <v>45267</v>
      </c>
      <c r="C8381" s="195">
        <f t="shared" si="261"/>
        <v>12</v>
      </c>
      <c r="D8381" s="195">
        <v>42.4</v>
      </c>
      <c r="E8381" s="705">
        <f t="shared" si="262"/>
        <v>5.7777777777777768</v>
      </c>
    </row>
    <row r="8382" spans="2:5">
      <c r="B8382" s="943">
        <v>45267</v>
      </c>
      <c r="C8382" s="195">
        <f t="shared" si="261"/>
        <v>12</v>
      </c>
      <c r="D8382" s="195">
        <v>43.2</v>
      </c>
      <c r="E8382" s="705">
        <f t="shared" si="262"/>
        <v>6.2222222222222232</v>
      </c>
    </row>
    <row r="8383" spans="2:5">
      <c r="B8383" s="943">
        <v>45267</v>
      </c>
      <c r="C8383" s="195">
        <f t="shared" si="261"/>
        <v>12</v>
      </c>
      <c r="D8383" s="195">
        <v>44.2</v>
      </c>
      <c r="E8383" s="705">
        <f t="shared" si="262"/>
        <v>6.7777777777777795</v>
      </c>
    </row>
    <row r="8384" spans="2:5">
      <c r="B8384" s="943">
        <v>45267</v>
      </c>
      <c r="C8384" s="195">
        <f t="shared" si="261"/>
        <v>12</v>
      </c>
      <c r="D8384" s="195" t="s">
        <v>1425</v>
      </c>
      <c r="E8384" s="705">
        <f t="shared" si="262"/>
        <v>7.2222222222222223</v>
      </c>
    </row>
    <row r="8385" spans="2:5">
      <c r="B8385" s="943">
        <v>45268</v>
      </c>
      <c r="C8385" s="195">
        <f t="shared" si="261"/>
        <v>12</v>
      </c>
      <c r="D8385" s="195">
        <v>45.3</v>
      </c>
      <c r="E8385" s="705">
        <f t="shared" si="262"/>
        <v>7.3888888888888875</v>
      </c>
    </row>
    <row r="8386" spans="2:5">
      <c r="B8386" s="943">
        <v>45268</v>
      </c>
      <c r="C8386" s="195">
        <f t="shared" si="261"/>
        <v>12</v>
      </c>
      <c r="D8386" s="195">
        <v>45.7</v>
      </c>
      <c r="E8386" s="705">
        <f t="shared" si="262"/>
        <v>7.6111111111111125</v>
      </c>
    </row>
    <row r="8387" spans="2:5">
      <c r="B8387" s="943">
        <v>45268</v>
      </c>
      <c r="C8387" s="195">
        <f t="shared" si="261"/>
        <v>12</v>
      </c>
      <c r="D8387" s="195">
        <v>45.9</v>
      </c>
      <c r="E8387" s="705">
        <f t="shared" si="262"/>
        <v>7.7222222222222214</v>
      </c>
    </row>
    <row r="8388" spans="2:5">
      <c r="B8388" s="943">
        <v>45268</v>
      </c>
      <c r="C8388" s="195">
        <f t="shared" si="261"/>
        <v>12</v>
      </c>
      <c r="D8388" s="195">
        <v>45.5</v>
      </c>
      <c r="E8388" s="705">
        <f t="shared" si="262"/>
        <v>7.5</v>
      </c>
    </row>
    <row r="8389" spans="2:5">
      <c r="B8389" s="943">
        <v>45268</v>
      </c>
      <c r="C8389" s="195">
        <f t="shared" si="261"/>
        <v>12</v>
      </c>
      <c r="D8389" s="195" t="s">
        <v>1425</v>
      </c>
      <c r="E8389" s="705">
        <f t="shared" si="262"/>
        <v>7.2222222222222223</v>
      </c>
    </row>
    <row r="8390" spans="2:5">
      <c r="B8390" s="943">
        <v>45268</v>
      </c>
      <c r="C8390" s="195">
        <f t="shared" si="261"/>
        <v>12</v>
      </c>
      <c r="D8390" s="195">
        <v>44.1</v>
      </c>
      <c r="E8390" s="705">
        <f t="shared" si="262"/>
        <v>6.7222222222222232</v>
      </c>
    </row>
    <row r="8391" spans="2:5">
      <c r="B8391" s="943">
        <v>45268</v>
      </c>
      <c r="C8391" s="195">
        <f t="shared" si="261"/>
        <v>12</v>
      </c>
      <c r="D8391" s="195" t="s">
        <v>1430</v>
      </c>
      <c r="E8391" s="705">
        <f t="shared" si="262"/>
        <v>6.1111111111111107</v>
      </c>
    </row>
    <row r="8392" spans="2:5">
      <c r="B8392" s="943">
        <v>45268</v>
      </c>
      <c r="C8392" s="195">
        <f t="shared" si="261"/>
        <v>12</v>
      </c>
      <c r="D8392" s="195">
        <v>42.3</v>
      </c>
      <c r="E8392" s="705">
        <f t="shared" si="262"/>
        <v>5.7222222222222205</v>
      </c>
    </row>
    <row r="8393" spans="2:5">
      <c r="B8393" s="943">
        <v>45268</v>
      </c>
      <c r="C8393" s="195">
        <f t="shared" si="261"/>
        <v>12</v>
      </c>
      <c r="D8393" s="195">
        <v>41.9</v>
      </c>
      <c r="E8393" s="705">
        <f t="shared" si="262"/>
        <v>5.4999999999999991</v>
      </c>
    </row>
    <row r="8394" spans="2:5">
      <c r="B8394" s="943">
        <v>45268</v>
      </c>
      <c r="C8394" s="195">
        <f t="shared" ref="C8394:C8457" si="263">MONTH(B8394)</f>
        <v>12</v>
      </c>
      <c r="D8394" s="195">
        <v>42.4</v>
      </c>
      <c r="E8394" s="705">
        <f t="shared" ref="E8394:E8457" si="264">CONVERT(D8394,"F","C")</f>
        <v>5.7777777777777768</v>
      </c>
    </row>
    <row r="8395" spans="2:5">
      <c r="B8395" s="943">
        <v>45268</v>
      </c>
      <c r="C8395" s="195">
        <f t="shared" si="263"/>
        <v>12</v>
      </c>
      <c r="D8395" s="195">
        <v>43.3</v>
      </c>
      <c r="E8395" s="705">
        <f t="shared" si="264"/>
        <v>6.2777777777777759</v>
      </c>
    </row>
    <row r="8396" spans="2:5">
      <c r="B8396" s="943">
        <v>45268</v>
      </c>
      <c r="C8396" s="195">
        <f t="shared" si="263"/>
        <v>12</v>
      </c>
      <c r="D8396" s="195">
        <v>44.2</v>
      </c>
      <c r="E8396" s="705">
        <f t="shared" si="264"/>
        <v>6.7777777777777795</v>
      </c>
    </row>
    <row r="8397" spans="2:5">
      <c r="B8397" s="943">
        <v>45268</v>
      </c>
      <c r="C8397" s="195">
        <f t="shared" si="263"/>
        <v>12</v>
      </c>
      <c r="D8397" s="195">
        <v>44.8</v>
      </c>
      <c r="E8397" s="705">
        <f t="shared" si="264"/>
        <v>7.1111111111111089</v>
      </c>
    </row>
    <row r="8398" spans="2:5">
      <c r="B8398" s="943">
        <v>45268</v>
      </c>
      <c r="C8398" s="195">
        <f t="shared" si="263"/>
        <v>12</v>
      </c>
      <c r="D8398" s="195">
        <v>45.3</v>
      </c>
      <c r="E8398" s="705">
        <f t="shared" si="264"/>
        <v>7.3888888888888875</v>
      </c>
    </row>
    <row r="8399" spans="2:5">
      <c r="B8399" s="943">
        <v>45268</v>
      </c>
      <c r="C8399" s="195">
        <f t="shared" si="263"/>
        <v>12</v>
      </c>
      <c r="D8399" s="195">
        <v>45.5</v>
      </c>
      <c r="E8399" s="705">
        <f t="shared" si="264"/>
        <v>7.5</v>
      </c>
    </row>
    <row r="8400" spans="2:5">
      <c r="B8400" s="943">
        <v>45268</v>
      </c>
      <c r="C8400" s="195">
        <f t="shared" si="263"/>
        <v>12</v>
      </c>
      <c r="D8400" s="195">
        <v>45.3</v>
      </c>
      <c r="E8400" s="705">
        <f t="shared" si="264"/>
        <v>7.3888888888888875</v>
      </c>
    </row>
    <row r="8401" spans="2:5">
      <c r="B8401" s="943">
        <v>45268</v>
      </c>
      <c r="C8401" s="195">
        <f t="shared" si="263"/>
        <v>12</v>
      </c>
      <c r="D8401" s="195">
        <v>45.1</v>
      </c>
      <c r="E8401" s="705">
        <f t="shared" si="264"/>
        <v>7.2777777777777786</v>
      </c>
    </row>
    <row r="8402" spans="2:5">
      <c r="B8402" s="943">
        <v>45268</v>
      </c>
      <c r="C8402" s="195">
        <f t="shared" si="263"/>
        <v>12</v>
      </c>
      <c r="D8402" s="195">
        <v>44.6</v>
      </c>
      <c r="E8402" s="705">
        <f t="shared" si="264"/>
        <v>7.0000000000000009</v>
      </c>
    </row>
    <row r="8403" spans="2:5">
      <c r="B8403" s="943">
        <v>45268</v>
      </c>
      <c r="C8403" s="195">
        <f t="shared" si="263"/>
        <v>12</v>
      </c>
      <c r="D8403" s="195">
        <v>43.3</v>
      </c>
      <c r="E8403" s="705">
        <f t="shared" si="264"/>
        <v>6.2777777777777759</v>
      </c>
    </row>
    <row r="8404" spans="2:5">
      <c r="B8404" s="943">
        <v>45268</v>
      </c>
      <c r="C8404" s="195">
        <f t="shared" si="263"/>
        <v>12</v>
      </c>
      <c r="D8404" s="195">
        <v>42.4</v>
      </c>
      <c r="E8404" s="705">
        <f t="shared" si="264"/>
        <v>5.7777777777777768</v>
      </c>
    </row>
    <row r="8405" spans="2:5">
      <c r="B8405" s="943">
        <v>45268</v>
      </c>
      <c r="C8405" s="195">
        <f t="shared" si="263"/>
        <v>12</v>
      </c>
      <c r="D8405" s="195">
        <v>41.9</v>
      </c>
      <c r="E8405" s="705">
        <f t="shared" si="264"/>
        <v>5.4999999999999991</v>
      </c>
    </row>
    <row r="8406" spans="2:5">
      <c r="B8406" s="943">
        <v>45268</v>
      </c>
      <c r="C8406" s="195">
        <f t="shared" si="263"/>
        <v>12</v>
      </c>
      <c r="D8406" s="195">
        <v>41.7</v>
      </c>
      <c r="E8406" s="705">
        <f t="shared" si="264"/>
        <v>5.3888888888888902</v>
      </c>
    </row>
    <row r="8407" spans="2:5">
      <c r="B8407" s="943">
        <v>45268</v>
      </c>
      <c r="C8407" s="195">
        <f t="shared" si="263"/>
        <v>12</v>
      </c>
      <c r="D8407" s="195">
        <v>42.3</v>
      </c>
      <c r="E8407" s="705">
        <f t="shared" si="264"/>
        <v>5.7222222222222205</v>
      </c>
    </row>
    <row r="8408" spans="2:5">
      <c r="B8408" s="943">
        <v>45268</v>
      </c>
      <c r="C8408" s="195">
        <f t="shared" si="263"/>
        <v>12</v>
      </c>
      <c r="D8408" s="195">
        <v>43.7</v>
      </c>
      <c r="E8408" s="705">
        <f t="shared" si="264"/>
        <v>6.5000000000000018</v>
      </c>
    </row>
    <row r="8409" spans="2:5">
      <c r="B8409" s="943">
        <v>45269</v>
      </c>
      <c r="C8409" s="195">
        <f t="shared" si="263"/>
        <v>12</v>
      </c>
      <c r="D8409" s="195">
        <v>44.2</v>
      </c>
      <c r="E8409" s="705">
        <f t="shared" si="264"/>
        <v>6.7777777777777795</v>
      </c>
    </row>
    <row r="8410" spans="2:5">
      <c r="B8410" s="943">
        <v>45269</v>
      </c>
      <c r="C8410" s="195">
        <f t="shared" si="263"/>
        <v>12</v>
      </c>
      <c r="D8410" s="195">
        <v>44.8</v>
      </c>
      <c r="E8410" s="705">
        <f t="shared" si="264"/>
        <v>7.1111111111111089</v>
      </c>
    </row>
    <row r="8411" spans="2:5">
      <c r="B8411" s="943">
        <v>45269</v>
      </c>
      <c r="C8411" s="195">
        <f t="shared" si="263"/>
        <v>12</v>
      </c>
      <c r="D8411" s="195">
        <v>45.1</v>
      </c>
      <c r="E8411" s="705">
        <f t="shared" si="264"/>
        <v>7.2777777777777786</v>
      </c>
    </row>
    <row r="8412" spans="2:5">
      <c r="B8412" s="943">
        <v>45269</v>
      </c>
      <c r="C8412" s="195">
        <f t="shared" si="263"/>
        <v>12</v>
      </c>
      <c r="D8412" s="195">
        <v>45.5</v>
      </c>
      <c r="E8412" s="705">
        <f t="shared" si="264"/>
        <v>7.5</v>
      </c>
    </row>
    <row r="8413" spans="2:5">
      <c r="B8413" s="943">
        <v>45269</v>
      </c>
      <c r="C8413" s="195">
        <f t="shared" si="263"/>
        <v>12</v>
      </c>
      <c r="D8413" s="195">
        <v>45.1</v>
      </c>
      <c r="E8413" s="705">
        <f t="shared" si="264"/>
        <v>7.2777777777777786</v>
      </c>
    </row>
    <row r="8414" spans="2:5">
      <c r="B8414" s="943">
        <v>45269</v>
      </c>
      <c r="C8414" s="195">
        <f t="shared" si="263"/>
        <v>12</v>
      </c>
      <c r="D8414" s="195">
        <v>44.4</v>
      </c>
      <c r="E8414" s="705">
        <f t="shared" si="264"/>
        <v>6.8888888888888875</v>
      </c>
    </row>
    <row r="8415" spans="2:5">
      <c r="B8415" s="943">
        <v>45269</v>
      </c>
      <c r="C8415" s="195">
        <f t="shared" si="263"/>
        <v>12</v>
      </c>
      <c r="D8415" s="195">
        <v>43.5</v>
      </c>
      <c r="E8415" s="705">
        <f t="shared" si="264"/>
        <v>6.3888888888888884</v>
      </c>
    </row>
    <row r="8416" spans="2:5">
      <c r="B8416" s="943">
        <v>45269</v>
      </c>
      <c r="C8416" s="195">
        <f t="shared" si="263"/>
        <v>12</v>
      </c>
      <c r="D8416" s="195">
        <v>42.4</v>
      </c>
      <c r="E8416" s="705">
        <f t="shared" si="264"/>
        <v>5.7777777777777768</v>
      </c>
    </row>
    <row r="8417" spans="2:5">
      <c r="B8417" s="943">
        <v>45269</v>
      </c>
      <c r="C8417" s="195">
        <f t="shared" si="263"/>
        <v>12</v>
      </c>
      <c r="D8417" s="195">
        <v>41.7</v>
      </c>
      <c r="E8417" s="705">
        <f t="shared" si="264"/>
        <v>5.3888888888888902</v>
      </c>
    </row>
    <row r="8418" spans="2:5">
      <c r="B8418" s="943">
        <v>45269</v>
      </c>
      <c r="C8418" s="195">
        <f t="shared" si="263"/>
        <v>12</v>
      </c>
      <c r="D8418" s="195">
        <v>41.5</v>
      </c>
      <c r="E8418" s="705">
        <f t="shared" si="264"/>
        <v>5.2777777777777777</v>
      </c>
    </row>
    <row r="8419" spans="2:5">
      <c r="B8419" s="943">
        <v>45269</v>
      </c>
      <c r="C8419" s="195">
        <f t="shared" si="263"/>
        <v>12</v>
      </c>
      <c r="D8419" s="195">
        <v>42.3</v>
      </c>
      <c r="E8419" s="705">
        <f t="shared" si="264"/>
        <v>5.7222222222222205</v>
      </c>
    </row>
    <row r="8420" spans="2:5">
      <c r="B8420" s="943">
        <v>45269</v>
      </c>
      <c r="C8420" s="195">
        <f t="shared" si="263"/>
        <v>12</v>
      </c>
      <c r="D8420" s="195">
        <v>43.5</v>
      </c>
      <c r="E8420" s="705">
        <f t="shared" si="264"/>
        <v>6.3888888888888884</v>
      </c>
    </row>
    <row r="8421" spans="2:5">
      <c r="B8421" s="943">
        <v>45269</v>
      </c>
      <c r="C8421" s="195">
        <f t="shared" si="263"/>
        <v>12</v>
      </c>
      <c r="D8421" s="195">
        <v>44.4</v>
      </c>
      <c r="E8421" s="705">
        <f t="shared" si="264"/>
        <v>6.8888888888888875</v>
      </c>
    </row>
    <row r="8422" spans="2:5">
      <c r="B8422" s="943">
        <v>45269</v>
      </c>
      <c r="C8422" s="195">
        <f t="shared" si="263"/>
        <v>12</v>
      </c>
      <c r="D8422" s="195">
        <v>45.1</v>
      </c>
      <c r="E8422" s="705">
        <f t="shared" si="264"/>
        <v>7.2777777777777786</v>
      </c>
    </row>
    <row r="8423" spans="2:5">
      <c r="B8423" s="943">
        <v>45269</v>
      </c>
      <c r="C8423" s="195">
        <f t="shared" si="263"/>
        <v>12</v>
      </c>
      <c r="D8423" s="195">
        <v>45.5</v>
      </c>
      <c r="E8423" s="705">
        <f t="shared" si="264"/>
        <v>7.5</v>
      </c>
    </row>
    <row r="8424" spans="2:5">
      <c r="B8424" s="943">
        <v>45269</v>
      </c>
      <c r="C8424" s="195">
        <f t="shared" si="263"/>
        <v>12</v>
      </c>
      <c r="D8424" s="195">
        <v>45.7</v>
      </c>
      <c r="E8424" s="705">
        <f t="shared" si="264"/>
        <v>7.6111111111111125</v>
      </c>
    </row>
    <row r="8425" spans="2:5">
      <c r="B8425" s="943">
        <v>45269</v>
      </c>
      <c r="C8425" s="195">
        <f t="shared" si="263"/>
        <v>12</v>
      </c>
      <c r="D8425" s="195">
        <v>45.7</v>
      </c>
      <c r="E8425" s="705">
        <f t="shared" si="264"/>
        <v>7.6111111111111125</v>
      </c>
    </row>
    <row r="8426" spans="2:5">
      <c r="B8426" s="943">
        <v>45269</v>
      </c>
      <c r="C8426" s="195">
        <f t="shared" si="263"/>
        <v>12</v>
      </c>
      <c r="D8426" s="195">
        <v>45.3</v>
      </c>
      <c r="E8426" s="705">
        <f t="shared" si="264"/>
        <v>7.3888888888888875</v>
      </c>
    </row>
    <row r="8427" spans="2:5">
      <c r="B8427" s="943">
        <v>45269</v>
      </c>
      <c r="C8427" s="195">
        <f t="shared" si="263"/>
        <v>12</v>
      </c>
      <c r="D8427" s="195">
        <v>44.6</v>
      </c>
      <c r="E8427" s="705">
        <f t="shared" si="264"/>
        <v>7.0000000000000009</v>
      </c>
    </row>
    <row r="8428" spans="2:5">
      <c r="B8428" s="943">
        <v>45269</v>
      </c>
      <c r="C8428" s="195">
        <f t="shared" si="263"/>
        <v>12</v>
      </c>
      <c r="D8428" s="195">
        <v>43.5</v>
      </c>
      <c r="E8428" s="705">
        <f t="shared" si="264"/>
        <v>6.3888888888888884</v>
      </c>
    </row>
    <row r="8429" spans="2:5">
      <c r="B8429" s="943">
        <v>45269</v>
      </c>
      <c r="C8429" s="195">
        <f t="shared" si="263"/>
        <v>12</v>
      </c>
      <c r="D8429" s="195">
        <v>42.8</v>
      </c>
      <c r="E8429" s="705">
        <f t="shared" si="264"/>
        <v>5.9999999999999982</v>
      </c>
    </row>
    <row r="8430" spans="2:5">
      <c r="B8430" s="943">
        <v>45269</v>
      </c>
      <c r="C8430" s="195">
        <f t="shared" si="263"/>
        <v>12</v>
      </c>
      <c r="D8430" s="195">
        <v>42.3</v>
      </c>
      <c r="E8430" s="705">
        <f t="shared" si="264"/>
        <v>5.7222222222222205</v>
      </c>
    </row>
    <row r="8431" spans="2:5">
      <c r="B8431" s="943">
        <v>45269</v>
      </c>
      <c r="C8431" s="195">
        <f t="shared" si="263"/>
        <v>12</v>
      </c>
      <c r="D8431" s="195">
        <v>42.1</v>
      </c>
      <c r="E8431" s="705">
        <f t="shared" si="264"/>
        <v>5.6111111111111116</v>
      </c>
    </row>
    <row r="8432" spans="2:5">
      <c r="B8432" s="943">
        <v>45269</v>
      </c>
      <c r="C8432" s="195">
        <f t="shared" si="263"/>
        <v>12</v>
      </c>
      <c r="D8432" s="195">
        <v>42.6</v>
      </c>
      <c r="E8432" s="705">
        <f t="shared" si="264"/>
        <v>5.8888888888888893</v>
      </c>
    </row>
    <row r="8433" spans="2:5">
      <c r="B8433" s="943">
        <v>45270</v>
      </c>
      <c r="C8433" s="195">
        <f t="shared" si="263"/>
        <v>12</v>
      </c>
      <c r="D8433" s="195">
        <v>44.1</v>
      </c>
      <c r="E8433" s="705">
        <f t="shared" si="264"/>
        <v>6.7222222222222232</v>
      </c>
    </row>
    <row r="8434" spans="2:5">
      <c r="B8434" s="943">
        <v>45270</v>
      </c>
      <c r="C8434" s="195">
        <f t="shared" si="263"/>
        <v>12</v>
      </c>
      <c r="D8434" s="195">
        <v>44.6</v>
      </c>
      <c r="E8434" s="705">
        <f t="shared" si="264"/>
        <v>7.0000000000000009</v>
      </c>
    </row>
    <row r="8435" spans="2:5">
      <c r="B8435" s="943">
        <v>45270</v>
      </c>
      <c r="C8435" s="195">
        <f t="shared" si="263"/>
        <v>12</v>
      </c>
      <c r="D8435" s="195">
        <v>45.3</v>
      </c>
      <c r="E8435" s="705">
        <f t="shared" si="264"/>
        <v>7.3888888888888875</v>
      </c>
    </row>
    <row r="8436" spans="2:5">
      <c r="B8436" s="943">
        <v>45270</v>
      </c>
      <c r="C8436" s="195">
        <f t="shared" si="263"/>
        <v>12</v>
      </c>
      <c r="D8436" s="195">
        <v>45.7</v>
      </c>
      <c r="E8436" s="705">
        <f t="shared" si="264"/>
        <v>7.6111111111111125</v>
      </c>
    </row>
    <row r="8437" spans="2:5">
      <c r="B8437" s="943">
        <v>45270</v>
      </c>
      <c r="C8437" s="195">
        <f t="shared" si="263"/>
        <v>12</v>
      </c>
      <c r="D8437" s="195">
        <v>45.9</v>
      </c>
      <c r="E8437" s="705">
        <f t="shared" si="264"/>
        <v>7.7222222222222214</v>
      </c>
    </row>
    <row r="8438" spans="2:5">
      <c r="B8438" s="943">
        <v>45270</v>
      </c>
      <c r="C8438" s="195">
        <f t="shared" si="263"/>
        <v>12</v>
      </c>
      <c r="D8438" s="195">
        <v>45.7</v>
      </c>
      <c r="E8438" s="705">
        <f t="shared" si="264"/>
        <v>7.6111111111111125</v>
      </c>
    </row>
    <row r="8439" spans="2:5">
      <c r="B8439" s="943">
        <v>45270</v>
      </c>
      <c r="C8439" s="195">
        <f t="shared" si="263"/>
        <v>12</v>
      </c>
      <c r="D8439" s="195" t="s">
        <v>1425</v>
      </c>
      <c r="E8439" s="705">
        <f t="shared" si="264"/>
        <v>7.2222222222222223</v>
      </c>
    </row>
    <row r="8440" spans="2:5">
      <c r="B8440" s="943">
        <v>45270</v>
      </c>
      <c r="C8440" s="195">
        <f t="shared" si="263"/>
        <v>12</v>
      </c>
      <c r="D8440" s="195">
        <v>43.9</v>
      </c>
      <c r="E8440" s="705">
        <f t="shared" si="264"/>
        <v>6.6111111111111098</v>
      </c>
    </row>
    <row r="8441" spans="2:5">
      <c r="B8441" s="943">
        <v>45270</v>
      </c>
      <c r="C8441" s="195">
        <f t="shared" si="263"/>
        <v>12</v>
      </c>
      <c r="D8441" s="195" t="s">
        <v>1430</v>
      </c>
      <c r="E8441" s="705">
        <f t="shared" si="264"/>
        <v>6.1111111111111107</v>
      </c>
    </row>
    <row r="8442" spans="2:5">
      <c r="B8442" s="943">
        <v>45270</v>
      </c>
      <c r="C8442" s="195">
        <f t="shared" si="263"/>
        <v>12</v>
      </c>
      <c r="D8442" s="195">
        <v>42.6</v>
      </c>
      <c r="E8442" s="705">
        <f t="shared" si="264"/>
        <v>5.8888888888888893</v>
      </c>
    </row>
    <row r="8443" spans="2:5">
      <c r="B8443" s="943">
        <v>45270</v>
      </c>
      <c r="C8443" s="195">
        <f t="shared" si="263"/>
        <v>12</v>
      </c>
      <c r="D8443" s="195">
        <v>42.4</v>
      </c>
      <c r="E8443" s="705">
        <f t="shared" si="264"/>
        <v>5.7777777777777768</v>
      </c>
    </row>
    <row r="8444" spans="2:5">
      <c r="B8444" s="943">
        <v>45270</v>
      </c>
      <c r="C8444" s="195">
        <f t="shared" si="263"/>
        <v>12</v>
      </c>
      <c r="D8444" s="195" t="s">
        <v>1430</v>
      </c>
      <c r="E8444" s="705">
        <f t="shared" si="264"/>
        <v>6.1111111111111107</v>
      </c>
    </row>
    <row r="8445" spans="2:5">
      <c r="B8445" s="943">
        <v>45270</v>
      </c>
      <c r="C8445" s="195">
        <f t="shared" si="263"/>
        <v>12</v>
      </c>
      <c r="D8445" s="195">
        <v>44.4</v>
      </c>
      <c r="E8445" s="705">
        <f t="shared" si="264"/>
        <v>6.8888888888888875</v>
      </c>
    </row>
    <row r="8446" spans="2:5">
      <c r="B8446" s="943">
        <v>45270</v>
      </c>
      <c r="C8446" s="195">
        <f t="shared" si="263"/>
        <v>12</v>
      </c>
      <c r="D8446" s="195">
        <v>45.1</v>
      </c>
      <c r="E8446" s="705">
        <f t="shared" si="264"/>
        <v>7.2777777777777786</v>
      </c>
    </row>
    <row r="8447" spans="2:5">
      <c r="B8447" s="943">
        <v>45270</v>
      </c>
      <c r="C8447" s="195">
        <f t="shared" si="263"/>
        <v>12</v>
      </c>
      <c r="D8447" s="195">
        <v>45.7</v>
      </c>
      <c r="E8447" s="705">
        <f t="shared" si="264"/>
        <v>7.6111111111111125</v>
      </c>
    </row>
    <row r="8448" spans="2:5">
      <c r="B8448" s="943">
        <v>45270</v>
      </c>
      <c r="C8448" s="195">
        <f t="shared" si="263"/>
        <v>12</v>
      </c>
      <c r="D8448" s="195" t="s">
        <v>1434</v>
      </c>
      <c r="E8448" s="705">
        <f t="shared" si="264"/>
        <v>7.7777777777777777</v>
      </c>
    </row>
    <row r="8449" spans="2:5">
      <c r="B8449" s="943">
        <v>45270</v>
      </c>
      <c r="C8449" s="195">
        <f t="shared" si="263"/>
        <v>12</v>
      </c>
      <c r="D8449" s="195" t="s">
        <v>1434</v>
      </c>
      <c r="E8449" s="705">
        <f t="shared" si="264"/>
        <v>7.7777777777777777</v>
      </c>
    </row>
    <row r="8450" spans="2:5">
      <c r="B8450" s="943">
        <v>45270</v>
      </c>
      <c r="C8450" s="195">
        <f t="shared" si="263"/>
        <v>12</v>
      </c>
      <c r="D8450" s="195" t="s">
        <v>1434</v>
      </c>
      <c r="E8450" s="705">
        <f t="shared" si="264"/>
        <v>7.7777777777777777</v>
      </c>
    </row>
    <row r="8451" spans="2:5">
      <c r="B8451" s="943">
        <v>45270</v>
      </c>
      <c r="C8451" s="195">
        <f t="shared" si="263"/>
        <v>12</v>
      </c>
      <c r="D8451" s="195">
        <v>45.7</v>
      </c>
      <c r="E8451" s="705">
        <f t="shared" si="264"/>
        <v>7.6111111111111125</v>
      </c>
    </row>
    <row r="8452" spans="2:5">
      <c r="B8452" s="943">
        <v>45270</v>
      </c>
      <c r="C8452" s="195">
        <f t="shared" si="263"/>
        <v>12</v>
      </c>
      <c r="D8452" s="195">
        <v>44.8</v>
      </c>
      <c r="E8452" s="705">
        <f t="shared" si="264"/>
        <v>7.1111111111111089</v>
      </c>
    </row>
    <row r="8453" spans="2:5">
      <c r="B8453" s="943">
        <v>45270</v>
      </c>
      <c r="C8453" s="195">
        <f t="shared" si="263"/>
        <v>12</v>
      </c>
      <c r="D8453" s="195">
        <v>43.9</v>
      </c>
      <c r="E8453" s="705">
        <f t="shared" si="264"/>
        <v>6.6111111111111098</v>
      </c>
    </row>
    <row r="8454" spans="2:5">
      <c r="B8454" s="943">
        <v>45270</v>
      </c>
      <c r="C8454" s="195">
        <f t="shared" si="263"/>
        <v>12</v>
      </c>
      <c r="D8454" s="195">
        <v>43.2</v>
      </c>
      <c r="E8454" s="705">
        <f t="shared" si="264"/>
        <v>6.2222222222222232</v>
      </c>
    </row>
    <row r="8455" spans="2:5">
      <c r="B8455" s="943">
        <v>45270</v>
      </c>
      <c r="C8455" s="195">
        <f t="shared" si="263"/>
        <v>12</v>
      </c>
      <c r="D8455" s="195">
        <v>42.8</v>
      </c>
      <c r="E8455" s="705">
        <f t="shared" si="264"/>
        <v>5.9999999999999982</v>
      </c>
    </row>
    <row r="8456" spans="2:5">
      <c r="B8456" s="943">
        <v>45270</v>
      </c>
      <c r="C8456" s="195">
        <f t="shared" si="263"/>
        <v>12</v>
      </c>
      <c r="D8456" s="195">
        <v>42.8</v>
      </c>
      <c r="E8456" s="705">
        <f t="shared" si="264"/>
        <v>5.9999999999999982</v>
      </c>
    </row>
    <row r="8457" spans="2:5">
      <c r="B8457" s="943">
        <v>45271</v>
      </c>
      <c r="C8457" s="195">
        <f t="shared" si="263"/>
        <v>12</v>
      </c>
      <c r="D8457" s="195">
        <v>43.5</v>
      </c>
      <c r="E8457" s="705">
        <f t="shared" si="264"/>
        <v>6.3888888888888884</v>
      </c>
    </row>
    <row r="8458" spans="2:5">
      <c r="B8458" s="943">
        <v>45271</v>
      </c>
      <c r="C8458" s="195">
        <f t="shared" ref="C8458:C8521" si="265">MONTH(B8458)</f>
        <v>12</v>
      </c>
      <c r="D8458" s="195">
        <v>44.4</v>
      </c>
      <c r="E8458" s="705">
        <f t="shared" ref="E8458:E8521" si="266">CONVERT(D8458,"F","C")</f>
        <v>6.8888888888888875</v>
      </c>
    </row>
    <row r="8459" spans="2:5">
      <c r="B8459" s="943">
        <v>45271</v>
      </c>
      <c r="C8459" s="195">
        <f t="shared" si="265"/>
        <v>12</v>
      </c>
      <c r="D8459" s="195">
        <v>45.1</v>
      </c>
      <c r="E8459" s="705">
        <f t="shared" si="266"/>
        <v>7.2777777777777786</v>
      </c>
    </row>
    <row r="8460" spans="2:5">
      <c r="B8460" s="943">
        <v>45271</v>
      </c>
      <c r="C8460" s="195">
        <f t="shared" si="265"/>
        <v>12</v>
      </c>
      <c r="D8460" s="195">
        <v>45.7</v>
      </c>
      <c r="E8460" s="705">
        <f t="shared" si="266"/>
        <v>7.6111111111111125</v>
      </c>
    </row>
    <row r="8461" spans="2:5">
      <c r="B8461" s="943">
        <v>45271</v>
      </c>
      <c r="C8461" s="195">
        <f t="shared" si="265"/>
        <v>12</v>
      </c>
      <c r="D8461" s="195">
        <v>45.9</v>
      </c>
      <c r="E8461" s="705">
        <f t="shared" si="266"/>
        <v>7.7222222222222214</v>
      </c>
    </row>
    <row r="8462" spans="2:5">
      <c r="B8462" s="943">
        <v>45271</v>
      </c>
      <c r="C8462" s="195">
        <f t="shared" si="265"/>
        <v>12</v>
      </c>
      <c r="D8462" s="195">
        <v>45.9</v>
      </c>
      <c r="E8462" s="705">
        <f t="shared" si="266"/>
        <v>7.7222222222222214</v>
      </c>
    </row>
    <row r="8463" spans="2:5">
      <c r="B8463" s="943">
        <v>45271</v>
      </c>
      <c r="C8463" s="195">
        <f t="shared" si="265"/>
        <v>12</v>
      </c>
      <c r="D8463" s="195">
        <v>45.9</v>
      </c>
      <c r="E8463" s="705">
        <f t="shared" si="266"/>
        <v>7.7222222222222214</v>
      </c>
    </row>
    <row r="8464" spans="2:5">
      <c r="B8464" s="943">
        <v>45271</v>
      </c>
      <c r="C8464" s="195">
        <f t="shared" si="265"/>
        <v>12</v>
      </c>
      <c r="D8464" s="195">
        <v>45.5</v>
      </c>
      <c r="E8464" s="705">
        <f t="shared" si="266"/>
        <v>7.5</v>
      </c>
    </row>
    <row r="8465" spans="2:5">
      <c r="B8465" s="943">
        <v>45271</v>
      </c>
      <c r="C8465" s="195">
        <f t="shared" si="265"/>
        <v>12</v>
      </c>
      <c r="D8465" s="195">
        <v>44.6</v>
      </c>
      <c r="E8465" s="705">
        <f t="shared" si="266"/>
        <v>7.0000000000000009</v>
      </c>
    </row>
    <row r="8466" spans="2:5">
      <c r="B8466" s="943">
        <v>45271</v>
      </c>
      <c r="C8466" s="195">
        <f t="shared" si="265"/>
        <v>12</v>
      </c>
      <c r="D8466" s="195">
        <v>43.9</v>
      </c>
      <c r="E8466" s="705">
        <f t="shared" si="266"/>
        <v>6.6111111111111098</v>
      </c>
    </row>
    <row r="8467" spans="2:5">
      <c r="B8467" s="943">
        <v>45271</v>
      </c>
      <c r="C8467" s="195">
        <f t="shared" si="265"/>
        <v>12</v>
      </c>
      <c r="D8467" s="195">
        <v>43.5</v>
      </c>
      <c r="E8467" s="705">
        <f t="shared" si="266"/>
        <v>6.3888888888888884</v>
      </c>
    </row>
    <row r="8468" spans="2:5">
      <c r="B8468" s="943">
        <v>45271</v>
      </c>
      <c r="C8468" s="195">
        <f t="shared" si="265"/>
        <v>12</v>
      </c>
      <c r="D8468" s="195">
        <v>43.5</v>
      </c>
      <c r="E8468" s="705">
        <f t="shared" si="266"/>
        <v>6.3888888888888884</v>
      </c>
    </row>
    <row r="8469" spans="2:5">
      <c r="B8469" s="943">
        <v>45271</v>
      </c>
      <c r="C8469" s="195">
        <f t="shared" si="265"/>
        <v>12</v>
      </c>
      <c r="D8469" s="195">
        <v>44.6</v>
      </c>
      <c r="E8469" s="705">
        <f t="shared" si="266"/>
        <v>7.0000000000000009</v>
      </c>
    </row>
    <row r="8470" spans="2:5">
      <c r="B8470" s="943">
        <v>45271</v>
      </c>
      <c r="C8470" s="195">
        <f t="shared" si="265"/>
        <v>12</v>
      </c>
      <c r="D8470" s="195">
        <v>45.1</v>
      </c>
      <c r="E8470" s="705">
        <f t="shared" si="266"/>
        <v>7.2777777777777786</v>
      </c>
    </row>
    <row r="8471" spans="2:5">
      <c r="B8471" s="943">
        <v>45271</v>
      </c>
      <c r="C8471" s="195">
        <f t="shared" si="265"/>
        <v>12</v>
      </c>
      <c r="D8471" s="195">
        <v>45.9</v>
      </c>
      <c r="E8471" s="705">
        <f t="shared" si="266"/>
        <v>7.7222222222222214</v>
      </c>
    </row>
    <row r="8472" spans="2:5">
      <c r="B8472" s="943">
        <v>45271</v>
      </c>
      <c r="C8472" s="195">
        <f t="shared" si="265"/>
        <v>12</v>
      </c>
      <c r="D8472" s="195" t="s">
        <v>1434</v>
      </c>
      <c r="E8472" s="705">
        <f t="shared" si="266"/>
        <v>7.7777777777777777</v>
      </c>
    </row>
    <row r="8473" spans="2:5">
      <c r="B8473" s="943">
        <v>45271</v>
      </c>
      <c r="C8473" s="195">
        <f t="shared" si="265"/>
        <v>12</v>
      </c>
      <c r="D8473" s="195">
        <v>46.2</v>
      </c>
      <c r="E8473" s="705">
        <f t="shared" si="266"/>
        <v>7.8888888888888902</v>
      </c>
    </row>
    <row r="8474" spans="2:5">
      <c r="B8474" s="943">
        <v>45271</v>
      </c>
      <c r="C8474" s="195">
        <f t="shared" si="265"/>
        <v>12</v>
      </c>
      <c r="D8474" s="195">
        <v>46.2</v>
      </c>
      <c r="E8474" s="705">
        <f t="shared" si="266"/>
        <v>7.8888888888888902</v>
      </c>
    </row>
    <row r="8475" spans="2:5">
      <c r="B8475" s="943">
        <v>45271</v>
      </c>
      <c r="C8475" s="195">
        <f t="shared" si="265"/>
        <v>12</v>
      </c>
      <c r="D8475" s="195" t="s">
        <v>1434</v>
      </c>
      <c r="E8475" s="705">
        <f t="shared" si="266"/>
        <v>7.7777777777777777</v>
      </c>
    </row>
    <row r="8476" spans="2:5">
      <c r="B8476" s="943">
        <v>45271</v>
      </c>
      <c r="C8476" s="195">
        <f t="shared" si="265"/>
        <v>12</v>
      </c>
      <c r="D8476" s="195">
        <v>45.5</v>
      </c>
      <c r="E8476" s="705">
        <f t="shared" si="266"/>
        <v>7.5</v>
      </c>
    </row>
    <row r="8477" spans="2:5">
      <c r="B8477" s="943">
        <v>45271</v>
      </c>
      <c r="C8477" s="195">
        <f t="shared" si="265"/>
        <v>12</v>
      </c>
      <c r="D8477" s="195">
        <v>44.6</v>
      </c>
      <c r="E8477" s="705">
        <f t="shared" si="266"/>
        <v>7.0000000000000009</v>
      </c>
    </row>
    <row r="8478" spans="2:5">
      <c r="B8478" s="943">
        <v>45271</v>
      </c>
      <c r="C8478" s="195">
        <f t="shared" si="265"/>
        <v>12</v>
      </c>
      <c r="D8478" s="195">
        <v>44.1</v>
      </c>
      <c r="E8478" s="705">
        <f t="shared" si="266"/>
        <v>6.7222222222222232</v>
      </c>
    </row>
    <row r="8479" spans="2:5">
      <c r="B8479" s="943">
        <v>45271</v>
      </c>
      <c r="C8479" s="195">
        <f t="shared" si="265"/>
        <v>12</v>
      </c>
      <c r="D8479" s="195">
        <v>43.5</v>
      </c>
      <c r="E8479" s="705">
        <f t="shared" si="266"/>
        <v>6.3888888888888884</v>
      </c>
    </row>
    <row r="8480" spans="2:5">
      <c r="B8480" s="943">
        <v>45271</v>
      </c>
      <c r="C8480" s="195">
        <f t="shared" si="265"/>
        <v>12</v>
      </c>
      <c r="D8480" s="195">
        <v>43.2</v>
      </c>
      <c r="E8480" s="705">
        <f t="shared" si="266"/>
        <v>6.2222222222222232</v>
      </c>
    </row>
    <row r="8481" spans="2:5">
      <c r="B8481" s="943">
        <v>45272</v>
      </c>
      <c r="C8481" s="195">
        <f t="shared" si="265"/>
        <v>12</v>
      </c>
      <c r="D8481" s="195" t="s">
        <v>1430</v>
      </c>
      <c r="E8481" s="705">
        <f t="shared" si="266"/>
        <v>6.1111111111111107</v>
      </c>
    </row>
    <row r="8482" spans="2:5">
      <c r="B8482" s="943">
        <v>45272</v>
      </c>
      <c r="C8482" s="195">
        <f t="shared" si="265"/>
        <v>12</v>
      </c>
      <c r="D8482" s="195">
        <v>43.7</v>
      </c>
      <c r="E8482" s="705">
        <f t="shared" si="266"/>
        <v>6.5000000000000018</v>
      </c>
    </row>
    <row r="8483" spans="2:5">
      <c r="B8483" s="943">
        <v>45272</v>
      </c>
      <c r="C8483" s="195">
        <f t="shared" si="265"/>
        <v>12</v>
      </c>
      <c r="D8483" s="195" t="s">
        <v>1425</v>
      </c>
      <c r="E8483" s="705">
        <f t="shared" si="266"/>
        <v>7.2222222222222223</v>
      </c>
    </row>
    <row r="8484" spans="2:5">
      <c r="B8484" s="943">
        <v>45272</v>
      </c>
      <c r="C8484" s="195">
        <f t="shared" si="265"/>
        <v>12</v>
      </c>
      <c r="D8484" s="195">
        <v>45.3</v>
      </c>
      <c r="E8484" s="705">
        <f t="shared" si="266"/>
        <v>7.3888888888888875</v>
      </c>
    </row>
    <row r="8485" spans="2:5">
      <c r="B8485" s="943">
        <v>45272</v>
      </c>
      <c r="C8485" s="195">
        <f t="shared" si="265"/>
        <v>12</v>
      </c>
      <c r="D8485" s="195">
        <v>45.5</v>
      </c>
      <c r="E8485" s="705">
        <f t="shared" si="266"/>
        <v>7.5</v>
      </c>
    </row>
    <row r="8486" spans="2:5">
      <c r="B8486" s="943">
        <v>45272</v>
      </c>
      <c r="C8486" s="195">
        <f t="shared" si="265"/>
        <v>12</v>
      </c>
      <c r="D8486" s="195">
        <v>46.2</v>
      </c>
      <c r="E8486" s="705">
        <f t="shared" si="266"/>
        <v>7.8888888888888902</v>
      </c>
    </row>
    <row r="8487" spans="2:5">
      <c r="B8487" s="943">
        <v>45272</v>
      </c>
      <c r="C8487" s="195">
        <f t="shared" si="265"/>
        <v>12</v>
      </c>
      <c r="D8487" s="195">
        <v>45.7</v>
      </c>
      <c r="E8487" s="705">
        <f t="shared" si="266"/>
        <v>7.6111111111111125</v>
      </c>
    </row>
    <row r="8488" spans="2:5">
      <c r="B8488" s="943">
        <v>45272</v>
      </c>
      <c r="C8488" s="195">
        <f t="shared" si="265"/>
        <v>12</v>
      </c>
      <c r="D8488" s="195">
        <v>45.3</v>
      </c>
      <c r="E8488" s="705">
        <f t="shared" si="266"/>
        <v>7.3888888888888875</v>
      </c>
    </row>
    <row r="8489" spans="2:5">
      <c r="B8489" s="943">
        <v>45272</v>
      </c>
      <c r="C8489" s="195">
        <f t="shared" si="265"/>
        <v>12</v>
      </c>
      <c r="D8489" s="195">
        <v>44.4</v>
      </c>
      <c r="E8489" s="705">
        <f t="shared" si="266"/>
        <v>6.8888888888888875</v>
      </c>
    </row>
    <row r="8490" spans="2:5">
      <c r="B8490" s="943">
        <v>45272</v>
      </c>
      <c r="C8490" s="195">
        <f t="shared" si="265"/>
        <v>12</v>
      </c>
      <c r="D8490" s="195">
        <v>43.3</v>
      </c>
      <c r="E8490" s="705">
        <f t="shared" si="266"/>
        <v>6.2777777777777759</v>
      </c>
    </row>
    <row r="8491" spans="2:5">
      <c r="B8491" s="943">
        <v>45272</v>
      </c>
      <c r="C8491" s="195">
        <f t="shared" si="265"/>
        <v>12</v>
      </c>
      <c r="D8491" s="195">
        <v>42.8</v>
      </c>
      <c r="E8491" s="705">
        <f t="shared" si="266"/>
        <v>5.9999999999999982</v>
      </c>
    </row>
    <row r="8492" spans="2:5">
      <c r="B8492" s="943">
        <v>45272</v>
      </c>
      <c r="C8492" s="195">
        <f t="shared" si="265"/>
        <v>12</v>
      </c>
      <c r="D8492" s="195">
        <v>42.4</v>
      </c>
      <c r="E8492" s="705">
        <f t="shared" si="266"/>
        <v>5.7777777777777768</v>
      </c>
    </row>
    <row r="8493" spans="2:5">
      <c r="B8493" s="943">
        <v>45272</v>
      </c>
      <c r="C8493" s="195">
        <f t="shared" si="265"/>
        <v>12</v>
      </c>
      <c r="D8493" s="195">
        <v>42.8</v>
      </c>
      <c r="E8493" s="705">
        <f t="shared" si="266"/>
        <v>5.9999999999999982</v>
      </c>
    </row>
    <row r="8494" spans="2:5">
      <c r="B8494" s="943">
        <v>45272</v>
      </c>
      <c r="C8494" s="195">
        <f t="shared" si="265"/>
        <v>12</v>
      </c>
      <c r="D8494" s="195">
        <v>43.9</v>
      </c>
      <c r="E8494" s="705">
        <f t="shared" si="266"/>
        <v>6.6111111111111098</v>
      </c>
    </row>
    <row r="8495" spans="2:5">
      <c r="B8495" s="943">
        <v>45272</v>
      </c>
      <c r="C8495" s="195">
        <f t="shared" si="265"/>
        <v>12</v>
      </c>
      <c r="D8495" s="195">
        <v>44.6</v>
      </c>
      <c r="E8495" s="705">
        <f t="shared" si="266"/>
        <v>7.0000000000000009</v>
      </c>
    </row>
    <row r="8496" spans="2:5">
      <c r="B8496" s="943">
        <v>45272</v>
      </c>
      <c r="C8496" s="195">
        <f t="shared" si="265"/>
        <v>12</v>
      </c>
      <c r="D8496" s="195">
        <v>45.5</v>
      </c>
      <c r="E8496" s="705">
        <f t="shared" si="266"/>
        <v>7.5</v>
      </c>
    </row>
    <row r="8497" spans="2:5">
      <c r="B8497" s="943">
        <v>45272</v>
      </c>
      <c r="C8497" s="195">
        <f t="shared" si="265"/>
        <v>12</v>
      </c>
      <c r="D8497" s="195">
        <v>45.9</v>
      </c>
      <c r="E8497" s="705">
        <f t="shared" si="266"/>
        <v>7.7222222222222214</v>
      </c>
    </row>
    <row r="8498" spans="2:5">
      <c r="B8498" s="943">
        <v>45272</v>
      </c>
      <c r="C8498" s="195">
        <f t="shared" si="265"/>
        <v>12</v>
      </c>
      <c r="D8498" s="195" t="s">
        <v>1434</v>
      </c>
      <c r="E8498" s="705">
        <f t="shared" si="266"/>
        <v>7.7777777777777777</v>
      </c>
    </row>
    <row r="8499" spans="2:5">
      <c r="B8499" s="943">
        <v>45272</v>
      </c>
      <c r="C8499" s="195">
        <f t="shared" si="265"/>
        <v>12</v>
      </c>
      <c r="D8499" s="195" t="s">
        <v>1434</v>
      </c>
      <c r="E8499" s="705">
        <f t="shared" si="266"/>
        <v>7.7777777777777777</v>
      </c>
    </row>
    <row r="8500" spans="2:5">
      <c r="B8500" s="943">
        <v>45272</v>
      </c>
      <c r="C8500" s="195">
        <f t="shared" si="265"/>
        <v>12</v>
      </c>
      <c r="D8500" s="195">
        <v>45.7</v>
      </c>
      <c r="E8500" s="705">
        <f t="shared" si="266"/>
        <v>7.6111111111111125</v>
      </c>
    </row>
    <row r="8501" spans="2:5">
      <c r="B8501" s="943">
        <v>45272</v>
      </c>
      <c r="C8501" s="195">
        <f t="shared" si="265"/>
        <v>12</v>
      </c>
      <c r="D8501" s="195">
        <v>44.8</v>
      </c>
      <c r="E8501" s="705">
        <f t="shared" si="266"/>
        <v>7.1111111111111089</v>
      </c>
    </row>
    <row r="8502" spans="2:5">
      <c r="B8502" s="943">
        <v>45272</v>
      </c>
      <c r="C8502" s="195">
        <f t="shared" si="265"/>
        <v>12</v>
      </c>
      <c r="D8502" s="195">
        <v>43.7</v>
      </c>
      <c r="E8502" s="705">
        <f t="shared" si="266"/>
        <v>6.5000000000000018</v>
      </c>
    </row>
    <row r="8503" spans="2:5">
      <c r="B8503" s="943">
        <v>45272</v>
      </c>
      <c r="C8503" s="195">
        <f t="shared" si="265"/>
        <v>12</v>
      </c>
      <c r="D8503" s="195">
        <v>42.8</v>
      </c>
      <c r="E8503" s="705">
        <f t="shared" si="266"/>
        <v>5.9999999999999982</v>
      </c>
    </row>
    <row r="8504" spans="2:5">
      <c r="B8504" s="943">
        <v>45272</v>
      </c>
      <c r="C8504" s="195">
        <f t="shared" si="265"/>
        <v>12</v>
      </c>
      <c r="D8504" s="195">
        <v>42.4</v>
      </c>
      <c r="E8504" s="705">
        <f t="shared" si="266"/>
        <v>5.7777777777777768</v>
      </c>
    </row>
    <row r="8505" spans="2:5">
      <c r="B8505" s="943">
        <v>45273</v>
      </c>
      <c r="C8505" s="195">
        <f t="shared" si="265"/>
        <v>12</v>
      </c>
      <c r="D8505" s="195">
        <v>42.1</v>
      </c>
      <c r="E8505" s="705">
        <f t="shared" si="266"/>
        <v>5.6111111111111116</v>
      </c>
    </row>
    <row r="8506" spans="2:5">
      <c r="B8506" s="943">
        <v>45273</v>
      </c>
      <c r="C8506" s="195">
        <f t="shared" si="265"/>
        <v>12</v>
      </c>
      <c r="D8506" s="195">
        <v>42.4</v>
      </c>
      <c r="E8506" s="705">
        <f t="shared" si="266"/>
        <v>5.7777777777777768</v>
      </c>
    </row>
    <row r="8507" spans="2:5">
      <c r="B8507" s="943">
        <v>45273</v>
      </c>
      <c r="C8507" s="195">
        <f t="shared" si="265"/>
        <v>12</v>
      </c>
      <c r="D8507" s="195">
        <v>44.2</v>
      </c>
      <c r="E8507" s="705">
        <f t="shared" si="266"/>
        <v>6.7777777777777795</v>
      </c>
    </row>
    <row r="8508" spans="2:5">
      <c r="B8508" s="943">
        <v>45273</v>
      </c>
      <c r="C8508" s="195">
        <f t="shared" si="265"/>
        <v>12</v>
      </c>
      <c r="D8508" s="195">
        <v>44.6</v>
      </c>
      <c r="E8508" s="705">
        <f t="shared" si="266"/>
        <v>7.0000000000000009</v>
      </c>
    </row>
    <row r="8509" spans="2:5">
      <c r="B8509" s="943">
        <v>45273</v>
      </c>
      <c r="C8509" s="195">
        <f t="shared" si="265"/>
        <v>12</v>
      </c>
      <c r="D8509" s="195">
        <v>45.1</v>
      </c>
      <c r="E8509" s="705">
        <f t="shared" si="266"/>
        <v>7.2777777777777786</v>
      </c>
    </row>
    <row r="8510" spans="2:5">
      <c r="B8510" s="943">
        <v>45273</v>
      </c>
      <c r="C8510" s="195">
        <f t="shared" si="265"/>
        <v>12</v>
      </c>
      <c r="D8510" s="195">
        <v>45.7</v>
      </c>
      <c r="E8510" s="705">
        <f t="shared" si="266"/>
        <v>7.6111111111111125</v>
      </c>
    </row>
    <row r="8511" spans="2:5">
      <c r="B8511" s="943">
        <v>45273</v>
      </c>
      <c r="C8511" s="195">
        <f t="shared" si="265"/>
        <v>12</v>
      </c>
      <c r="D8511" s="195" t="s">
        <v>1434</v>
      </c>
      <c r="E8511" s="705">
        <f t="shared" si="266"/>
        <v>7.7777777777777777</v>
      </c>
    </row>
    <row r="8512" spans="2:5">
      <c r="B8512" s="943">
        <v>45273</v>
      </c>
      <c r="C8512" s="195">
        <f t="shared" si="265"/>
        <v>12</v>
      </c>
      <c r="D8512" s="195">
        <v>45.5</v>
      </c>
      <c r="E8512" s="705">
        <f t="shared" si="266"/>
        <v>7.5</v>
      </c>
    </row>
    <row r="8513" spans="2:5">
      <c r="B8513" s="943">
        <v>45273</v>
      </c>
      <c r="C8513" s="195">
        <f t="shared" si="265"/>
        <v>12</v>
      </c>
      <c r="D8513" s="195" t="s">
        <v>1425</v>
      </c>
      <c r="E8513" s="705">
        <f t="shared" si="266"/>
        <v>7.2222222222222223</v>
      </c>
    </row>
    <row r="8514" spans="2:5">
      <c r="B8514" s="943">
        <v>45273</v>
      </c>
      <c r="C8514" s="195">
        <f t="shared" si="265"/>
        <v>12</v>
      </c>
      <c r="D8514" s="195">
        <v>43.7</v>
      </c>
      <c r="E8514" s="705">
        <f t="shared" si="266"/>
        <v>6.5000000000000018</v>
      </c>
    </row>
    <row r="8515" spans="2:5">
      <c r="B8515" s="943">
        <v>45273</v>
      </c>
      <c r="C8515" s="195">
        <f t="shared" si="265"/>
        <v>12</v>
      </c>
      <c r="D8515" s="195">
        <v>42.6</v>
      </c>
      <c r="E8515" s="705">
        <f t="shared" si="266"/>
        <v>5.8888888888888893</v>
      </c>
    </row>
    <row r="8516" spans="2:5">
      <c r="B8516" s="943">
        <v>45273</v>
      </c>
      <c r="C8516" s="195">
        <f t="shared" si="265"/>
        <v>12</v>
      </c>
      <c r="D8516" s="195">
        <v>42.1</v>
      </c>
      <c r="E8516" s="705">
        <f t="shared" si="266"/>
        <v>5.6111111111111116</v>
      </c>
    </row>
    <row r="8517" spans="2:5">
      <c r="B8517" s="943">
        <v>45273</v>
      </c>
      <c r="C8517" s="195">
        <f t="shared" si="265"/>
        <v>12</v>
      </c>
      <c r="D8517" s="195">
        <v>41.9</v>
      </c>
      <c r="E8517" s="705">
        <f t="shared" si="266"/>
        <v>5.4999999999999991</v>
      </c>
    </row>
    <row r="8518" spans="2:5">
      <c r="B8518" s="943">
        <v>45273</v>
      </c>
      <c r="C8518" s="195">
        <f t="shared" si="265"/>
        <v>12</v>
      </c>
      <c r="D8518" s="195">
        <v>42.3</v>
      </c>
      <c r="E8518" s="705">
        <f t="shared" si="266"/>
        <v>5.7222222222222205</v>
      </c>
    </row>
    <row r="8519" spans="2:5">
      <c r="B8519" s="943">
        <v>45273</v>
      </c>
      <c r="C8519" s="195">
        <f t="shared" si="265"/>
        <v>12</v>
      </c>
      <c r="D8519" s="195">
        <v>43.9</v>
      </c>
      <c r="E8519" s="705">
        <f t="shared" si="266"/>
        <v>6.6111111111111098</v>
      </c>
    </row>
    <row r="8520" spans="2:5">
      <c r="B8520" s="943">
        <v>45273</v>
      </c>
      <c r="C8520" s="195">
        <f t="shared" si="265"/>
        <v>12</v>
      </c>
      <c r="D8520" s="195">
        <v>44.8</v>
      </c>
      <c r="E8520" s="705">
        <f t="shared" si="266"/>
        <v>7.1111111111111089</v>
      </c>
    </row>
    <row r="8521" spans="2:5">
      <c r="B8521" s="943">
        <v>45273</v>
      </c>
      <c r="C8521" s="195">
        <f t="shared" si="265"/>
        <v>12</v>
      </c>
      <c r="D8521" s="195">
        <v>45.7</v>
      </c>
      <c r="E8521" s="705">
        <f t="shared" si="266"/>
        <v>7.6111111111111125</v>
      </c>
    </row>
    <row r="8522" spans="2:5">
      <c r="B8522" s="943">
        <v>45273</v>
      </c>
      <c r="C8522" s="195">
        <f t="shared" ref="C8522:C8585" si="267">MONTH(B8522)</f>
        <v>12</v>
      </c>
      <c r="D8522" s="195">
        <v>46.2</v>
      </c>
      <c r="E8522" s="705">
        <f t="shared" ref="E8522:E8585" si="268">CONVERT(D8522,"F","C")</f>
        <v>7.8888888888888902</v>
      </c>
    </row>
    <row r="8523" spans="2:5">
      <c r="B8523" s="943">
        <v>45273</v>
      </c>
      <c r="C8523" s="195">
        <f t="shared" si="267"/>
        <v>12</v>
      </c>
      <c r="D8523" s="195">
        <v>46.4</v>
      </c>
      <c r="E8523" s="705">
        <f t="shared" si="268"/>
        <v>7.9999999999999991</v>
      </c>
    </row>
    <row r="8524" spans="2:5">
      <c r="B8524" s="943">
        <v>45273</v>
      </c>
      <c r="C8524" s="195">
        <f t="shared" si="267"/>
        <v>12</v>
      </c>
      <c r="D8524" s="195">
        <v>46.4</v>
      </c>
      <c r="E8524" s="705">
        <f t="shared" si="268"/>
        <v>7.9999999999999991</v>
      </c>
    </row>
    <row r="8525" spans="2:5">
      <c r="B8525" s="943">
        <v>45273</v>
      </c>
      <c r="C8525" s="195">
        <f t="shared" si="267"/>
        <v>12</v>
      </c>
      <c r="D8525" s="195">
        <v>45.5</v>
      </c>
      <c r="E8525" s="705">
        <f t="shared" si="268"/>
        <v>7.5</v>
      </c>
    </row>
    <row r="8526" spans="2:5">
      <c r="B8526" s="943">
        <v>45273</v>
      </c>
      <c r="C8526" s="195">
        <f t="shared" si="267"/>
        <v>12</v>
      </c>
      <c r="D8526" s="195">
        <v>44.2</v>
      </c>
      <c r="E8526" s="705">
        <f t="shared" si="268"/>
        <v>6.7777777777777795</v>
      </c>
    </row>
    <row r="8527" spans="2:5">
      <c r="B8527" s="943">
        <v>45273</v>
      </c>
      <c r="C8527" s="195">
        <f t="shared" si="267"/>
        <v>12</v>
      </c>
      <c r="D8527" s="195" t="s">
        <v>1430</v>
      </c>
      <c r="E8527" s="705">
        <f t="shared" si="268"/>
        <v>6.1111111111111107</v>
      </c>
    </row>
    <row r="8528" spans="2:5">
      <c r="B8528" s="943">
        <v>45273</v>
      </c>
      <c r="C8528" s="195">
        <f t="shared" si="267"/>
        <v>12</v>
      </c>
      <c r="D8528" s="195">
        <v>42.3</v>
      </c>
      <c r="E8528" s="705">
        <f t="shared" si="268"/>
        <v>5.7222222222222205</v>
      </c>
    </row>
    <row r="8529" spans="2:5">
      <c r="B8529" s="943">
        <v>45274</v>
      </c>
      <c r="C8529" s="195">
        <f t="shared" si="267"/>
        <v>12</v>
      </c>
      <c r="D8529" s="195">
        <v>41.7</v>
      </c>
      <c r="E8529" s="705">
        <f t="shared" si="268"/>
        <v>5.3888888888888902</v>
      </c>
    </row>
    <row r="8530" spans="2:5">
      <c r="B8530" s="943">
        <v>45274</v>
      </c>
      <c r="C8530" s="195">
        <f t="shared" si="267"/>
        <v>12</v>
      </c>
      <c r="D8530" s="195">
        <v>41.5</v>
      </c>
      <c r="E8530" s="705">
        <f t="shared" si="268"/>
        <v>5.2777777777777777</v>
      </c>
    </row>
    <row r="8531" spans="2:5">
      <c r="B8531" s="943">
        <v>45274</v>
      </c>
      <c r="C8531" s="195">
        <f t="shared" si="267"/>
        <v>12</v>
      </c>
      <c r="D8531" s="195">
        <v>42.4</v>
      </c>
      <c r="E8531" s="705">
        <f t="shared" si="268"/>
        <v>5.7777777777777768</v>
      </c>
    </row>
    <row r="8532" spans="2:5">
      <c r="B8532" s="943">
        <v>45274</v>
      </c>
      <c r="C8532" s="195">
        <f t="shared" si="267"/>
        <v>12</v>
      </c>
      <c r="D8532" s="195" t="s">
        <v>1425</v>
      </c>
      <c r="E8532" s="705">
        <f t="shared" si="268"/>
        <v>7.2222222222222223</v>
      </c>
    </row>
    <row r="8533" spans="2:5">
      <c r="B8533" s="943">
        <v>45274</v>
      </c>
      <c r="C8533" s="195">
        <f t="shared" si="267"/>
        <v>12</v>
      </c>
      <c r="D8533" s="195">
        <v>45.1</v>
      </c>
      <c r="E8533" s="705">
        <f t="shared" si="268"/>
        <v>7.2777777777777786</v>
      </c>
    </row>
    <row r="8534" spans="2:5">
      <c r="B8534" s="943">
        <v>45274</v>
      </c>
      <c r="C8534" s="195">
        <f t="shared" si="267"/>
        <v>12</v>
      </c>
      <c r="D8534" s="195" t="s">
        <v>1434</v>
      </c>
      <c r="E8534" s="705">
        <f t="shared" si="268"/>
        <v>7.7777777777777777</v>
      </c>
    </row>
    <row r="8535" spans="2:5">
      <c r="B8535" s="943">
        <v>45274</v>
      </c>
      <c r="C8535" s="195">
        <f t="shared" si="267"/>
        <v>12</v>
      </c>
      <c r="D8535" s="195" t="s">
        <v>1434</v>
      </c>
      <c r="E8535" s="705">
        <f t="shared" si="268"/>
        <v>7.7777777777777777</v>
      </c>
    </row>
    <row r="8536" spans="2:5">
      <c r="B8536" s="943">
        <v>45274</v>
      </c>
      <c r="C8536" s="195">
        <f t="shared" si="267"/>
        <v>12</v>
      </c>
      <c r="D8536" s="195">
        <v>45.3</v>
      </c>
      <c r="E8536" s="705">
        <f t="shared" si="268"/>
        <v>7.3888888888888875</v>
      </c>
    </row>
    <row r="8537" spans="2:5">
      <c r="B8537" s="943">
        <v>45274</v>
      </c>
      <c r="C8537" s="195">
        <f t="shared" si="267"/>
        <v>12</v>
      </c>
      <c r="D8537" s="195">
        <v>45.9</v>
      </c>
      <c r="E8537" s="705">
        <f t="shared" si="268"/>
        <v>7.7222222222222214</v>
      </c>
    </row>
    <row r="8538" spans="2:5">
      <c r="B8538" s="943">
        <v>45274</v>
      </c>
      <c r="C8538" s="195">
        <f t="shared" si="267"/>
        <v>12</v>
      </c>
      <c r="D8538" s="195">
        <v>44.8</v>
      </c>
      <c r="E8538" s="705">
        <f t="shared" si="268"/>
        <v>7.1111111111111089</v>
      </c>
    </row>
    <row r="8539" spans="2:5">
      <c r="B8539" s="943">
        <v>45274</v>
      </c>
      <c r="C8539" s="195">
        <f t="shared" si="267"/>
        <v>12</v>
      </c>
      <c r="D8539" s="195">
        <v>43.2</v>
      </c>
      <c r="E8539" s="705">
        <f t="shared" si="268"/>
        <v>6.2222222222222232</v>
      </c>
    </row>
    <row r="8540" spans="2:5">
      <c r="B8540" s="943">
        <v>45274</v>
      </c>
      <c r="C8540" s="195">
        <f t="shared" si="267"/>
        <v>12</v>
      </c>
      <c r="D8540" s="195">
        <v>41.9</v>
      </c>
      <c r="E8540" s="705">
        <f t="shared" si="268"/>
        <v>5.4999999999999991</v>
      </c>
    </row>
    <row r="8541" spans="2:5">
      <c r="B8541" s="943">
        <v>45274</v>
      </c>
      <c r="C8541" s="195">
        <f t="shared" si="267"/>
        <v>12</v>
      </c>
      <c r="D8541" s="195">
        <v>41.4</v>
      </c>
      <c r="E8541" s="705">
        <f t="shared" si="268"/>
        <v>5.2222222222222214</v>
      </c>
    </row>
    <row r="8542" spans="2:5">
      <c r="B8542" s="943">
        <v>45274</v>
      </c>
      <c r="C8542" s="195">
        <f t="shared" si="267"/>
        <v>12</v>
      </c>
      <c r="D8542" s="195">
        <v>41.2</v>
      </c>
      <c r="E8542" s="705">
        <f t="shared" si="268"/>
        <v>5.1111111111111125</v>
      </c>
    </row>
    <row r="8543" spans="2:5">
      <c r="B8543" s="943">
        <v>45274</v>
      </c>
      <c r="C8543" s="195">
        <f t="shared" si="267"/>
        <v>12</v>
      </c>
      <c r="D8543" s="195">
        <v>42.8</v>
      </c>
      <c r="E8543" s="705">
        <f t="shared" si="268"/>
        <v>5.9999999999999982</v>
      </c>
    </row>
    <row r="8544" spans="2:5">
      <c r="B8544" s="943">
        <v>45274</v>
      </c>
      <c r="C8544" s="195">
        <f t="shared" si="267"/>
        <v>12</v>
      </c>
      <c r="D8544" s="195">
        <v>44.4</v>
      </c>
      <c r="E8544" s="705">
        <f t="shared" si="268"/>
        <v>6.8888888888888875</v>
      </c>
    </row>
    <row r="8545" spans="2:5">
      <c r="B8545" s="943">
        <v>45274</v>
      </c>
      <c r="C8545" s="195">
        <f t="shared" si="267"/>
        <v>12</v>
      </c>
      <c r="D8545" s="195">
        <v>45.7</v>
      </c>
      <c r="E8545" s="705">
        <f t="shared" si="268"/>
        <v>7.6111111111111125</v>
      </c>
    </row>
    <row r="8546" spans="2:5">
      <c r="B8546" s="943">
        <v>45274</v>
      </c>
      <c r="C8546" s="195">
        <f t="shared" si="267"/>
        <v>12</v>
      </c>
      <c r="D8546" s="195">
        <v>46.4</v>
      </c>
      <c r="E8546" s="705">
        <f t="shared" si="268"/>
        <v>7.9999999999999991</v>
      </c>
    </row>
    <row r="8547" spans="2:5">
      <c r="B8547" s="943">
        <v>45274</v>
      </c>
      <c r="C8547" s="195">
        <f t="shared" si="267"/>
        <v>12</v>
      </c>
      <c r="D8547" s="195">
        <v>46.8</v>
      </c>
      <c r="E8547" s="705">
        <f t="shared" si="268"/>
        <v>8.2222222222222197</v>
      </c>
    </row>
    <row r="8548" spans="2:5">
      <c r="B8548" s="943">
        <v>45274</v>
      </c>
      <c r="C8548" s="195">
        <f t="shared" si="267"/>
        <v>12</v>
      </c>
      <c r="D8548" s="195">
        <v>47.1</v>
      </c>
      <c r="E8548" s="705">
        <f t="shared" si="268"/>
        <v>8.3888888888888893</v>
      </c>
    </row>
    <row r="8549" spans="2:5">
      <c r="B8549" s="943">
        <v>45274</v>
      </c>
      <c r="C8549" s="195">
        <f t="shared" si="267"/>
        <v>12</v>
      </c>
      <c r="D8549" s="195">
        <v>46.8</v>
      </c>
      <c r="E8549" s="705">
        <f t="shared" si="268"/>
        <v>8.2222222222222197</v>
      </c>
    </row>
    <row r="8550" spans="2:5">
      <c r="B8550" s="943">
        <v>45274</v>
      </c>
      <c r="C8550" s="195">
        <f t="shared" si="267"/>
        <v>12</v>
      </c>
      <c r="D8550" s="195">
        <v>45.7</v>
      </c>
      <c r="E8550" s="705">
        <f t="shared" si="268"/>
        <v>7.6111111111111125</v>
      </c>
    </row>
    <row r="8551" spans="2:5">
      <c r="B8551" s="943">
        <v>45274</v>
      </c>
      <c r="C8551" s="195">
        <f t="shared" si="267"/>
        <v>12</v>
      </c>
      <c r="D8551" s="195">
        <v>44.1</v>
      </c>
      <c r="E8551" s="705">
        <f t="shared" si="268"/>
        <v>6.7222222222222232</v>
      </c>
    </row>
    <row r="8552" spans="2:5">
      <c r="B8552" s="943">
        <v>45274</v>
      </c>
      <c r="C8552" s="195">
        <f t="shared" si="267"/>
        <v>12</v>
      </c>
      <c r="D8552" s="195">
        <v>42.8</v>
      </c>
      <c r="E8552" s="705">
        <f t="shared" si="268"/>
        <v>5.9999999999999982</v>
      </c>
    </row>
    <row r="8553" spans="2:5">
      <c r="B8553" s="943">
        <v>45275</v>
      </c>
      <c r="C8553" s="195">
        <f t="shared" si="267"/>
        <v>12</v>
      </c>
      <c r="D8553" s="195">
        <v>41.7</v>
      </c>
      <c r="E8553" s="705">
        <f t="shared" si="268"/>
        <v>5.3888888888888902</v>
      </c>
    </row>
    <row r="8554" spans="2:5">
      <c r="B8554" s="943">
        <v>45275</v>
      </c>
      <c r="C8554" s="195">
        <f t="shared" si="267"/>
        <v>12</v>
      </c>
      <c r="D8554" s="195">
        <v>41.2</v>
      </c>
      <c r="E8554" s="705">
        <f t="shared" si="268"/>
        <v>5.1111111111111125</v>
      </c>
    </row>
    <row r="8555" spans="2:5">
      <c r="B8555" s="943">
        <v>45275</v>
      </c>
      <c r="C8555" s="195">
        <f t="shared" si="267"/>
        <v>12</v>
      </c>
      <c r="D8555" s="195" t="s">
        <v>1429</v>
      </c>
      <c r="E8555" s="705">
        <f t="shared" si="268"/>
        <v>5</v>
      </c>
    </row>
    <row r="8556" spans="2:5">
      <c r="B8556" s="943">
        <v>45275</v>
      </c>
      <c r="C8556" s="195">
        <f t="shared" si="267"/>
        <v>12</v>
      </c>
      <c r="D8556" s="195">
        <v>42.3</v>
      </c>
      <c r="E8556" s="705">
        <f t="shared" si="268"/>
        <v>5.7222222222222205</v>
      </c>
    </row>
    <row r="8557" spans="2:5">
      <c r="B8557" s="943">
        <v>45275</v>
      </c>
      <c r="C8557" s="195">
        <f t="shared" si="267"/>
        <v>12</v>
      </c>
      <c r="D8557" s="195">
        <v>43.9</v>
      </c>
      <c r="E8557" s="705">
        <f t="shared" si="268"/>
        <v>6.6111111111111098</v>
      </c>
    </row>
    <row r="8558" spans="2:5">
      <c r="B8558" s="943">
        <v>45275</v>
      </c>
      <c r="C8558" s="195">
        <f t="shared" si="267"/>
        <v>12</v>
      </c>
      <c r="D8558" s="195" t="s">
        <v>1425</v>
      </c>
      <c r="E8558" s="705">
        <f t="shared" si="268"/>
        <v>7.2222222222222223</v>
      </c>
    </row>
    <row r="8559" spans="2:5">
      <c r="B8559" s="943">
        <v>45275</v>
      </c>
      <c r="C8559" s="195">
        <f t="shared" si="267"/>
        <v>12</v>
      </c>
      <c r="D8559" s="195">
        <v>46.2</v>
      </c>
      <c r="E8559" s="705">
        <f t="shared" si="268"/>
        <v>7.8888888888888902</v>
      </c>
    </row>
    <row r="8560" spans="2:5">
      <c r="B8560" s="943">
        <v>45275</v>
      </c>
      <c r="C8560" s="195">
        <f t="shared" si="267"/>
        <v>12</v>
      </c>
      <c r="D8560" s="195">
        <v>46.2</v>
      </c>
      <c r="E8560" s="705">
        <f t="shared" si="268"/>
        <v>7.8888888888888902</v>
      </c>
    </row>
    <row r="8561" spans="2:5">
      <c r="B8561" s="943">
        <v>45275</v>
      </c>
      <c r="C8561" s="195">
        <f t="shared" si="267"/>
        <v>12</v>
      </c>
      <c r="D8561" s="195" t="s">
        <v>1434</v>
      </c>
      <c r="E8561" s="705">
        <f t="shared" si="268"/>
        <v>7.7777777777777777</v>
      </c>
    </row>
    <row r="8562" spans="2:5">
      <c r="B8562" s="943">
        <v>45275</v>
      </c>
      <c r="C8562" s="195">
        <f t="shared" si="267"/>
        <v>12</v>
      </c>
      <c r="D8562" s="195" t="s">
        <v>1434</v>
      </c>
      <c r="E8562" s="705">
        <f t="shared" si="268"/>
        <v>7.7777777777777777</v>
      </c>
    </row>
    <row r="8563" spans="2:5">
      <c r="B8563" s="943">
        <v>45275</v>
      </c>
      <c r="C8563" s="195">
        <f t="shared" si="267"/>
        <v>12</v>
      </c>
      <c r="D8563" s="195">
        <v>45.1</v>
      </c>
      <c r="E8563" s="705">
        <f t="shared" si="268"/>
        <v>7.2777777777777786</v>
      </c>
    </row>
    <row r="8564" spans="2:5">
      <c r="B8564" s="943">
        <v>45275</v>
      </c>
      <c r="C8564" s="195">
        <f t="shared" si="267"/>
        <v>12</v>
      </c>
      <c r="D8564" s="195">
        <v>43.2</v>
      </c>
      <c r="E8564" s="705">
        <f t="shared" si="268"/>
        <v>6.2222222222222232</v>
      </c>
    </row>
    <row r="8565" spans="2:5">
      <c r="B8565" s="943">
        <v>45275</v>
      </c>
      <c r="C8565" s="195">
        <f t="shared" si="267"/>
        <v>12</v>
      </c>
      <c r="D8565" s="195">
        <v>42.1</v>
      </c>
      <c r="E8565" s="705">
        <f t="shared" si="268"/>
        <v>5.6111111111111116</v>
      </c>
    </row>
    <row r="8566" spans="2:5">
      <c r="B8566" s="943">
        <v>45275</v>
      </c>
      <c r="C8566" s="195">
        <f t="shared" si="267"/>
        <v>12</v>
      </c>
      <c r="D8566" s="195">
        <v>41.4</v>
      </c>
      <c r="E8566" s="705">
        <f t="shared" si="268"/>
        <v>5.2222222222222214</v>
      </c>
    </row>
    <row r="8567" spans="2:5">
      <c r="B8567" s="943">
        <v>45275</v>
      </c>
      <c r="C8567" s="195">
        <f t="shared" si="267"/>
        <v>12</v>
      </c>
      <c r="D8567" s="195">
        <v>42.1</v>
      </c>
      <c r="E8567" s="705">
        <f t="shared" si="268"/>
        <v>5.6111111111111116</v>
      </c>
    </row>
    <row r="8568" spans="2:5">
      <c r="B8568" s="943">
        <v>45275</v>
      </c>
      <c r="C8568" s="195">
        <f t="shared" si="267"/>
        <v>12</v>
      </c>
      <c r="D8568" s="195">
        <v>43.2</v>
      </c>
      <c r="E8568" s="705">
        <f t="shared" si="268"/>
        <v>6.2222222222222232</v>
      </c>
    </row>
    <row r="8569" spans="2:5">
      <c r="B8569" s="943">
        <v>45275</v>
      </c>
      <c r="C8569" s="195">
        <f t="shared" si="267"/>
        <v>12</v>
      </c>
      <c r="D8569" s="195">
        <v>45.3</v>
      </c>
      <c r="E8569" s="705">
        <f t="shared" si="268"/>
        <v>7.3888888888888875</v>
      </c>
    </row>
    <row r="8570" spans="2:5">
      <c r="B8570" s="943">
        <v>45275</v>
      </c>
      <c r="C8570" s="195">
        <f t="shared" si="267"/>
        <v>12</v>
      </c>
      <c r="D8570" s="195">
        <v>46.2</v>
      </c>
      <c r="E8570" s="705">
        <f t="shared" si="268"/>
        <v>7.8888888888888902</v>
      </c>
    </row>
    <row r="8571" spans="2:5">
      <c r="B8571" s="943">
        <v>45275</v>
      </c>
      <c r="C8571" s="195">
        <f t="shared" si="267"/>
        <v>12</v>
      </c>
      <c r="D8571" s="195">
        <v>47.1</v>
      </c>
      <c r="E8571" s="705">
        <f t="shared" si="268"/>
        <v>8.3888888888888893</v>
      </c>
    </row>
    <row r="8572" spans="2:5">
      <c r="B8572" s="943">
        <v>45275</v>
      </c>
      <c r="C8572" s="195">
        <f t="shared" si="267"/>
        <v>12</v>
      </c>
      <c r="D8572" s="195">
        <v>47.5</v>
      </c>
      <c r="E8572" s="705">
        <f t="shared" si="268"/>
        <v>8.6111111111111107</v>
      </c>
    </row>
    <row r="8573" spans="2:5">
      <c r="B8573" s="943">
        <v>45275</v>
      </c>
      <c r="C8573" s="195">
        <f t="shared" si="267"/>
        <v>12</v>
      </c>
      <c r="D8573" s="195">
        <v>47.5</v>
      </c>
      <c r="E8573" s="705">
        <f t="shared" si="268"/>
        <v>8.6111111111111107</v>
      </c>
    </row>
    <row r="8574" spans="2:5">
      <c r="B8574" s="943">
        <v>45275</v>
      </c>
      <c r="C8574" s="195">
        <f t="shared" si="267"/>
        <v>12</v>
      </c>
      <c r="D8574" s="195">
        <v>47.1</v>
      </c>
      <c r="E8574" s="705">
        <f t="shared" si="268"/>
        <v>8.3888888888888893</v>
      </c>
    </row>
    <row r="8575" spans="2:5">
      <c r="B8575" s="943">
        <v>45275</v>
      </c>
      <c r="C8575" s="195">
        <f t="shared" si="267"/>
        <v>12</v>
      </c>
      <c r="D8575" s="195" t="s">
        <v>1434</v>
      </c>
      <c r="E8575" s="705">
        <f t="shared" si="268"/>
        <v>7.7777777777777777</v>
      </c>
    </row>
    <row r="8576" spans="2:5">
      <c r="B8576" s="943">
        <v>45275</v>
      </c>
      <c r="C8576" s="195">
        <f t="shared" si="267"/>
        <v>12</v>
      </c>
      <c r="D8576" s="195">
        <v>44.2</v>
      </c>
      <c r="E8576" s="705">
        <f t="shared" si="268"/>
        <v>6.7777777777777795</v>
      </c>
    </row>
    <row r="8577" spans="2:5">
      <c r="B8577" s="943">
        <v>45276</v>
      </c>
      <c r="C8577" s="195">
        <f t="shared" si="267"/>
        <v>12</v>
      </c>
      <c r="D8577" s="195">
        <v>42.8</v>
      </c>
      <c r="E8577" s="705">
        <f t="shared" si="268"/>
        <v>5.9999999999999982</v>
      </c>
    </row>
    <row r="8578" spans="2:5">
      <c r="B8578" s="943">
        <v>45276</v>
      </c>
      <c r="C8578" s="195">
        <f t="shared" si="267"/>
        <v>12</v>
      </c>
      <c r="D8578" s="195">
        <v>41.9</v>
      </c>
      <c r="E8578" s="705">
        <f t="shared" si="268"/>
        <v>5.4999999999999991</v>
      </c>
    </row>
    <row r="8579" spans="2:5">
      <c r="B8579" s="943">
        <v>45276</v>
      </c>
      <c r="C8579" s="195">
        <f t="shared" si="267"/>
        <v>12</v>
      </c>
      <c r="D8579" s="195">
        <v>41.2</v>
      </c>
      <c r="E8579" s="705">
        <f t="shared" si="268"/>
        <v>5.1111111111111125</v>
      </c>
    </row>
    <row r="8580" spans="2:5">
      <c r="B8580" s="943">
        <v>45276</v>
      </c>
      <c r="C8580" s="195">
        <f t="shared" si="267"/>
        <v>12</v>
      </c>
      <c r="D8580" s="195">
        <v>41.5</v>
      </c>
      <c r="E8580" s="705">
        <f t="shared" si="268"/>
        <v>5.2777777777777777</v>
      </c>
    </row>
    <row r="8581" spans="2:5">
      <c r="B8581" s="943">
        <v>45276</v>
      </c>
      <c r="C8581" s="195">
        <f t="shared" si="267"/>
        <v>12</v>
      </c>
      <c r="D8581" s="195">
        <v>43.3</v>
      </c>
      <c r="E8581" s="705">
        <f t="shared" si="268"/>
        <v>6.2777777777777759</v>
      </c>
    </row>
    <row r="8582" spans="2:5">
      <c r="B8582" s="943">
        <v>45276</v>
      </c>
      <c r="C8582" s="195">
        <f t="shared" si="267"/>
        <v>12</v>
      </c>
      <c r="D8582" s="195">
        <v>44.6</v>
      </c>
      <c r="E8582" s="705">
        <f t="shared" si="268"/>
        <v>7.0000000000000009</v>
      </c>
    </row>
    <row r="8583" spans="2:5">
      <c r="B8583" s="943">
        <v>45276</v>
      </c>
      <c r="C8583" s="195">
        <f t="shared" si="267"/>
        <v>12</v>
      </c>
      <c r="D8583" s="195">
        <v>45.9</v>
      </c>
      <c r="E8583" s="705">
        <f t="shared" si="268"/>
        <v>7.7222222222222214</v>
      </c>
    </row>
    <row r="8584" spans="2:5">
      <c r="B8584" s="943">
        <v>45276</v>
      </c>
      <c r="C8584" s="195">
        <f t="shared" si="267"/>
        <v>12</v>
      </c>
      <c r="D8584" s="195">
        <v>46.9</v>
      </c>
      <c r="E8584" s="705">
        <f t="shared" si="268"/>
        <v>8.2777777777777768</v>
      </c>
    </row>
    <row r="8585" spans="2:5">
      <c r="B8585" s="943">
        <v>45276</v>
      </c>
      <c r="C8585" s="195">
        <f t="shared" si="267"/>
        <v>12</v>
      </c>
      <c r="D8585" s="195">
        <v>47.1</v>
      </c>
      <c r="E8585" s="705">
        <f t="shared" si="268"/>
        <v>8.3888888888888893</v>
      </c>
    </row>
    <row r="8586" spans="2:5">
      <c r="B8586" s="943">
        <v>45276</v>
      </c>
      <c r="C8586" s="195">
        <f t="shared" ref="C8586:C8649" si="269">MONTH(B8586)</f>
        <v>12</v>
      </c>
      <c r="D8586" s="195">
        <v>46.8</v>
      </c>
      <c r="E8586" s="705">
        <f t="shared" ref="E8586:E8649" si="270">CONVERT(D8586,"F","C")</f>
        <v>8.2222222222222197</v>
      </c>
    </row>
    <row r="8587" spans="2:5">
      <c r="B8587" s="943">
        <v>45276</v>
      </c>
      <c r="C8587" s="195">
        <f t="shared" si="269"/>
        <v>12</v>
      </c>
      <c r="D8587" s="195">
        <v>46.4</v>
      </c>
      <c r="E8587" s="705">
        <f t="shared" si="270"/>
        <v>7.9999999999999991</v>
      </c>
    </row>
    <row r="8588" spans="2:5">
      <c r="B8588" s="943">
        <v>45276</v>
      </c>
      <c r="C8588" s="195">
        <f t="shared" si="269"/>
        <v>12</v>
      </c>
      <c r="D8588" s="195">
        <v>45.1</v>
      </c>
      <c r="E8588" s="705">
        <f t="shared" si="270"/>
        <v>7.2777777777777786</v>
      </c>
    </row>
    <row r="8589" spans="2:5">
      <c r="B8589" s="943">
        <v>45276</v>
      </c>
      <c r="C8589" s="195">
        <f t="shared" si="269"/>
        <v>12</v>
      </c>
      <c r="D8589" s="195">
        <v>43.3</v>
      </c>
      <c r="E8589" s="705">
        <f t="shared" si="270"/>
        <v>6.2777777777777759</v>
      </c>
    </row>
    <row r="8590" spans="2:5">
      <c r="B8590" s="943">
        <v>45276</v>
      </c>
      <c r="C8590" s="195">
        <f t="shared" si="269"/>
        <v>12</v>
      </c>
      <c r="D8590" s="195">
        <v>42.3</v>
      </c>
      <c r="E8590" s="705">
        <f t="shared" si="270"/>
        <v>5.7222222222222205</v>
      </c>
    </row>
    <row r="8591" spans="2:5">
      <c r="B8591" s="943">
        <v>45276</v>
      </c>
      <c r="C8591" s="195">
        <f t="shared" si="269"/>
        <v>12</v>
      </c>
      <c r="D8591" s="195">
        <v>41.7</v>
      </c>
      <c r="E8591" s="705">
        <f t="shared" si="270"/>
        <v>5.3888888888888902</v>
      </c>
    </row>
    <row r="8592" spans="2:5">
      <c r="B8592" s="943">
        <v>45276</v>
      </c>
      <c r="C8592" s="195">
        <f t="shared" si="269"/>
        <v>12</v>
      </c>
      <c r="D8592" s="195">
        <v>42.4</v>
      </c>
      <c r="E8592" s="705">
        <f t="shared" si="270"/>
        <v>5.7777777777777768</v>
      </c>
    </row>
    <row r="8593" spans="2:5">
      <c r="B8593" s="943">
        <v>45276</v>
      </c>
      <c r="C8593" s="195">
        <f t="shared" si="269"/>
        <v>12</v>
      </c>
      <c r="D8593" s="195">
        <v>44.2</v>
      </c>
      <c r="E8593" s="705">
        <f t="shared" si="270"/>
        <v>6.7777777777777795</v>
      </c>
    </row>
    <row r="8594" spans="2:5">
      <c r="B8594" s="943">
        <v>45276</v>
      </c>
      <c r="C8594" s="195">
        <f t="shared" si="269"/>
        <v>12</v>
      </c>
      <c r="D8594" s="195">
        <v>45.5</v>
      </c>
      <c r="E8594" s="705">
        <f t="shared" si="270"/>
        <v>7.5</v>
      </c>
    </row>
    <row r="8595" spans="2:5">
      <c r="B8595" s="943">
        <v>45276</v>
      </c>
      <c r="C8595" s="195">
        <f t="shared" si="269"/>
        <v>12</v>
      </c>
      <c r="D8595" s="195">
        <v>46.8</v>
      </c>
      <c r="E8595" s="705">
        <f t="shared" si="270"/>
        <v>8.2222222222222197</v>
      </c>
    </row>
    <row r="8596" spans="2:5">
      <c r="B8596" s="943">
        <v>45276</v>
      </c>
      <c r="C8596" s="195">
        <f t="shared" si="269"/>
        <v>12</v>
      </c>
      <c r="D8596" s="195">
        <v>47.3</v>
      </c>
      <c r="E8596" s="705">
        <f t="shared" si="270"/>
        <v>8.4999999999999982</v>
      </c>
    </row>
    <row r="8597" spans="2:5">
      <c r="B8597" s="943">
        <v>45276</v>
      </c>
      <c r="C8597" s="195">
        <f t="shared" si="269"/>
        <v>12</v>
      </c>
      <c r="D8597" s="195">
        <v>47.5</v>
      </c>
      <c r="E8597" s="705">
        <f t="shared" si="270"/>
        <v>8.6111111111111107</v>
      </c>
    </row>
    <row r="8598" spans="2:5">
      <c r="B8598" s="943">
        <v>45276</v>
      </c>
      <c r="C8598" s="195">
        <f t="shared" si="269"/>
        <v>12</v>
      </c>
      <c r="D8598" s="195">
        <v>47.3</v>
      </c>
      <c r="E8598" s="705">
        <f t="shared" si="270"/>
        <v>8.4999999999999982</v>
      </c>
    </row>
    <row r="8599" spans="2:5">
      <c r="B8599" s="943">
        <v>45276</v>
      </c>
      <c r="C8599" s="195">
        <f t="shared" si="269"/>
        <v>12</v>
      </c>
      <c r="D8599" s="195">
        <v>46.9</v>
      </c>
      <c r="E8599" s="705">
        <f t="shared" si="270"/>
        <v>8.2777777777777768</v>
      </c>
    </row>
    <row r="8600" spans="2:5">
      <c r="B8600" s="943">
        <v>45276</v>
      </c>
      <c r="C8600" s="195">
        <f t="shared" si="269"/>
        <v>12</v>
      </c>
      <c r="D8600" s="195">
        <v>46.2</v>
      </c>
      <c r="E8600" s="705">
        <f t="shared" si="270"/>
        <v>7.8888888888888902</v>
      </c>
    </row>
    <row r="8601" spans="2:5">
      <c r="B8601" s="943">
        <v>45277</v>
      </c>
      <c r="C8601" s="195">
        <f t="shared" si="269"/>
        <v>12</v>
      </c>
      <c r="D8601" s="195">
        <v>44.6</v>
      </c>
      <c r="E8601" s="705">
        <f t="shared" si="270"/>
        <v>7.0000000000000009</v>
      </c>
    </row>
    <row r="8602" spans="2:5">
      <c r="B8602" s="943">
        <v>45277</v>
      </c>
      <c r="C8602" s="195">
        <f t="shared" si="269"/>
        <v>12</v>
      </c>
      <c r="D8602" s="195">
        <v>43.5</v>
      </c>
      <c r="E8602" s="705">
        <f t="shared" si="270"/>
        <v>6.3888888888888884</v>
      </c>
    </row>
    <row r="8603" spans="2:5">
      <c r="B8603" s="943">
        <v>45277</v>
      </c>
      <c r="C8603" s="195">
        <f t="shared" si="269"/>
        <v>12</v>
      </c>
      <c r="D8603" s="195">
        <v>42.4</v>
      </c>
      <c r="E8603" s="705">
        <f t="shared" si="270"/>
        <v>5.7777777777777768</v>
      </c>
    </row>
    <row r="8604" spans="2:5">
      <c r="B8604" s="943">
        <v>45277</v>
      </c>
      <c r="C8604" s="195">
        <f t="shared" si="269"/>
        <v>12</v>
      </c>
      <c r="D8604" s="195">
        <v>42.1</v>
      </c>
      <c r="E8604" s="705">
        <f t="shared" si="270"/>
        <v>5.6111111111111116</v>
      </c>
    </row>
    <row r="8605" spans="2:5">
      <c r="B8605" s="943">
        <v>45277</v>
      </c>
      <c r="C8605" s="195">
        <f t="shared" si="269"/>
        <v>12</v>
      </c>
      <c r="D8605" s="195">
        <v>42.6</v>
      </c>
      <c r="E8605" s="705">
        <f t="shared" si="270"/>
        <v>5.8888888888888893</v>
      </c>
    </row>
    <row r="8606" spans="2:5">
      <c r="B8606" s="943">
        <v>45277</v>
      </c>
      <c r="C8606" s="195">
        <f t="shared" si="269"/>
        <v>12</v>
      </c>
      <c r="D8606" s="195">
        <v>44.4</v>
      </c>
      <c r="E8606" s="705">
        <f t="shared" si="270"/>
        <v>6.8888888888888875</v>
      </c>
    </row>
    <row r="8607" spans="2:5">
      <c r="B8607" s="943">
        <v>45277</v>
      </c>
      <c r="C8607" s="195">
        <f t="shared" si="269"/>
        <v>12</v>
      </c>
      <c r="D8607" s="195">
        <v>45.5</v>
      </c>
      <c r="E8607" s="705">
        <f t="shared" si="270"/>
        <v>7.5</v>
      </c>
    </row>
    <row r="8608" spans="2:5">
      <c r="B8608" s="943">
        <v>45277</v>
      </c>
      <c r="C8608" s="195">
        <f t="shared" si="269"/>
        <v>12</v>
      </c>
      <c r="D8608" s="195">
        <v>46.2</v>
      </c>
      <c r="E8608" s="705">
        <f t="shared" si="270"/>
        <v>7.8888888888888902</v>
      </c>
    </row>
    <row r="8609" spans="2:5">
      <c r="B8609" s="943">
        <v>45277</v>
      </c>
      <c r="C8609" s="195">
        <f t="shared" si="269"/>
        <v>12</v>
      </c>
      <c r="D8609" s="195">
        <v>46.6</v>
      </c>
      <c r="E8609" s="705">
        <f t="shared" si="270"/>
        <v>8.1111111111111125</v>
      </c>
    </row>
    <row r="8610" spans="2:5">
      <c r="B8610" s="943">
        <v>45277</v>
      </c>
      <c r="C8610" s="195">
        <f t="shared" si="269"/>
        <v>12</v>
      </c>
      <c r="D8610" s="195">
        <v>46.9</v>
      </c>
      <c r="E8610" s="705">
        <f t="shared" si="270"/>
        <v>8.2777777777777768</v>
      </c>
    </row>
    <row r="8611" spans="2:5">
      <c r="B8611" s="943">
        <v>45277</v>
      </c>
      <c r="C8611" s="195">
        <f t="shared" si="269"/>
        <v>12</v>
      </c>
      <c r="D8611" s="195">
        <v>46.6</v>
      </c>
      <c r="E8611" s="705">
        <f t="shared" si="270"/>
        <v>8.1111111111111125</v>
      </c>
    </row>
    <row r="8612" spans="2:5">
      <c r="B8612" s="943">
        <v>45277</v>
      </c>
      <c r="C8612" s="195">
        <f t="shared" si="269"/>
        <v>12</v>
      </c>
      <c r="D8612" s="195">
        <v>46.2</v>
      </c>
      <c r="E8612" s="705">
        <f t="shared" si="270"/>
        <v>7.8888888888888902</v>
      </c>
    </row>
    <row r="8613" spans="2:5">
      <c r="B8613" s="943">
        <v>45277</v>
      </c>
      <c r="C8613" s="195">
        <f t="shared" si="269"/>
        <v>12</v>
      </c>
      <c r="D8613" s="195">
        <v>45.1</v>
      </c>
      <c r="E8613" s="705">
        <f t="shared" si="270"/>
        <v>7.2777777777777786</v>
      </c>
    </row>
    <row r="8614" spans="2:5">
      <c r="B8614" s="943">
        <v>45277</v>
      </c>
      <c r="C8614" s="195">
        <f t="shared" si="269"/>
        <v>12</v>
      </c>
      <c r="D8614" s="195">
        <v>43.7</v>
      </c>
      <c r="E8614" s="705">
        <f t="shared" si="270"/>
        <v>6.5000000000000018</v>
      </c>
    </row>
    <row r="8615" spans="2:5">
      <c r="B8615" s="943">
        <v>45277</v>
      </c>
      <c r="C8615" s="195">
        <f t="shared" si="269"/>
        <v>12</v>
      </c>
      <c r="D8615" s="195">
        <v>42.8</v>
      </c>
      <c r="E8615" s="705">
        <f t="shared" si="270"/>
        <v>5.9999999999999982</v>
      </c>
    </row>
    <row r="8616" spans="2:5">
      <c r="B8616" s="943">
        <v>45277</v>
      </c>
      <c r="C8616" s="195">
        <f t="shared" si="269"/>
        <v>12</v>
      </c>
      <c r="D8616" s="195">
        <v>42.4</v>
      </c>
      <c r="E8616" s="705">
        <f t="shared" si="270"/>
        <v>5.7777777777777768</v>
      </c>
    </row>
    <row r="8617" spans="2:5">
      <c r="B8617" s="943">
        <v>45277</v>
      </c>
      <c r="C8617" s="195">
        <f t="shared" si="269"/>
        <v>12</v>
      </c>
      <c r="D8617" s="195" t="s">
        <v>1430</v>
      </c>
      <c r="E8617" s="705">
        <f t="shared" si="270"/>
        <v>6.1111111111111107</v>
      </c>
    </row>
    <row r="8618" spans="2:5">
      <c r="B8618" s="943">
        <v>45277</v>
      </c>
      <c r="C8618" s="195">
        <f t="shared" si="269"/>
        <v>12</v>
      </c>
      <c r="D8618" s="195">
        <v>44.4</v>
      </c>
      <c r="E8618" s="705">
        <f t="shared" si="270"/>
        <v>6.8888888888888875</v>
      </c>
    </row>
    <row r="8619" spans="2:5">
      <c r="B8619" s="943">
        <v>45277</v>
      </c>
      <c r="C8619" s="195">
        <f t="shared" si="269"/>
        <v>12</v>
      </c>
      <c r="D8619" s="195">
        <v>45.3</v>
      </c>
      <c r="E8619" s="705">
        <f t="shared" si="270"/>
        <v>7.3888888888888875</v>
      </c>
    </row>
    <row r="8620" spans="2:5">
      <c r="B8620" s="943">
        <v>45277</v>
      </c>
      <c r="C8620" s="195">
        <f t="shared" si="269"/>
        <v>12</v>
      </c>
      <c r="D8620" s="195">
        <v>46.6</v>
      </c>
      <c r="E8620" s="705">
        <f t="shared" si="270"/>
        <v>8.1111111111111125</v>
      </c>
    </row>
    <row r="8621" spans="2:5">
      <c r="B8621" s="943">
        <v>45277</v>
      </c>
      <c r="C8621" s="195">
        <f t="shared" si="269"/>
        <v>12</v>
      </c>
      <c r="D8621" s="195">
        <v>46.9</v>
      </c>
      <c r="E8621" s="705">
        <f t="shared" si="270"/>
        <v>8.2777777777777768</v>
      </c>
    </row>
    <row r="8622" spans="2:5">
      <c r="B8622" s="943">
        <v>45277</v>
      </c>
      <c r="C8622" s="195">
        <f t="shared" si="269"/>
        <v>12</v>
      </c>
      <c r="D8622" s="195">
        <v>46.9</v>
      </c>
      <c r="E8622" s="705">
        <f t="shared" si="270"/>
        <v>8.2777777777777768</v>
      </c>
    </row>
    <row r="8623" spans="2:5">
      <c r="B8623" s="943">
        <v>45277</v>
      </c>
      <c r="C8623" s="195">
        <f t="shared" si="269"/>
        <v>12</v>
      </c>
      <c r="D8623" s="195">
        <v>46.8</v>
      </c>
      <c r="E8623" s="705">
        <f t="shared" si="270"/>
        <v>8.2222222222222197</v>
      </c>
    </row>
    <row r="8624" spans="2:5">
      <c r="B8624" s="943">
        <v>45277</v>
      </c>
      <c r="C8624" s="195">
        <f t="shared" si="269"/>
        <v>12</v>
      </c>
      <c r="D8624" s="195">
        <v>46.6</v>
      </c>
      <c r="E8624" s="705">
        <f t="shared" si="270"/>
        <v>8.1111111111111125</v>
      </c>
    </row>
    <row r="8625" spans="2:5">
      <c r="B8625" s="943">
        <v>45278</v>
      </c>
      <c r="C8625" s="195">
        <f t="shared" si="269"/>
        <v>12</v>
      </c>
      <c r="D8625" s="195">
        <v>45.9</v>
      </c>
      <c r="E8625" s="705">
        <f t="shared" si="270"/>
        <v>7.7222222222222214</v>
      </c>
    </row>
    <row r="8626" spans="2:5">
      <c r="B8626" s="943">
        <v>45278</v>
      </c>
      <c r="C8626" s="195">
        <f t="shared" si="269"/>
        <v>12</v>
      </c>
      <c r="D8626" s="195">
        <v>44.4</v>
      </c>
      <c r="E8626" s="705">
        <f t="shared" si="270"/>
        <v>6.8888888888888875</v>
      </c>
    </row>
    <row r="8627" spans="2:5">
      <c r="B8627" s="943">
        <v>45278</v>
      </c>
      <c r="C8627" s="195">
        <f t="shared" si="269"/>
        <v>12</v>
      </c>
      <c r="D8627" s="195">
        <v>43.5</v>
      </c>
      <c r="E8627" s="705">
        <f t="shared" si="270"/>
        <v>6.3888888888888884</v>
      </c>
    </row>
    <row r="8628" spans="2:5">
      <c r="B8628" s="943">
        <v>45278</v>
      </c>
      <c r="C8628" s="195">
        <f t="shared" si="269"/>
        <v>12</v>
      </c>
      <c r="D8628" s="195">
        <v>42.8</v>
      </c>
      <c r="E8628" s="705">
        <f t="shared" si="270"/>
        <v>5.9999999999999982</v>
      </c>
    </row>
    <row r="8629" spans="2:5">
      <c r="B8629" s="943">
        <v>45278</v>
      </c>
      <c r="C8629" s="195">
        <f t="shared" si="269"/>
        <v>12</v>
      </c>
      <c r="D8629" s="195">
        <v>42.4</v>
      </c>
      <c r="E8629" s="705">
        <f t="shared" si="270"/>
        <v>5.7777777777777768</v>
      </c>
    </row>
    <row r="8630" spans="2:5">
      <c r="B8630" s="943">
        <v>45278</v>
      </c>
      <c r="C8630" s="195">
        <f t="shared" si="269"/>
        <v>12</v>
      </c>
      <c r="D8630" s="195" t="s">
        <v>1430</v>
      </c>
      <c r="E8630" s="705">
        <f t="shared" si="270"/>
        <v>6.1111111111111107</v>
      </c>
    </row>
    <row r="8631" spans="2:5">
      <c r="B8631" s="943">
        <v>45278</v>
      </c>
      <c r="C8631" s="195">
        <f t="shared" si="269"/>
        <v>12</v>
      </c>
      <c r="D8631" s="195">
        <v>44.4</v>
      </c>
      <c r="E8631" s="705">
        <f t="shared" si="270"/>
        <v>6.8888888888888875</v>
      </c>
    </row>
    <row r="8632" spans="2:5">
      <c r="B8632" s="943">
        <v>45278</v>
      </c>
      <c r="C8632" s="195">
        <f t="shared" si="269"/>
        <v>12</v>
      </c>
      <c r="D8632" s="195">
        <v>45.3</v>
      </c>
      <c r="E8632" s="705">
        <f t="shared" si="270"/>
        <v>7.3888888888888875</v>
      </c>
    </row>
    <row r="8633" spans="2:5">
      <c r="B8633" s="943">
        <v>45278</v>
      </c>
      <c r="C8633" s="195">
        <f t="shared" si="269"/>
        <v>12</v>
      </c>
      <c r="D8633" s="195">
        <v>46.6</v>
      </c>
      <c r="E8633" s="705">
        <f t="shared" si="270"/>
        <v>8.1111111111111125</v>
      </c>
    </row>
    <row r="8634" spans="2:5">
      <c r="B8634" s="943">
        <v>45278</v>
      </c>
      <c r="C8634" s="195">
        <f t="shared" si="269"/>
        <v>12</v>
      </c>
      <c r="D8634" s="195">
        <v>46.8</v>
      </c>
      <c r="E8634" s="705">
        <f t="shared" si="270"/>
        <v>8.2222222222222197</v>
      </c>
    </row>
    <row r="8635" spans="2:5">
      <c r="B8635" s="943">
        <v>45278</v>
      </c>
      <c r="C8635" s="195">
        <f t="shared" si="269"/>
        <v>12</v>
      </c>
      <c r="D8635" s="195">
        <v>47.1</v>
      </c>
      <c r="E8635" s="705">
        <f t="shared" si="270"/>
        <v>8.3888888888888893</v>
      </c>
    </row>
    <row r="8636" spans="2:5">
      <c r="B8636" s="943">
        <v>45278</v>
      </c>
      <c r="C8636" s="195">
        <f t="shared" si="269"/>
        <v>12</v>
      </c>
      <c r="D8636" s="195">
        <v>47.1</v>
      </c>
      <c r="E8636" s="705">
        <f t="shared" si="270"/>
        <v>8.3888888888888893</v>
      </c>
    </row>
    <row r="8637" spans="2:5">
      <c r="B8637" s="943">
        <v>45278</v>
      </c>
      <c r="C8637" s="195">
        <f t="shared" si="269"/>
        <v>12</v>
      </c>
      <c r="D8637" s="195">
        <v>46.8</v>
      </c>
      <c r="E8637" s="705">
        <f t="shared" si="270"/>
        <v>8.2222222222222197</v>
      </c>
    </row>
    <row r="8638" spans="2:5">
      <c r="B8638" s="943">
        <v>45278</v>
      </c>
      <c r="C8638" s="195">
        <f t="shared" si="269"/>
        <v>12</v>
      </c>
      <c r="D8638" s="195">
        <v>46.2</v>
      </c>
      <c r="E8638" s="705">
        <f t="shared" si="270"/>
        <v>7.8888888888888902</v>
      </c>
    </row>
    <row r="8639" spans="2:5">
      <c r="B8639" s="943">
        <v>45278</v>
      </c>
      <c r="C8639" s="195">
        <f t="shared" si="269"/>
        <v>12</v>
      </c>
      <c r="D8639" s="195">
        <v>45.1</v>
      </c>
      <c r="E8639" s="705">
        <f t="shared" si="270"/>
        <v>7.2777777777777786</v>
      </c>
    </row>
    <row r="8640" spans="2:5">
      <c r="B8640" s="943">
        <v>45278</v>
      </c>
      <c r="C8640" s="195">
        <f t="shared" si="269"/>
        <v>12</v>
      </c>
      <c r="D8640" s="195">
        <v>44.4</v>
      </c>
      <c r="E8640" s="705">
        <f t="shared" si="270"/>
        <v>6.8888888888888875</v>
      </c>
    </row>
    <row r="8641" spans="2:5">
      <c r="B8641" s="943">
        <v>45278</v>
      </c>
      <c r="C8641" s="195">
        <f t="shared" si="269"/>
        <v>12</v>
      </c>
      <c r="D8641" s="195">
        <v>44.1</v>
      </c>
      <c r="E8641" s="705">
        <f t="shared" si="270"/>
        <v>6.7222222222222232</v>
      </c>
    </row>
    <row r="8642" spans="2:5">
      <c r="B8642" s="943">
        <v>45278</v>
      </c>
      <c r="C8642" s="195">
        <f t="shared" si="269"/>
        <v>12</v>
      </c>
      <c r="D8642" s="195">
        <v>44.6</v>
      </c>
      <c r="E8642" s="705">
        <f t="shared" si="270"/>
        <v>7.0000000000000009</v>
      </c>
    </row>
    <row r="8643" spans="2:5">
      <c r="B8643" s="943">
        <v>45278</v>
      </c>
      <c r="C8643" s="195">
        <f t="shared" si="269"/>
        <v>12</v>
      </c>
      <c r="D8643" s="195">
        <v>45.7</v>
      </c>
      <c r="E8643" s="705">
        <f t="shared" si="270"/>
        <v>7.6111111111111125</v>
      </c>
    </row>
    <row r="8644" spans="2:5">
      <c r="B8644" s="943">
        <v>45278</v>
      </c>
      <c r="C8644" s="195">
        <f t="shared" si="269"/>
        <v>12</v>
      </c>
      <c r="D8644" s="195">
        <v>46.4</v>
      </c>
      <c r="E8644" s="705">
        <f t="shared" si="270"/>
        <v>7.9999999999999991</v>
      </c>
    </row>
    <row r="8645" spans="2:5">
      <c r="B8645" s="943">
        <v>45278</v>
      </c>
      <c r="C8645" s="195">
        <f t="shared" si="269"/>
        <v>12</v>
      </c>
      <c r="D8645" s="195">
        <v>46.9</v>
      </c>
      <c r="E8645" s="705">
        <f t="shared" si="270"/>
        <v>8.2777777777777768</v>
      </c>
    </row>
    <row r="8646" spans="2:5">
      <c r="B8646" s="943">
        <v>45278</v>
      </c>
      <c r="C8646" s="195">
        <f t="shared" si="269"/>
        <v>12</v>
      </c>
      <c r="D8646" s="195">
        <v>47.1</v>
      </c>
      <c r="E8646" s="705">
        <f t="shared" si="270"/>
        <v>8.3888888888888893</v>
      </c>
    </row>
    <row r="8647" spans="2:5">
      <c r="B8647" s="943">
        <v>45278</v>
      </c>
      <c r="C8647" s="195">
        <f t="shared" si="269"/>
        <v>12</v>
      </c>
      <c r="D8647" s="195">
        <v>47.1</v>
      </c>
      <c r="E8647" s="705">
        <f t="shared" si="270"/>
        <v>8.3888888888888893</v>
      </c>
    </row>
    <row r="8648" spans="2:5">
      <c r="B8648" s="943">
        <v>45278</v>
      </c>
      <c r="C8648" s="195">
        <f t="shared" si="269"/>
        <v>12</v>
      </c>
      <c r="D8648" s="195">
        <v>47.1</v>
      </c>
      <c r="E8648" s="705">
        <f t="shared" si="270"/>
        <v>8.3888888888888893</v>
      </c>
    </row>
    <row r="8649" spans="2:5">
      <c r="B8649" s="943">
        <v>45279</v>
      </c>
      <c r="C8649" s="195">
        <f t="shared" si="269"/>
        <v>12</v>
      </c>
      <c r="D8649" s="195">
        <v>46.9</v>
      </c>
      <c r="E8649" s="705">
        <f t="shared" si="270"/>
        <v>8.2777777777777768</v>
      </c>
    </row>
    <row r="8650" spans="2:5">
      <c r="B8650" s="943">
        <v>45279</v>
      </c>
      <c r="C8650" s="195">
        <f t="shared" ref="C8650:C8713" si="271">MONTH(B8650)</f>
        <v>12</v>
      </c>
      <c r="D8650" s="195">
        <v>46.4</v>
      </c>
      <c r="E8650" s="705">
        <f t="shared" ref="E8650:E8713" si="272">CONVERT(D8650,"F","C")</f>
        <v>7.9999999999999991</v>
      </c>
    </row>
    <row r="8651" spans="2:5">
      <c r="B8651" s="943">
        <v>45279</v>
      </c>
      <c r="C8651" s="195">
        <f t="shared" si="271"/>
        <v>12</v>
      </c>
      <c r="D8651" s="195">
        <v>45.3</v>
      </c>
      <c r="E8651" s="705">
        <f t="shared" si="272"/>
        <v>7.3888888888888875</v>
      </c>
    </row>
    <row r="8652" spans="2:5">
      <c r="B8652" s="943">
        <v>45279</v>
      </c>
      <c r="C8652" s="195">
        <f t="shared" si="271"/>
        <v>12</v>
      </c>
      <c r="D8652" s="195">
        <v>44.8</v>
      </c>
      <c r="E8652" s="705">
        <f t="shared" si="272"/>
        <v>7.1111111111111089</v>
      </c>
    </row>
    <row r="8653" spans="2:5">
      <c r="B8653" s="943">
        <v>45279</v>
      </c>
      <c r="C8653" s="195">
        <f t="shared" si="271"/>
        <v>12</v>
      </c>
      <c r="D8653" s="195">
        <v>44.2</v>
      </c>
      <c r="E8653" s="705">
        <f t="shared" si="272"/>
        <v>6.7777777777777795</v>
      </c>
    </row>
    <row r="8654" spans="2:5">
      <c r="B8654" s="943">
        <v>45279</v>
      </c>
      <c r="C8654" s="195">
        <f t="shared" si="271"/>
        <v>12</v>
      </c>
      <c r="D8654" s="195">
        <v>44.1</v>
      </c>
      <c r="E8654" s="705">
        <f t="shared" si="272"/>
        <v>6.7222222222222232</v>
      </c>
    </row>
    <row r="8655" spans="2:5">
      <c r="B8655" s="943">
        <v>45279</v>
      </c>
      <c r="C8655" s="195">
        <f t="shared" si="271"/>
        <v>12</v>
      </c>
      <c r="D8655" s="195">
        <v>44.1</v>
      </c>
      <c r="E8655" s="705">
        <f t="shared" si="272"/>
        <v>6.7222222222222232</v>
      </c>
    </row>
    <row r="8656" spans="2:5">
      <c r="B8656" s="943">
        <v>45279</v>
      </c>
      <c r="C8656" s="195">
        <f t="shared" si="271"/>
        <v>12</v>
      </c>
      <c r="D8656" s="195" t="s">
        <v>1425</v>
      </c>
      <c r="E8656" s="705">
        <f t="shared" si="272"/>
        <v>7.2222222222222223</v>
      </c>
    </row>
    <row r="8657" spans="2:5">
      <c r="B8657" s="943">
        <v>45279</v>
      </c>
      <c r="C8657" s="195">
        <f t="shared" si="271"/>
        <v>12</v>
      </c>
      <c r="D8657" s="195">
        <v>46.2</v>
      </c>
      <c r="E8657" s="705">
        <f t="shared" si="272"/>
        <v>7.8888888888888902</v>
      </c>
    </row>
    <row r="8658" spans="2:5">
      <c r="B8658" s="943">
        <v>45279</v>
      </c>
      <c r="C8658" s="195">
        <f t="shared" si="271"/>
        <v>12</v>
      </c>
      <c r="D8658" s="195">
        <v>46.6</v>
      </c>
      <c r="E8658" s="705">
        <f t="shared" si="272"/>
        <v>8.1111111111111125</v>
      </c>
    </row>
    <row r="8659" spans="2:5">
      <c r="B8659" s="943">
        <v>45279</v>
      </c>
      <c r="C8659" s="195">
        <f t="shared" si="271"/>
        <v>12</v>
      </c>
      <c r="D8659" s="195">
        <v>46.9</v>
      </c>
      <c r="E8659" s="705">
        <f t="shared" si="272"/>
        <v>8.2777777777777768</v>
      </c>
    </row>
    <row r="8660" spans="2:5">
      <c r="B8660" s="943">
        <v>45279</v>
      </c>
      <c r="C8660" s="195">
        <f t="shared" si="271"/>
        <v>12</v>
      </c>
      <c r="D8660" s="195">
        <v>47.1</v>
      </c>
      <c r="E8660" s="705">
        <f t="shared" si="272"/>
        <v>8.3888888888888893</v>
      </c>
    </row>
    <row r="8661" spans="2:5">
      <c r="B8661" s="943">
        <v>45279</v>
      </c>
      <c r="C8661" s="195">
        <f t="shared" si="271"/>
        <v>12</v>
      </c>
      <c r="D8661" s="195">
        <v>46.6</v>
      </c>
      <c r="E8661" s="705">
        <f t="shared" si="272"/>
        <v>8.1111111111111125</v>
      </c>
    </row>
    <row r="8662" spans="2:5">
      <c r="B8662" s="943">
        <v>45279</v>
      </c>
      <c r="C8662" s="195">
        <f t="shared" si="271"/>
        <v>12</v>
      </c>
      <c r="D8662" s="195">
        <v>46.2</v>
      </c>
      <c r="E8662" s="705">
        <f t="shared" si="272"/>
        <v>7.8888888888888902</v>
      </c>
    </row>
    <row r="8663" spans="2:5">
      <c r="B8663" s="943">
        <v>45279</v>
      </c>
      <c r="C8663" s="195">
        <f t="shared" si="271"/>
        <v>12</v>
      </c>
      <c r="D8663" s="195">
        <v>45.1</v>
      </c>
      <c r="E8663" s="705">
        <f t="shared" si="272"/>
        <v>7.2777777777777786</v>
      </c>
    </row>
    <row r="8664" spans="2:5">
      <c r="B8664" s="943">
        <v>45279</v>
      </c>
      <c r="C8664" s="195">
        <f t="shared" si="271"/>
        <v>12</v>
      </c>
      <c r="D8664" s="195">
        <v>44.6</v>
      </c>
      <c r="E8664" s="705">
        <f t="shared" si="272"/>
        <v>7.0000000000000009</v>
      </c>
    </row>
    <row r="8665" spans="2:5">
      <c r="B8665" s="943">
        <v>45279</v>
      </c>
      <c r="C8665" s="195">
        <f t="shared" si="271"/>
        <v>12</v>
      </c>
      <c r="D8665" s="195">
        <v>44.2</v>
      </c>
      <c r="E8665" s="705">
        <f t="shared" si="272"/>
        <v>6.7777777777777795</v>
      </c>
    </row>
    <row r="8666" spans="2:5">
      <c r="B8666" s="943">
        <v>45279</v>
      </c>
      <c r="C8666" s="195">
        <f t="shared" si="271"/>
        <v>12</v>
      </c>
      <c r="D8666" s="195">
        <v>44.1</v>
      </c>
      <c r="E8666" s="705">
        <f t="shared" si="272"/>
        <v>6.7222222222222232</v>
      </c>
    </row>
    <row r="8667" spans="2:5">
      <c r="B8667" s="943">
        <v>45279</v>
      </c>
      <c r="C8667" s="195">
        <f t="shared" si="271"/>
        <v>12</v>
      </c>
      <c r="D8667" s="195">
        <v>44.2</v>
      </c>
      <c r="E8667" s="705">
        <f t="shared" si="272"/>
        <v>6.7777777777777795</v>
      </c>
    </row>
    <row r="8668" spans="2:5">
      <c r="B8668" s="943">
        <v>45279</v>
      </c>
      <c r="C8668" s="195">
        <f t="shared" si="271"/>
        <v>12</v>
      </c>
      <c r="D8668" s="195">
        <v>45.5</v>
      </c>
      <c r="E8668" s="705">
        <f t="shared" si="272"/>
        <v>7.5</v>
      </c>
    </row>
    <row r="8669" spans="2:5">
      <c r="B8669" s="943">
        <v>45279</v>
      </c>
      <c r="C8669" s="195">
        <f t="shared" si="271"/>
        <v>12</v>
      </c>
      <c r="D8669" s="195">
        <v>46.4</v>
      </c>
      <c r="E8669" s="705">
        <f t="shared" si="272"/>
        <v>7.9999999999999991</v>
      </c>
    </row>
    <row r="8670" spans="2:5">
      <c r="B8670" s="943">
        <v>45279</v>
      </c>
      <c r="C8670" s="195">
        <f t="shared" si="271"/>
        <v>12</v>
      </c>
      <c r="D8670" s="195">
        <v>47.1</v>
      </c>
      <c r="E8670" s="705">
        <f t="shared" si="272"/>
        <v>8.3888888888888893</v>
      </c>
    </row>
    <row r="8671" spans="2:5">
      <c r="B8671" s="943">
        <v>45279</v>
      </c>
      <c r="C8671" s="195">
        <f t="shared" si="271"/>
        <v>12</v>
      </c>
      <c r="D8671" s="195">
        <v>46.9</v>
      </c>
      <c r="E8671" s="705">
        <f t="shared" si="272"/>
        <v>8.2777777777777768</v>
      </c>
    </row>
    <row r="8672" spans="2:5">
      <c r="B8672" s="943">
        <v>45279</v>
      </c>
      <c r="C8672" s="195">
        <f t="shared" si="271"/>
        <v>12</v>
      </c>
      <c r="D8672" s="195">
        <v>46.8</v>
      </c>
      <c r="E8672" s="705">
        <f t="shared" si="272"/>
        <v>8.2222222222222197</v>
      </c>
    </row>
    <row r="8673" spans="2:5">
      <c r="B8673" s="943">
        <v>45280</v>
      </c>
      <c r="C8673" s="195">
        <f t="shared" si="271"/>
        <v>12</v>
      </c>
      <c r="D8673" s="195">
        <v>46.4</v>
      </c>
      <c r="E8673" s="705">
        <f t="shared" si="272"/>
        <v>7.9999999999999991</v>
      </c>
    </row>
    <row r="8674" spans="2:5">
      <c r="B8674" s="943">
        <v>45280</v>
      </c>
      <c r="C8674" s="195">
        <f t="shared" si="271"/>
        <v>12</v>
      </c>
      <c r="D8674" s="195" t="s">
        <v>1434</v>
      </c>
      <c r="E8674" s="705">
        <f t="shared" si="272"/>
        <v>7.7777777777777777</v>
      </c>
    </row>
    <row r="8675" spans="2:5">
      <c r="B8675" s="943">
        <v>45280</v>
      </c>
      <c r="C8675" s="195">
        <f t="shared" si="271"/>
        <v>12</v>
      </c>
      <c r="D8675" s="195">
        <v>45.3</v>
      </c>
      <c r="E8675" s="705">
        <f t="shared" si="272"/>
        <v>7.3888888888888875</v>
      </c>
    </row>
    <row r="8676" spans="2:5">
      <c r="B8676" s="943">
        <v>45280</v>
      </c>
      <c r="C8676" s="195">
        <f t="shared" si="271"/>
        <v>12</v>
      </c>
      <c r="D8676" s="195">
        <v>44.8</v>
      </c>
      <c r="E8676" s="705">
        <f t="shared" si="272"/>
        <v>7.1111111111111089</v>
      </c>
    </row>
    <row r="8677" spans="2:5">
      <c r="B8677" s="943">
        <v>45280</v>
      </c>
      <c r="C8677" s="195">
        <f t="shared" si="271"/>
        <v>12</v>
      </c>
      <c r="D8677" s="195">
        <v>44.4</v>
      </c>
      <c r="E8677" s="705">
        <f t="shared" si="272"/>
        <v>6.8888888888888875</v>
      </c>
    </row>
    <row r="8678" spans="2:5">
      <c r="B8678" s="943">
        <v>45280</v>
      </c>
      <c r="C8678" s="195">
        <f t="shared" si="271"/>
        <v>12</v>
      </c>
      <c r="D8678" s="195">
        <v>44.2</v>
      </c>
      <c r="E8678" s="705">
        <f t="shared" si="272"/>
        <v>6.7777777777777795</v>
      </c>
    </row>
    <row r="8679" spans="2:5">
      <c r="B8679" s="943">
        <v>45280</v>
      </c>
      <c r="C8679" s="195">
        <f t="shared" si="271"/>
        <v>12</v>
      </c>
      <c r="D8679" s="195">
        <v>44.1</v>
      </c>
      <c r="E8679" s="705">
        <f t="shared" si="272"/>
        <v>6.7222222222222232</v>
      </c>
    </row>
    <row r="8680" spans="2:5">
      <c r="B8680" s="943">
        <v>45280</v>
      </c>
      <c r="C8680" s="195">
        <f t="shared" si="271"/>
        <v>12</v>
      </c>
      <c r="D8680" s="195">
        <v>44.1</v>
      </c>
      <c r="E8680" s="705">
        <f t="shared" si="272"/>
        <v>6.7222222222222232</v>
      </c>
    </row>
    <row r="8681" spans="2:5">
      <c r="B8681" s="943">
        <v>45280</v>
      </c>
      <c r="C8681" s="195">
        <f t="shared" si="271"/>
        <v>12</v>
      </c>
      <c r="D8681" s="195" t="s">
        <v>1434</v>
      </c>
      <c r="E8681" s="705">
        <f t="shared" si="272"/>
        <v>7.7777777777777777</v>
      </c>
    </row>
    <row r="8682" spans="2:5">
      <c r="B8682" s="943">
        <v>45280</v>
      </c>
      <c r="C8682" s="195">
        <f t="shared" si="271"/>
        <v>12</v>
      </c>
      <c r="D8682" s="195">
        <v>46.9</v>
      </c>
      <c r="E8682" s="705">
        <f t="shared" si="272"/>
        <v>8.2777777777777768</v>
      </c>
    </row>
    <row r="8683" spans="2:5">
      <c r="B8683" s="943">
        <v>45280</v>
      </c>
      <c r="C8683" s="195">
        <f t="shared" si="271"/>
        <v>12</v>
      </c>
      <c r="D8683" s="195">
        <v>47.1</v>
      </c>
      <c r="E8683" s="705">
        <f t="shared" si="272"/>
        <v>8.3888888888888893</v>
      </c>
    </row>
    <row r="8684" spans="2:5">
      <c r="B8684" s="943">
        <v>45280</v>
      </c>
      <c r="C8684" s="195">
        <f t="shared" si="271"/>
        <v>12</v>
      </c>
      <c r="D8684" s="195">
        <v>47.3</v>
      </c>
      <c r="E8684" s="705">
        <f t="shared" si="272"/>
        <v>8.4999999999999982</v>
      </c>
    </row>
    <row r="8685" spans="2:5">
      <c r="B8685" s="943">
        <v>45280</v>
      </c>
      <c r="C8685" s="195">
        <f t="shared" si="271"/>
        <v>12</v>
      </c>
      <c r="D8685" s="195">
        <v>46.2</v>
      </c>
      <c r="E8685" s="705">
        <f t="shared" si="272"/>
        <v>7.8888888888888902</v>
      </c>
    </row>
    <row r="8686" spans="2:5">
      <c r="B8686" s="943">
        <v>45280</v>
      </c>
      <c r="C8686" s="195">
        <f t="shared" si="271"/>
        <v>12</v>
      </c>
      <c r="D8686" s="195">
        <v>46.9</v>
      </c>
      <c r="E8686" s="705">
        <f t="shared" si="272"/>
        <v>8.2777777777777768</v>
      </c>
    </row>
    <row r="8687" spans="2:5">
      <c r="B8687" s="943">
        <v>45280</v>
      </c>
      <c r="C8687" s="195">
        <f t="shared" si="271"/>
        <v>12</v>
      </c>
      <c r="D8687" s="195" t="s">
        <v>1434</v>
      </c>
      <c r="E8687" s="705">
        <f t="shared" si="272"/>
        <v>7.7777777777777777</v>
      </c>
    </row>
    <row r="8688" spans="2:5">
      <c r="B8688" s="943">
        <v>45280</v>
      </c>
      <c r="C8688" s="195">
        <f t="shared" si="271"/>
        <v>12</v>
      </c>
      <c r="D8688" s="195">
        <v>45.1</v>
      </c>
      <c r="E8688" s="705">
        <f t="shared" si="272"/>
        <v>7.2777777777777786</v>
      </c>
    </row>
    <row r="8689" spans="2:5">
      <c r="B8689" s="943">
        <v>45280</v>
      </c>
      <c r="C8689" s="195">
        <f t="shared" si="271"/>
        <v>12</v>
      </c>
      <c r="D8689" s="195">
        <v>44.4</v>
      </c>
      <c r="E8689" s="705">
        <f t="shared" si="272"/>
        <v>6.8888888888888875</v>
      </c>
    </row>
    <row r="8690" spans="2:5">
      <c r="B8690" s="943">
        <v>45280</v>
      </c>
      <c r="C8690" s="195">
        <f t="shared" si="271"/>
        <v>12</v>
      </c>
      <c r="D8690" s="195">
        <v>44.1</v>
      </c>
      <c r="E8690" s="705">
        <f t="shared" si="272"/>
        <v>6.7222222222222232</v>
      </c>
    </row>
    <row r="8691" spans="2:5">
      <c r="B8691" s="943">
        <v>45280</v>
      </c>
      <c r="C8691" s="195">
        <f t="shared" si="271"/>
        <v>12</v>
      </c>
      <c r="D8691" s="195">
        <v>43.9</v>
      </c>
      <c r="E8691" s="705">
        <f t="shared" si="272"/>
        <v>6.6111111111111098</v>
      </c>
    </row>
    <row r="8692" spans="2:5">
      <c r="B8692" s="943">
        <v>45280</v>
      </c>
      <c r="C8692" s="195">
        <f t="shared" si="271"/>
        <v>12</v>
      </c>
      <c r="D8692" s="195">
        <v>43.9</v>
      </c>
      <c r="E8692" s="705">
        <f t="shared" si="272"/>
        <v>6.6111111111111098</v>
      </c>
    </row>
    <row r="8693" spans="2:5">
      <c r="B8693" s="943">
        <v>45280</v>
      </c>
      <c r="C8693" s="195">
        <f t="shared" si="271"/>
        <v>12</v>
      </c>
      <c r="D8693" s="195">
        <v>44.6</v>
      </c>
      <c r="E8693" s="705">
        <f t="shared" si="272"/>
        <v>7.0000000000000009</v>
      </c>
    </row>
    <row r="8694" spans="2:5">
      <c r="B8694" s="943">
        <v>45280</v>
      </c>
      <c r="C8694" s="195">
        <f t="shared" si="271"/>
        <v>12</v>
      </c>
      <c r="D8694" s="195">
        <v>46.8</v>
      </c>
      <c r="E8694" s="705">
        <f t="shared" si="272"/>
        <v>8.2222222222222197</v>
      </c>
    </row>
    <row r="8695" spans="2:5">
      <c r="B8695" s="943">
        <v>45280</v>
      </c>
      <c r="C8695" s="195">
        <f t="shared" si="271"/>
        <v>12</v>
      </c>
      <c r="D8695" s="195">
        <v>46.9</v>
      </c>
      <c r="E8695" s="705">
        <f t="shared" si="272"/>
        <v>8.2777777777777768</v>
      </c>
    </row>
    <row r="8696" spans="2:5">
      <c r="B8696" s="943">
        <v>45280</v>
      </c>
      <c r="C8696" s="195">
        <f t="shared" si="271"/>
        <v>12</v>
      </c>
      <c r="D8696" s="195">
        <v>46.9</v>
      </c>
      <c r="E8696" s="705">
        <f t="shared" si="272"/>
        <v>8.2777777777777768</v>
      </c>
    </row>
    <row r="8697" spans="2:5">
      <c r="B8697" s="943">
        <v>45281</v>
      </c>
      <c r="C8697" s="195">
        <f t="shared" si="271"/>
        <v>12</v>
      </c>
      <c r="D8697" s="195">
        <v>46.9</v>
      </c>
      <c r="E8697" s="705">
        <f t="shared" si="272"/>
        <v>8.2777777777777768</v>
      </c>
    </row>
    <row r="8698" spans="2:5">
      <c r="B8698" s="943">
        <v>45281</v>
      </c>
      <c r="C8698" s="195">
        <f t="shared" si="271"/>
        <v>12</v>
      </c>
      <c r="D8698" s="195">
        <v>46.4</v>
      </c>
      <c r="E8698" s="705">
        <f t="shared" si="272"/>
        <v>7.9999999999999991</v>
      </c>
    </row>
    <row r="8699" spans="2:5">
      <c r="B8699" s="943">
        <v>45281</v>
      </c>
      <c r="C8699" s="195">
        <f t="shared" si="271"/>
        <v>12</v>
      </c>
      <c r="D8699" s="195">
        <v>46.4</v>
      </c>
      <c r="E8699" s="705">
        <f t="shared" si="272"/>
        <v>7.9999999999999991</v>
      </c>
    </row>
    <row r="8700" spans="2:5">
      <c r="B8700" s="943">
        <v>45281</v>
      </c>
      <c r="C8700" s="195">
        <f t="shared" si="271"/>
        <v>12</v>
      </c>
      <c r="D8700" s="195">
        <v>45.3</v>
      </c>
      <c r="E8700" s="705">
        <f t="shared" si="272"/>
        <v>7.3888888888888875</v>
      </c>
    </row>
    <row r="8701" spans="2:5">
      <c r="B8701" s="943">
        <v>45281</v>
      </c>
      <c r="C8701" s="195">
        <f t="shared" si="271"/>
        <v>12</v>
      </c>
      <c r="D8701" s="195">
        <v>44.6</v>
      </c>
      <c r="E8701" s="705">
        <f t="shared" si="272"/>
        <v>7.0000000000000009</v>
      </c>
    </row>
    <row r="8702" spans="2:5">
      <c r="B8702" s="943">
        <v>45281</v>
      </c>
      <c r="C8702" s="195">
        <f t="shared" si="271"/>
        <v>12</v>
      </c>
      <c r="D8702" s="195">
        <v>43.9</v>
      </c>
      <c r="E8702" s="705">
        <f t="shared" si="272"/>
        <v>6.6111111111111098</v>
      </c>
    </row>
    <row r="8703" spans="2:5">
      <c r="B8703" s="943">
        <v>45281</v>
      </c>
      <c r="C8703" s="195">
        <f t="shared" si="271"/>
        <v>12</v>
      </c>
      <c r="D8703" s="195">
        <v>43.5</v>
      </c>
      <c r="E8703" s="705">
        <f t="shared" si="272"/>
        <v>6.3888888888888884</v>
      </c>
    </row>
    <row r="8704" spans="2:5">
      <c r="B8704" s="943">
        <v>45281</v>
      </c>
      <c r="C8704" s="195">
        <f t="shared" si="271"/>
        <v>12</v>
      </c>
      <c r="D8704" s="195">
        <v>43.3</v>
      </c>
      <c r="E8704" s="705">
        <f t="shared" si="272"/>
        <v>6.2777777777777759</v>
      </c>
    </row>
    <row r="8705" spans="2:5">
      <c r="B8705" s="943">
        <v>45281</v>
      </c>
      <c r="C8705" s="195">
        <f t="shared" si="271"/>
        <v>12</v>
      </c>
      <c r="D8705" s="195">
        <v>43.9</v>
      </c>
      <c r="E8705" s="705">
        <f t="shared" si="272"/>
        <v>6.6111111111111098</v>
      </c>
    </row>
    <row r="8706" spans="2:5">
      <c r="B8706" s="943">
        <v>45281</v>
      </c>
      <c r="C8706" s="195">
        <f t="shared" si="271"/>
        <v>12</v>
      </c>
      <c r="D8706" s="195">
        <v>46.2</v>
      </c>
      <c r="E8706" s="705">
        <f t="shared" si="272"/>
        <v>7.8888888888888902</v>
      </c>
    </row>
    <row r="8707" spans="2:5">
      <c r="B8707" s="943">
        <v>45281</v>
      </c>
      <c r="C8707" s="195">
        <f t="shared" si="271"/>
        <v>12</v>
      </c>
      <c r="D8707" s="195">
        <v>46.6</v>
      </c>
      <c r="E8707" s="705">
        <f t="shared" si="272"/>
        <v>8.1111111111111125</v>
      </c>
    </row>
    <row r="8708" spans="2:5">
      <c r="B8708" s="943">
        <v>45281</v>
      </c>
      <c r="C8708" s="195">
        <f t="shared" si="271"/>
        <v>12</v>
      </c>
      <c r="D8708" s="195">
        <v>46.8</v>
      </c>
      <c r="E8708" s="705">
        <f t="shared" si="272"/>
        <v>8.2222222222222197</v>
      </c>
    </row>
    <row r="8709" spans="2:5">
      <c r="B8709" s="943">
        <v>45281</v>
      </c>
      <c r="C8709" s="195">
        <f t="shared" si="271"/>
        <v>12</v>
      </c>
      <c r="D8709" s="195">
        <v>46.9</v>
      </c>
      <c r="E8709" s="705">
        <f t="shared" si="272"/>
        <v>8.2777777777777768</v>
      </c>
    </row>
    <row r="8710" spans="2:5">
      <c r="B8710" s="943">
        <v>45281</v>
      </c>
      <c r="C8710" s="195">
        <f t="shared" si="271"/>
        <v>12</v>
      </c>
      <c r="D8710" s="195">
        <v>45.5</v>
      </c>
      <c r="E8710" s="705">
        <f t="shared" si="272"/>
        <v>7.5</v>
      </c>
    </row>
    <row r="8711" spans="2:5">
      <c r="B8711" s="943">
        <v>45281</v>
      </c>
      <c r="C8711" s="195">
        <f t="shared" si="271"/>
        <v>12</v>
      </c>
      <c r="D8711" s="195">
        <v>46.2</v>
      </c>
      <c r="E8711" s="705">
        <f t="shared" si="272"/>
        <v>7.8888888888888902</v>
      </c>
    </row>
    <row r="8712" spans="2:5">
      <c r="B8712" s="943">
        <v>45281</v>
      </c>
      <c r="C8712" s="195">
        <f t="shared" si="271"/>
        <v>12</v>
      </c>
      <c r="D8712" s="195">
        <v>45.9</v>
      </c>
      <c r="E8712" s="705">
        <f t="shared" si="272"/>
        <v>7.7222222222222214</v>
      </c>
    </row>
    <row r="8713" spans="2:5">
      <c r="B8713" s="943">
        <v>45281</v>
      </c>
      <c r="C8713" s="195">
        <f t="shared" si="271"/>
        <v>12</v>
      </c>
      <c r="D8713" s="195">
        <v>44.8</v>
      </c>
      <c r="E8713" s="705">
        <f t="shared" si="272"/>
        <v>7.1111111111111089</v>
      </c>
    </row>
    <row r="8714" spans="2:5">
      <c r="B8714" s="943">
        <v>45281</v>
      </c>
      <c r="C8714" s="195">
        <f t="shared" ref="C8714:C8777" si="273">MONTH(B8714)</f>
        <v>12</v>
      </c>
      <c r="D8714" s="195">
        <v>43.9</v>
      </c>
      <c r="E8714" s="705">
        <f t="shared" ref="E8714:E8777" si="274">CONVERT(D8714,"F","C")</f>
        <v>6.6111111111111098</v>
      </c>
    </row>
    <row r="8715" spans="2:5">
      <c r="B8715" s="943">
        <v>45281</v>
      </c>
      <c r="C8715" s="195">
        <f t="shared" si="273"/>
        <v>12</v>
      </c>
      <c r="D8715" s="195">
        <v>43.3</v>
      </c>
      <c r="E8715" s="705">
        <f t="shared" si="274"/>
        <v>6.2777777777777759</v>
      </c>
    </row>
    <row r="8716" spans="2:5">
      <c r="B8716" s="943">
        <v>45281</v>
      </c>
      <c r="C8716" s="195">
        <f t="shared" si="273"/>
        <v>12</v>
      </c>
      <c r="D8716" s="195" t="s">
        <v>1430</v>
      </c>
      <c r="E8716" s="705">
        <f t="shared" si="274"/>
        <v>6.1111111111111107</v>
      </c>
    </row>
    <row r="8717" spans="2:5">
      <c r="B8717" s="943">
        <v>45281</v>
      </c>
      <c r="C8717" s="195">
        <f t="shared" si="273"/>
        <v>12</v>
      </c>
      <c r="D8717" s="195" t="s">
        <v>1430</v>
      </c>
      <c r="E8717" s="705">
        <f t="shared" si="274"/>
        <v>6.1111111111111107</v>
      </c>
    </row>
    <row r="8718" spans="2:5">
      <c r="B8718" s="943">
        <v>45281</v>
      </c>
      <c r="C8718" s="195">
        <f t="shared" si="273"/>
        <v>12</v>
      </c>
      <c r="D8718" s="195">
        <v>44.8</v>
      </c>
      <c r="E8718" s="705">
        <f t="shared" si="274"/>
        <v>7.1111111111111089</v>
      </c>
    </row>
    <row r="8719" spans="2:5">
      <c r="B8719" s="943">
        <v>45281</v>
      </c>
      <c r="C8719" s="195">
        <f t="shared" si="273"/>
        <v>12</v>
      </c>
      <c r="D8719" s="195" t="s">
        <v>1434</v>
      </c>
      <c r="E8719" s="705">
        <f t="shared" si="274"/>
        <v>7.7777777777777777</v>
      </c>
    </row>
    <row r="8720" spans="2:5">
      <c r="B8720" s="943">
        <v>45281</v>
      </c>
      <c r="C8720" s="195">
        <f t="shared" si="273"/>
        <v>12</v>
      </c>
      <c r="D8720" s="195">
        <v>46.4</v>
      </c>
      <c r="E8720" s="705">
        <f t="shared" si="274"/>
        <v>7.9999999999999991</v>
      </c>
    </row>
    <row r="8721" spans="2:5">
      <c r="B8721" s="943">
        <v>45282</v>
      </c>
      <c r="C8721" s="195">
        <f t="shared" si="273"/>
        <v>12</v>
      </c>
      <c r="D8721" s="195">
        <v>46.4</v>
      </c>
      <c r="E8721" s="705">
        <f t="shared" si="274"/>
        <v>7.9999999999999991</v>
      </c>
    </row>
    <row r="8722" spans="2:5">
      <c r="B8722" s="943">
        <v>45282</v>
      </c>
      <c r="C8722" s="195">
        <f t="shared" si="273"/>
        <v>12</v>
      </c>
      <c r="D8722" s="195">
        <v>46.8</v>
      </c>
      <c r="E8722" s="705">
        <f t="shared" si="274"/>
        <v>8.2222222222222197</v>
      </c>
    </row>
    <row r="8723" spans="2:5">
      <c r="B8723" s="943">
        <v>45282</v>
      </c>
      <c r="C8723" s="195">
        <f t="shared" si="273"/>
        <v>12</v>
      </c>
      <c r="D8723" s="195" t="s">
        <v>1434</v>
      </c>
      <c r="E8723" s="705">
        <f t="shared" si="274"/>
        <v>7.7777777777777777</v>
      </c>
    </row>
    <row r="8724" spans="2:5">
      <c r="B8724" s="943">
        <v>45282</v>
      </c>
      <c r="C8724" s="195">
        <f t="shared" si="273"/>
        <v>12</v>
      </c>
      <c r="D8724" s="195" t="s">
        <v>1434</v>
      </c>
      <c r="E8724" s="705">
        <f t="shared" si="274"/>
        <v>7.7777777777777777</v>
      </c>
    </row>
    <row r="8725" spans="2:5">
      <c r="B8725" s="943">
        <v>45282</v>
      </c>
      <c r="C8725" s="195">
        <f t="shared" si="273"/>
        <v>12</v>
      </c>
      <c r="D8725" s="195" t="s">
        <v>1425</v>
      </c>
      <c r="E8725" s="705">
        <f t="shared" si="274"/>
        <v>7.2222222222222223</v>
      </c>
    </row>
    <row r="8726" spans="2:5">
      <c r="B8726" s="943">
        <v>45282</v>
      </c>
      <c r="C8726" s="195">
        <f t="shared" si="273"/>
        <v>12</v>
      </c>
      <c r="D8726" s="195">
        <v>43.7</v>
      </c>
      <c r="E8726" s="705">
        <f t="shared" si="274"/>
        <v>6.5000000000000018</v>
      </c>
    </row>
    <row r="8727" spans="2:5">
      <c r="B8727" s="943">
        <v>45282</v>
      </c>
      <c r="C8727" s="195">
        <f t="shared" si="273"/>
        <v>12</v>
      </c>
      <c r="D8727" s="195" t="s">
        <v>1430</v>
      </c>
      <c r="E8727" s="705">
        <f t="shared" si="274"/>
        <v>6.1111111111111107</v>
      </c>
    </row>
    <row r="8728" spans="2:5">
      <c r="B8728" s="943">
        <v>45282</v>
      </c>
      <c r="C8728" s="195">
        <f t="shared" si="273"/>
        <v>12</v>
      </c>
      <c r="D8728" s="195">
        <v>42.4</v>
      </c>
      <c r="E8728" s="705">
        <f t="shared" si="274"/>
        <v>5.7777777777777768</v>
      </c>
    </row>
    <row r="8729" spans="2:5">
      <c r="B8729" s="943">
        <v>45282</v>
      </c>
      <c r="C8729" s="195">
        <f t="shared" si="273"/>
        <v>12</v>
      </c>
      <c r="D8729" s="195">
        <v>42.3</v>
      </c>
      <c r="E8729" s="705">
        <f t="shared" si="274"/>
        <v>5.7222222222222205</v>
      </c>
    </row>
    <row r="8730" spans="2:5">
      <c r="B8730" s="943">
        <v>45282</v>
      </c>
      <c r="C8730" s="195">
        <f t="shared" si="273"/>
        <v>12</v>
      </c>
      <c r="D8730" s="195">
        <v>43.3</v>
      </c>
      <c r="E8730" s="705">
        <f t="shared" si="274"/>
        <v>6.2777777777777759</v>
      </c>
    </row>
    <row r="8731" spans="2:5">
      <c r="B8731" s="943">
        <v>45282</v>
      </c>
      <c r="C8731" s="195">
        <f t="shared" si="273"/>
        <v>12</v>
      </c>
      <c r="D8731" s="195">
        <v>45.3</v>
      </c>
      <c r="E8731" s="705">
        <f t="shared" si="274"/>
        <v>7.3888888888888875</v>
      </c>
    </row>
    <row r="8732" spans="2:5">
      <c r="B8732" s="943">
        <v>45282</v>
      </c>
      <c r="C8732" s="195">
        <f t="shared" si="273"/>
        <v>12</v>
      </c>
      <c r="D8732" s="195">
        <v>45.7</v>
      </c>
      <c r="E8732" s="705">
        <f t="shared" si="274"/>
        <v>7.6111111111111125</v>
      </c>
    </row>
    <row r="8733" spans="2:5">
      <c r="B8733" s="943">
        <v>45282</v>
      </c>
      <c r="C8733" s="195">
        <f t="shared" si="273"/>
        <v>12</v>
      </c>
      <c r="D8733" s="195">
        <v>45.7</v>
      </c>
      <c r="E8733" s="705">
        <f t="shared" si="274"/>
        <v>7.6111111111111125</v>
      </c>
    </row>
    <row r="8734" spans="2:5">
      <c r="B8734" s="943">
        <v>45282</v>
      </c>
      <c r="C8734" s="195">
        <f t="shared" si="273"/>
        <v>12</v>
      </c>
      <c r="D8734" s="195">
        <v>45.7</v>
      </c>
      <c r="E8734" s="705">
        <f t="shared" si="274"/>
        <v>7.6111111111111125</v>
      </c>
    </row>
    <row r="8735" spans="2:5">
      <c r="B8735" s="943">
        <v>45282</v>
      </c>
      <c r="C8735" s="195">
        <f t="shared" si="273"/>
        <v>12</v>
      </c>
      <c r="D8735" s="195">
        <v>45.1</v>
      </c>
      <c r="E8735" s="705">
        <f t="shared" si="274"/>
        <v>7.2777777777777786</v>
      </c>
    </row>
    <row r="8736" spans="2:5">
      <c r="B8736" s="943">
        <v>45282</v>
      </c>
      <c r="C8736" s="195">
        <f t="shared" si="273"/>
        <v>12</v>
      </c>
      <c r="D8736" s="195">
        <v>45.7</v>
      </c>
      <c r="E8736" s="705">
        <f t="shared" si="274"/>
        <v>7.6111111111111125</v>
      </c>
    </row>
    <row r="8737" spans="2:5">
      <c r="B8737" s="943">
        <v>45282</v>
      </c>
      <c r="C8737" s="195">
        <f t="shared" si="273"/>
        <v>12</v>
      </c>
      <c r="D8737" s="195">
        <v>45.1</v>
      </c>
      <c r="E8737" s="705">
        <f t="shared" si="274"/>
        <v>7.2777777777777786</v>
      </c>
    </row>
    <row r="8738" spans="2:5">
      <c r="B8738" s="943">
        <v>45282</v>
      </c>
      <c r="C8738" s="195">
        <f t="shared" si="273"/>
        <v>12</v>
      </c>
      <c r="D8738" s="195">
        <v>44.1</v>
      </c>
      <c r="E8738" s="705">
        <f t="shared" si="274"/>
        <v>6.7222222222222232</v>
      </c>
    </row>
    <row r="8739" spans="2:5">
      <c r="B8739" s="943">
        <v>45282</v>
      </c>
      <c r="C8739" s="195">
        <f t="shared" si="273"/>
        <v>12</v>
      </c>
      <c r="D8739" s="195" t="s">
        <v>1430</v>
      </c>
      <c r="E8739" s="705">
        <f t="shared" si="274"/>
        <v>6.1111111111111107</v>
      </c>
    </row>
    <row r="8740" spans="2:5">
      <c r="B8740" s="943">
        <v>45282</v>
      </c>
      <c r="C8740" s="195">
        <f t="shared" si="273"/>
        <v>12</v>
      </c>
      <c r="D8740" s="195">
        <v>42.3</v>
      </c>
      <c r="E8740" s="705">
        <f t="shared" si="274"/>
        <v>5.7222222222222205</v>
      </c>
    </row>
    <row r="8741" spans="2:5">
      <c r="B8741" s="943">
        <v>45282</v>
      </c>
      <c r="C8741" s="195">
        <f t="shared" si="273"/>
        <v>12</v>
      </c>
      <c r="D8741" s="195">
        <v>41.9</v>
      </c>
      <c r="E8741" s="705">
        <f t="shared" si="274"/>
        <v>5.4999999999999991</v>
      </c>
    </row>
    <row r="8742" spans="2:5">
      <c r="B8742" s="943">
        <v>45282</v>
      </c>
      <c r="C8742" s="195">
        <f t="shared" si="273"/>
        <v>12</v>
      </c>
      <c r="D8742" s="195">
        <v>41.7</v>
      </c>
      <c r="E8742" s="705">
        <f t="shared" si="274"/>
        <v>5.3888888888888902</v>
      </c>
    </row>
    <row r="8743" spans="2:5">
      <c r="B8743" s="943">
        <v>45282</v>
      </c>
      <c r="C8743" s="195">
        <f t="shared" si="273"/>
        <v>12</v>
      </c>
      <c r="D8743" s="195">
        <v>43.9</v>
      </c>
      <c r="E8743" s="705">
        <f t="shared" si="274"/>
        <v>6.6111111111111098</v>
      </c>
    </row>
    <row r="8744" spans="2:5">
      <c r="B8744" s="943">
        <v>45282</v>
      </c>
      <c r="C8744" s="195">
        <f t="shared" si="273"/>
        <v>12</v>
      </c>
      <c r="D8744" s="195">
        <v>44.8</v>
      </c>
      <c r="E8744" s="705">
        <f t="shared" si="274"/>
        <v>7.1111111111111089</v>
      </c>
    </row>
    <row r="8745" spans="2:5">
      <c r="B8745" s="943">
        <v>45283</v>
      </c>
      <c r="C8745" s="195">
        <f t="shared" si="273"/>
        <v>12</v>
      </c>
      <c r="D8745" s="195" t="s">
        <v>1425</v>
      </c>
      <c r="E8745" s="705">
        <f t="shared" si="274"/>
        <v>7.2222222222222223</v>
      </c>
    </row>
    <row r="8746" spans="2:5">
      <c r="B8746" s="943">
        <v>45283</v>
      </c>
      <c r="C8746" s="195">
        <f t="shared" si="273"/>
        <v>12</v>
      </c>
      <c r="D8746" s="195">
        <v>44.8</v>
      </c>
      <c r="E8746" s="705">
        <f t="shared" si="274"/>
        <v>7.1111111111111089</v>
      </c>
    </row>
    <row r="8747" spans="2:5">
      <c r="B8747" s="943">
        <v>45283</v>
      </c>
      <c r="C8747" s="195">
        <f t="shared" si="273"/>
        <v>12</v>
      </c>
      <c r="D8747" s="195">
        <v>45.1</v>
      </c>
      <c r="E8747" s="705">
        <f t="shared" si="274"/>
        <v>7.2777777777777786</v>
      </c>
    </row>
    <row r="8748" spans="2:5">
      <c r="B8748" s="943">
        <v>45283</v>
      </c>
      <c r="C8748" s="195">
        <f t="shared" si="273"/>
        <v>12</v>
      </c>
      <c r="D8748" s="195">
        <v>44.8</v>
      </c>
      <c r="E8748" s="705">
        <f t="shared" si="274"/>
        <v>7.1111111111111089</v>
      </c>
    </row>
    <row r="8749" spans="2:5">
      <c r="B8749" s="943">
        <v>45283</v>
      </c>
      <c r="C8749" s="195">
        <f t="shared" si="273"/>
        <v>12</v>
      </c>
      <c r="D8749" s="195">
        <v>44.6</v>
      </c>
      <c r="E8749" s="705">
        <f t="shared" si="274"/>
        <v>7.0000000000000009</v>
      </c>
    </row>
    <row r="8750" spans="2:5">
      <c r="B8750" s="943">
        <v>45283</v>
      </c>
      <c r="C8750" s="195">
        <f t="shared" si="273"/>
        <v>12</v>
      </c>
      <c r="D8750" s="195">
        <v>43.9</v>
      </c>
      <c r="E8750" s="705">
        <f t="shared" si="274"/>
        <v>6.6111111111111098</v>
      </c>
    </row>
    <row r="8751" spans="2:5">
      <c r="B8751" s="943">
        <v>45283</v>
      </c>
      <c r="C8751" s="195">
        <f t="shared" si="273"/>
        <v>12</v>
      </c>
      <c r="D8751" s="195" t="s">
        <v>1430</v>
      </c>
      <c r="E8751" s="705">
        <f t="shared" si="274"/>
        <v>6.1111111111111107</v>
      </c>
    </row>
    <row r="8752" spans="2:5">
      <c r="B8752" s="943">
        <v>45283</v>
      </c>
      <c r="C8752" s="195">
        <f t="shared" si="273"/>
        <v>12</v>
      </c>
      <c r="D8752" s="195">
        <v>42.1</v>
      </c>
      <c r="E8752" s="705">
        <f t="shared" si="274"/>
        <v>5.6111111111111116</v>
      </c>
    </row>
    <row r="8753" spans="2:5">
      <c r="B8753" s="943">
        <v>45283</v>
      </c>
      <c r="C8753" s="195">
        <f t="shared" si="273"/>
        <v>12</v>
      </c>
      <c r="D8753" s="195">
        <v>41.5</v>
      </c>
      <c r="E8753" s="705">
        <f t="shared" si="274"/>
        <v>5.2777777777777777</v>
      </c>
    </row>
    <row r="8754" spans="2:5">
      <c r="B8754" s="943">
        <v>45283</v>
      </c>
      <c r="C8754" s="195">
        <f t="shared" si="273"/>
        <v>12</v>
      </c>
      <c r="D8754" s="195">
        <v>41.4</v>
      </c>
      <c r="E8754" s="705">
        <f t="shared" si="274"/>
        <v>5.2222222222222214</v>
      </c>
    </row>
    <row r="8755" spans="2:5">
      <c r="B8755" s="943">
        <v>45283</v>
      </c>
      <c r="C8755" s="195">
        <f t="shared" si="273"/>
        <v>12</v>
      </c>
      <c r="D8755" s="195">
        <v>42.6</v>
      </c>
      <c r="E8755" s="705">
        <f t="shared" si="274"/>
        <v>5.8888888888888893</v>
      </c>
    </row>
    <row r="8756" spans="2:5">
      <c r="B8756" s="943">
        <v>45283</v>
      </c>
      <c r="C8756" s="195">
        <f t="shared" si="273"/>
        <v>12</v>
      </c>
      <c r="D8756" s="195">
        <v>43.7</v>
      </c>
      <c r="E8756" s="705">
        <f t="shared" si="274"/>
        <v>6.5000000000000018</v>
      </c>
    </row>
    <row r="8757" spans="2:5">
      <c r="B8757" s="943">
        <v>45283</v>
      </c>
      <c r="C8757" s="195">
        <f t="shared" si="273"/>
        <v>12</v>
      </c>
      <c r="D8757" s="195">
        <v>44.1</v>
      </c>
      <c r="E8757" s="705">
        <f t="shared" si="274"/>
        <v>6.7222222222222232</v>
      </c>
    </row>
    <row r="8758" spans="2:5">
      <c r="B8758" s="943">
        <v>45283</v>
      </c>
      <c r="C8758" s="195">
        <f t="shared" si="273"/>
        <v>12</v>
      </c>
      <c r="D8758" s="195">
        <v>44.1</v>
      </c>
      <c r="E8758" s="705">
        <f t="shared" si="274"/>
        <v>6.7222222222222232</v>
      </c>
    </row>
    <row r="8759" spans="2:5">
      <c r="B8759" s="943">
        <v>45283</v>
      </c>
      <c r="C8759" s="195">
        <f t="shared" si="273"/>
        <v>12</v>
      </c>
      <c r="D8759" s="195">
        <v>43.9</v>
      </c>
      <c r="E8759" s="705">
        <f t="shared" si="274"/>
        <v>6.6111111111111098</v>
      </c>
    </row>
    <row r="8760" spans="2:5">
      <c r="B8760" s="943">
        <v>45283</v>
      </c>
      <c r="C8760" s="195">
        <f t="shared" si="273"/>
        <v>12</v>
      </c>
      <c r="D8760" s="195">
        <v>43.9</v>
      </c>
      <c r="E8760" s="705">
        <f t="shared" si="274"/>
        <v>6.6111111111111098</v>
      </c>
    </row>
    <row r="8761" spans="2:5">
      <c r="B8761" s="943">
        <v>45283</v>
      </c>
      <c r="C8761" s="195">
        <f t="shared" si="273"/>
        <v>12</v>
      </c>
      <c r="D8761" s="195">
        <v>43.9</v>
      </c>
      <c r="E8761" s="705">
        <f t="shared" si="274"/>
        <v>6.6111111111111098</v>
      </c>
    </row>
    <row r="8762" spans="2:5">
      <c r="B8762" s="943">
        <v>45283</v>
      </c>
      <c r="C8762" s="195">
        <f t="shared" si="273"/>
        <v>12</v>
      </c>
      <c r="D8762" s="195">
        <v>43.7</v>
      </c>
      <c r="E8762" s="705">
        <f t="shared" si="274"/>
        <v>6.5000000000000018</v>
      </c>
    </row>
    <row r="8763" spans="2:5">
      <c r="B8763" s="943">
        <v>45283</v>
      </c>
      <c r="C8763" s="195">
        <f t="shared" si="273"/>
        <v>12</v>
      </c>
      <c r="D8763" s="195" t="s">
        <v>1430</v>
      </c>
      <c r="E8763" s="705">
        <f t="shared" si="274"/>
        <v>6.1111111111111107</v>
      </c>
    </row>
    <row r="8764" spans="2:5">
      <c r="B8764" s="943">
        <v>45283</v>
      </c>
      <c r="C8764" s="195">
        <f t="shared" si="273"/>
        <v>12</v>
      </c>
      <c r="D8764" s="195">
        <v>42.1</v>
      </c>
      <c r="E8764" s="705">
        <f t="shared" si="274"/>
        <v>5.6111111111111116</v>
      </c>
    </row>
    <row r="8765" spans="2:5">
      <c r="B8765" s="943">
        <v>45283</v>
      </c>
      <c r="C8765" s="195">
        <f t="shared" si="273"/>
        <v>12</v>
      </c>
      <c r="D8765" s="195">
        <v>41.5</v>
      </c>
      <c r="E8765" s="705">
        <f t="shared" si="274"/>
        <v>5.2777777777777777</v>
      </c>
    </row>
    <row r="8766" spans="2:5">
      <c r="B8766" s="943">
        <v>45283</v>
      </c>
      <c r="C8766" s="195">
        <f t="shared" si="273"/>
        <v>12</v>
      </c>
      <c r="D8766" s="195" t="s">
        <v>1429</v>
      </c>
      <c r="E8766" s="705">
        <f t="shared" si="274"/>
        <v>5</v>
      </c>
    </row>
    <row r="8767" spans="2:5">
      <c r="B8767" s="943">
        <v>45283</v>
      </c>
      <c r="C8767" s="195">
        <f t="shared" si="273"/>
        <v>12</v>
      </c>
      <c r="D8767" s="195" t="s">
        <v>1429</v>
      </c>
      <c r="E8767" s="705">
        <f t="shared" si="274"/>
        <v>5</v>
      </c>
    </row>
    <row r="8768" spans="2:5">
      <c r="B8768" s="943">
        <v>45283</v>
      </c>
      <c r="C8768" s="195">
        <f t="shared" si="273"/>
        <v>12</v>
      </c>
      <c r="D8768" s="195">
        <v>42.4</v>
      </c>
      <c r="E8768" s="705">
        <f t="shared" si="274"/>
        <v>5.7777777777777768</v>
      </c>
    </row>
    <row r="8769" spans="2:5">
      <c r="B8769" s="943">
        <v>45284</v>
      </c>
      <c r="C8769" s="195">
        <f t="shared" si="273"/>
        <v>12</v>
      </c>
      <c r="D8769" s="195">
        <v>43.2</v>
      </c>
      <c r="E8769" s="705">
        <f t="shared" si="274"/>
        <v>6.2222222222222232</v>
      </c>
    </row>
    <row r="8770" spans="2:5">
      <c r="B8770" s="943">
        <v>45284</v>
      </c>
      <c r="C8770" s="195">
        <f t="shared" si="273"/>
        <v>12</v>
      </c>
      <c r="D8770" s="195">
        <v>43.5</v>
      </c>
      <c r="E8770" s="705">
        <f t="shared" si="274"/>
        <v>6.3888888888888884</v>
      </c>
    </row>
    <row r="8771" spans="2:5">
      <c r="B8771" s="943">
        <v>45284</v>
      </c>
      <c r="C8771" s="195">
        <f t="shared" si="273"/>
        <v>12</v>
      </c>
      <c r="D8771" s="195">
        <v>43.5</v>
      </c>
      <c r="E8771" s="705">
        <f t="shared" si="274"/>
        <v>6.3888888888888884</v>
      </c>
    </row>
    <row r="8772" spans="2:5">
      <c r="B8772" s="943">
        <v>45284</v>
      </c>
      <c r="C8772" s="195">
        <f t="shared" si="273"/>
        <v>12</v>
      </c>
      <c r="D8772" s="195">
        <v>43.7</v>
      </c>
      <c r="E8772" s="705">
        <f t="shared" si="274"/>
        <v>6.5000000000000018</v>
      </c>
    </row>
    <row r="8773" spans="2:5">
      <c r="B8773" s="943">
        <v>45284</v>
      </c>
      <c r="C8773" s="195">
        <f t="shared" si="273"/>
        <v>12</v>
      </c>
      <c r="D8773" s="195">
        <v>43.7</v>
      </c>
      <c r="E8773" s="705">
        <f t="shared" si="274"/>
        <v>6.5000000000000018</v>
      </c>
    </row>
    <row r="8774" spans="2:5">
      <c r="B8774" s="943">
        <v>45284</v>
      </c>
      <c r="C8774" s="195">
        <f t="shared" si="273"/>
        <v>12</v>
      </c>
      <c r="D8774" s="195">
        <v>43.5</v>
      </c>
      <c r="E8774" s="705">
        <f t="shared" si="274"/>
        <v>6.3888888888888884</v>
      </c>
    </row>
    <row r="8775" spans="2:5">
      <c r="B8775" s="943">
        <v>45284</v>
      </c>
      <c r="C8775" s="195">
        <f t="shared" si="273"/>
        <v>12</v>
      </c>
      <c r="D8775" s="195" t="s">
        <v>1430</v>
      </c>
      <c r="E8775" s="705">
        <f t="shared" si="274"/>
        <v>6.1111111111111107</v>
      </c>
    </row>
    <row r="8776" spans="2:5">
      <c r="B8776" s="943">
        <v>45284</v>
      </c>
      <c r="C8776" s="195">
        <f t="shared" si="273"/>
        <v>12</v>
      </c>
      <c r="D8776" s="195">
        <v>42.1</v>
      </c>
      <c r="E8776" s="705">
        <f t="shared" si="274"/>
        <v>5.6111111111111116</v>
      </c>
    </row>
    <row r="8777" spans="2:5">
      <c r="B8777" s="943">
        <v>45284</v>
      </c>
      <c r="C8777" s="195">
        <f t="shared" si="273"/>
        <v>12</v>
      </c>
      <c r="D8777" s="195">
        <v>41.4</v>
      </c>
      <c r="E8777" s="705">
        <f t="shared" si="274"/>
        <v>5.2222222222222214</v>
      </c>
    </row>
    <row r="8778" spans="2:5">
      <c r="B8778" s="943">
        <v>45284</v>
      </c>
      <c r="C8778" s="195">
        <f t="shared" ref="C8778:C8841" si="275">MONTH(B8778)</f>
        <v>12</v>
      </c>
      <c r="D8778" s="195" t="s">
        <v>1429</v>
      </c>
      <c r="E8778" s="705">
        <f t="shared" ref="E8778:E8841" si="276">CONVERT(D8778,"F","C")</f>
        <v>5</v>
      </c>
    </row>
    <row r="8779" spans="2:5">
      <c r="B8779" s="943">
        <v>45284</v>
      </c>
      <c r="C8779" s="195">
        <f t="shared" si="275"/>
        <v>12</v>
      </c>
      <c r="D8779" s="195" t="s">
        <v>1429</v>
      </c>
      <c r="E8779" s="705">
        <f t="shared" si="276"/>
        <v>5</v>
      </c>
    </row>
    <row r="8780" spans="2:5">
      <c r="B8780" s="943">
        <v>45284</v>
      </c>
      <c r="C8780" s="195">
        <f t="shared" si="275"/>
        <v>12</v>
      </c>
      <c r="D8780" s="195">
        <v>41.9</v>
      </c>
      <c r="E8780" s="705">
        <f t="shared" si="276"/>
        <v>5.4999999999999991</v>
      </c>
    </row>
    <row r="8781" spans="2:5">
      <c r="B8781" s="943">
        <v>45284</v>
      </c>
      <c r="C8781" s="195">
        <f t="shared" si="275"/>
        <v>12</v>
      </c>
      <c r="D8781" s="195">
        <v>42.8</v>
      </c>
      <c r="E8781" s="705">
        <f t="shared" si="276"/>
        <v>5.9999999999999982</v>
      </c>
    </row>
    <row r="8782" spans="2:5">
      <c r="B8782" s="943">
        <v>45284</v>
      </c>
      <c r="C8782" s="195">
        <f t="shared" si="275"/>
        <v>12</v>
      </c>
      <c r="D8782" s="195">
        <v>43.5</v>
      </c>
      <c r="E8782" s="705">
        <f t="shared" si="276"/>
        <v>6.3888888888888884</v>
      </c>
    </row>
    <row r="8783" spans="2:5">
      <c r="B8783" s="943">
        <v>45284</v>
      </c>
      <c r="C8783" s="195">
        <f t="shared" si="275"/>
        <v>12</v>
      </c>
      <c r="D8783" s="195">
        <v>44.1</v>
      </c>
      <c r="E8783" s="705">
        <f t="shared" si="276"/>
        <v>6.7222222222222232</v>
      </c>
    </row>
    <row r="8784" spans="2:5">
      <c r="B8784" s="943">
        <v>45284</v>
      </c>
      <c r="C8784" s="195">
        <f t="shared" si="275"/>
        <v>12</v>
      </c>
      <c r="D8784" s="195">
        <v>44.2</v>
      </c>
      <c r="E8784" s="705">
        <f t="shared" si="276"/>
        <v>6.7777777777777795</v>
      </c>
    </row>
    <row r="8785" spans="2:5">
      <c r="B8785" s="943">
        <v>45284</v>
      </c>
      <c r="C8785" s="195">
        <f t="shared" si="275"/>
        <v>12</v>
      </c>
      <c r="D8785" s="195">
        <v>44.1</v>
      </c>
      <c r="E8785" s="705">
        <f t="shared" si="276"/>
        <v>6.7222222222222232</v>
      </c>
    </row>
    <row r="8786" spans="2:5">
      <c r="B8786" s="943">
        <v>45284</v>
      </c>
      <c r="C8786" s="195">
        <f t="shared" si="275"/>
        <v>12</v>
      </c>
      <c r="D8786" s="195">
        <v>44.2</v>
      </c>
      <c r="E8786" s="705">
        <f t="shared" si="276"/>
        <v>6.7777777777777795</v>
      </c>
    </row>
    <row r="8787" spans="2:5">
      <c r="B8787" s="943">
        <v>45284</v>
      </c>
      <c r="C8787" s="195">
        <f t="shared" si="275"/>
        <v>12</v>
      </c>
      <c r="D8787" s="195">
        <v>43.7</v>
      </c>
      <c r="E8787" s="705">
        <f t="shared" si="276"/>
        <v>6.5000000000000018</v>
      </c>
    </row>
    <row r="8788" spans="2:5">
      <c r="B8788" s="943">
        <v>45284</v>
      </c>
      <c r="C8788" s="195">
        <f t="shared" si="275"/>
        <v>12</v>
      </c>
      <c r="D8788" s="195">
        <v>42.6</v>
      </c>
      <c r="E8788" s="705">
        <f t="shared" si="276"/>
        <v>5.8888888888888893</v>
      </c>
    </row>
    <row r="8789" spans="2:5">
      <c r="B8789" s="943">
        <v>45284</v>
      </c>
      <c r="C8789" s="195">
        <f t="shared" si="275"/>
        <v>12</v>
      </c>
      <c r="D8789" s="195">
        <v>41.9</v>
      </c>
      <c r="E8789" s="705">
        <f t="shared" si="276"/>
        <v>5.4999999999999991</v>
      </c>
    </row>
    <row r="8790" spans="2:5">
      <c r="B8790" s="943">
        <v>45284</v>
      </c>
      <c r="C8790" s="195">
        <f t="shared" si="275"/>
        <v>12</v>
      </c>
      <c r="D8790" s="195">
        <v>41.2</v>
      </c>
      <c r="E8790" s="705">
        <f t="shared" si="276"/>
        <v>5.1111111111111125</v>
      </c>
    </row>
    <row r="8791" spans="2:5">
      <c r="B8791" s="943">
        <v>45284</v>
      </c>
      <c r="C8791" s="195">
        <f t="shared" si="275"/>
        <v>12</v>
      </c>
      <c r="D8791" s="195">
        <v>40.799999999999997</v>
      </c>
      <c r="E8791" s="705">
        <f t="shared" si="276"/>
        <v>4.8888888888888875</v>
      </c>
    </row>
    <row r="8792" spans="2:5">
      <c r="B8792" s="943">
        <v>45284</v>
      </c>
      <c r="C8792" s="195">
        <f t="shared" si="275"/>
        <v>12</v>
      </c>
      <c r="D8792" s="195" t="s">
        <v>1429</v>
      </c>
      <c r="E8792" s="705">
        <f t="shared" si="276"/>
        <v>5</v>
      </c>
    </row>
    <row r="8793" spans="2:5">
      <c r="B8793" s="943">
        <v>45285</v>
      </c>
      <c r="C8793" s="195">
        <f t="shared" si="275"/>
        <v>12</v>
      </c>
      <c r="D8793" s="195">
        <v>42.8</v>
      </c>
      <c r="E8793" s="705">
        <f t="shared" si="276"/>
        <v>5.9999999999999982</v>
      </c>
    </row>
    <row r="8794" spans="2:5">
      <c r="B8794" s="943">
        <v>45285</v>
      </c>
      <c r="C8794" s="195">
        <f t="shared" si="275"/>
        <v>12</v>
      </c>
      <c r="D8794" s="195">
        <v>43.5</v>
      </c>
      <c r="E8794" s="705">
        <f t="shared" si="276"/>
        <v>6.3888888888888884</v>
      </c>
    </row>
    <row r="8795" spans="2:5">
      <c r="B8795" s="943">
        <v>45285</v>
      </c>
      <c r="C8795" s="195">
        <f t="shared" si="275"/>
        <v>12</v>
      </c>
      <c r="D8795" s="195">
        <v>44.2</v>
      </c>
      <c r="E8795" s="705">
        <f t="shared" si="276"/>
        <v>6.7777777777777795</v>
      </c>
    </row>
    <row r="8796" spans="2:5">
      <c r="B8796" s="943">
        <v>45285</v>
      </c>
      <c r="C8796" s="195">
        <f t="shared" si="275"/>
        <v>12</v>
      </c>
      <c r="D8796" s="195">
        <v>44.4</v>
      </c>
      <c r="E8796" s="705">
        <f t="shared" si="276"/>
        <v>6.8888888888888875</v>
      </c>
    </row>
    <row r="8797" spans="2:5">
      <c r="B8797" s="943">
        <v>45285</v>
      </c>
      <c r="C8797" s="195">
        <f t="shared" si="275"/>
        <v>12</v>
      </c>
      <c r="D8797" s="195">
        <v>45.1</v>
      </c>
      <c r="E8797" s="705">
        <f t="shared" si="276"/>
        <v>7.2777777777777786</v>
      </c>
    </row>
    <row r="8798" spans="2:5">
      <c r="B8798" s="943">
        <v>45285</v>
      </c>
      <c r="C8798" s="195">
        <f t="shared" si="275"/>
        <v>12</v>
      </c>
      <c r="D8798" s="195">
        <v>44.4</v>
      </c>
      <c r="E8798" s="705">
        <f t="shared" si="276"/>
        <v>6.8888888888888875</v>
      </c>
    </row>
    <row r="8799" spans="2:5">
      <c r="B8799" s="943">
        <v>45285</v>
      </c>
      <c r="C8799" s="195">
        <f t="shared" si="275"/>
        <v>12</v>
      </c>
      <c r="D8799" s="195">
        <v>44.6</v>
      </c>
      <c r="E8799" s="705">
        <f t="shared" si="276"/>
        <v>7.0000000000000009</v>
      </c>
    </row>
    <row r="8800" spans="2:5">
      <c r="B8800" s="943">
        <v>45285</v>
      </c>
      <c r="C8800" s="195">
        <f t="shared" si="275"/>
        <v>12</v>
      </c>
      <c r="D8800" s="195">
        <v>43.5</v>
      </c>
      <c r="E8800" s="705">
        <f t="shared" si="276"/>
        <v>6.3888888888888884</v>
      </c>
    </row>
    <row r="8801" spans="2:5">
      <c r="B8801" s="943">
        <v>45285</v>
      </c>
      <c r="C8801" s="195">
        <f t="shared" si="275"/>
        <v>12</v>
      </c>
      <c r="D8801" s="195">
        <v>42.4</v>
      </c>
      <c r="E8801" s="705">
        <f t="shared" si="276"/>
        <v>5.7777777777777768</v>
      </c>
    </row>
    <row r="8802" spans="2:5">
      <c r="B8802" s="943">
        <v>45285</v>
      </c>
      <c r="C8802" s="195">
        <f t="shared" si="275"/>
        <v>12</v>
      </c>
      <c r="D8802" s="195">
        <v>41.7</v>
      </c>
      <c r="E8802" s="705">
        <f t="shared" si="276"/>
        <v>5.3888888888888902</v>
      </c>
    </row>
    <row r="8803" spans="2:5">
      <c r="B8803" s="943">
        <v>45285</v>
      </c>
      <c r="C8803" s="195">
        <f t="shared" si="275"/>
        <v>12</v>
      </c>
      <c r="D8803" s="195">
        <v>41.2</v>
      </c>
      <c r="E8803" s="705">
        <f t="shared" si="276"/>
        <v>5.1111111111111125</v>
      </c>
    </row>
    <row r="8804" spans="2:5">
      <c r="B8804" s="943">
        <v>45285</v>
      </c>
      <c r="C8804" s="195">
        <f t="shared" si="275"/>
        <v>12</v>
      </c>
      <c r="D8804" s="195">
        <v>41.5</v>
      </c>
      <c r="E8804" s="705">
        <f t="shared" si="276"/>
        <v>5.2777777777777777</v>
      </c>
    </row>
    <row r="8805" spans="2:5">
      <c r="B8805" s="943">
        <v>45285</v>
      </c>
      <c r="C8805" s="195">
        <f t="shared" si="275"/>
        <v>12</v>
      </c>
      <c r="D8805" s="195">
        <v>42.8</v>
      </c>
      <c r="E8805" s="705">
        <f t="shared" si="276"/>
        <v>5.9999999999999982</v>
      </c>
    </row>
    <row r="8806" spans="2:5">
      <c r="B8806" s="943">
        <v>45285</v>
      </c>
      <c r="C8806" s="195">
        <f t="shared" si="275"/>
        <v>12</v>
      </c>
      <c r="D8806" s="195">
        <v>43.7</v>
      </c>
      <c r="E8806" s="705">
        <f t="shared" si="276"/>
        <v>6.5000000000000018</v>
      </c>
    </row>
    <row r="8807" spans="2:5">
      <c r="B8807" s="943">
        <v>45285</v>
      </c>
      <c r="C8807" s="195">
        <f t="shared" si="275"/>
        <v>12</v>
      </c>
      <c r="D8807" s="195">
        <v>44.4</v>
      </c>
      <c r="E8807" s="705">
        <f t="shared" si="276"/>
        <v>6.8888888888888875</v>
      </c>
    </row>
    <row r="8808" spans="2:5">
      <c r="B8808" s="943">
        <v>45285</v>
      </c>
      <c r="C8808" s="195">
        <f t="shared" si="275"/>
        <v>12</v>
      </c>
      <c r="D8808" s="195" t="s">
        <v>1425</v>
      </c>
      <c r="E8808" s="705">
        <f t="shared" si="276"/>
        <v>7.2222222222222223</v>
      </c>
    </row>
    <row r="8809" spans="2:5">
      <c r="B8809" s="943">
        <v>45285</v>
      </c>
      <c r="C8809" s="195">
        <f t="shared" si="275"/>
        <v>12</v>
      </c>
      <c r="D8809" s="195" t="s">
        <v>1425</v>
      </c>
      <c r="E8809" s="705">
        <f t="shared" si="276"/>
        <v>7.2222222222222223</v>
      </c>
    </row>
    <row r="8810" spans="2:5">
      <c r="B8810" s="943">
        <v>45285</v>
      </c>
      <c r="C8810" s="195">
        <f t="shared" si="275"/>
        <v>12</v>
      </c>
      <c r="D8810" s="195">
        <v>44.8</v>
      </c>
      <c r="E8810" s="705">
        <f t="shared" si="276"/>
        <v>7.1111111111111089</v>
      </c>
    </row>
    <row r="8811" spans="2:5">
      <c r="B8811" s="943">
        <v>45285</v>
      </c>
      <c r="C8811" s="195">
        <f t="shared" si="275"/>
        <v>12</v>
      </c>
      <c r="D8811" s="195" t="s">
        <v>1425</v>
      </c>
      <c r="E8811" s="705">
        <f t="shared" si="276"/>
        <v>7.2222222222222223</v>
      </c>
    </row>
    <row r="8812" spans="2:5">
      <c r="B8812" s="943">
        <v>45285</v>
      </c>
      <c r="C8812" s="195">
        <f t="shared" si="275"/>
        <v>12</v>
      </c>
      <c r="D8812" s="195">
        <v>44.4</v>
      </c>
      <c r="E8812" s="705">
        <f t="shared" si="276"/>
        <v>6.8888888888888875</v>
      </c>
    </row>
    <row r="8813" spans="2:5">
      <c r="B8813" s="943">
        <v>45285</v>
      </c>
      <c r="C8813" s="195">
        <f t="shared" si="275"/>
        <v>12</v>
      </c>
      <c r="D8813" s="195">
        <v>43.3</v>
      </c>
      <c r="E8813" s="705">
        <f t="shared" si="276"/>
        <v>6.2777777777777759</v>
      </c>
    </row>
    <row r="8814" spans="2:5">
      <c r="B8814" s="943">
        <v>45285</v>
      </c>
      <c r="C8814" s="195">
        <f t="shared" si="275"/>
        <v>12</v>
      </c>
      <c r="D8814" s="195">
        <v>42.4</v>
      </c>
      <c r="E8814" s="705">
        <f t="shared" si="276"/>
        <v>5.7777777777777768</v>
      </c>
    </row>
    <row r="8815" spans="2:5">
      <c r="B8815" s="943">
        <v>45285</v>
      </c>
      <c r="C8815" s="195">
        <f t="shared" si="275"/>
        <v>12</v>
      </c>
      <c r="D8815" s="195">
        <v>41.9</v>
      </c>
      <c r="E8815" s="705">
        <f t="shared" si="276"/>
        <v>5.4999999999999991</v>
      </c>
    </row>
    <row r="8816" spans="2:5">
      <c r="B8816" s="943">
        <v>45285</v>
      </c>
      <c r="C8816" s="195">
        <f t="shared" si="275"/>
        <v>12</v>
      </c>
      <c r="D8816" s="195">
        <v>41.5</v>
      </c>
      <c r="E8816" s="705">
        <f t="shared" si="276"/>
        <v>5.2777777777777777</v>
      </c>
    </row>
    <row r="8817" spans="2:5">
      <c r="B8817" s="943">
        <v>45286</v>
      </c>
      <c r="C8817" s="195">
        <f t="shared" si="275"/>
        <v>12</v>
      </c>
      <c r="D8817" s="195">
        <v>41.5</v>
      </c>
      <c r="E8817" s="705">
        <f t="shared" si="276"/>
        <v>5.2777777777777777</v>
      </c>
    </row>
    <row r="8818" spans="2:5">
      <c r="B8818" s="943">
        <v>45286</v>
      </c>
      <c r="C8818" s="195">
        <f t="shared" si="275"/>
        <v>12</v>
      </c>
      <c r="D8818" s="195">
        <v>42.6</v>
      </c>
      <c r="E8818" s="705">
        <f t="shared" si="276"/>
        <v>5.8888888888888893</v>
      </c>
    </row>
    <row r="8819" spans="2:5">
      <c r="B8819" s="943">
        <v>45286</v>
      </c>
      <c r="C8819" s="195">
        <f t="shared" si="275"/>
        <v>12</v>
      </c>
      <c r="D8819" s="195">
        <v>43.5</v>
      </c>
      <c r="E8819" s="705">
        <f t="shared" si="276"/>
        <v>6.3888888888888884</v>
      </c>
    </row>
    <row r="8820" spans="2:5">
      <c r="B8820" s="943">
        <v>45286</v>
      </c>
      <c r="C8820" s="195">
        <f t="shared" si="275"/>
        <v>12</v>
      </c>
      <c r="D8820" s="195">
        <v>44.1</v>
      </c>
      <c r="E8820" s="705">
        <f t="shared" si="276"/>
        <v>6.7222222222222232</v>
      </c>
    </row>
    <row r="8821" spans="2:5">
      <c r="B8821" s="943">
        <v>45286</v>
      </c>
      <c r="C8821" s="195">
        <f t="shared" si="275"/>
        <v>12</v>
      </c>
      <c r="D8821" s="195">
        <v>44.2</v>
      </c>
      <c r="E8821" s="705">
        <f t="shared" si="276"/>
        <v>6.7777777777777795</v>
      </c>
    </row>
    <row r="8822" spans="2:5">
      <c r="B8822" s="943">
        <v>45286</v>
      </c>
      <c r="C8822" s="195">
        <f t="shared" si="275"/>
        <v>12</v>
      </c>
      <c r="D8822" s="195">
        <v>44.8</v>
      </c>
      <c r="E8822" s="705">
        <f t="shared" si="276"/>
        <v>7.1111111111111089</v>
      </c>
    </row>
    <row r="8823" spans="2:5">
      <c r="B8823" s="943">
        <v>45286</v>
      </c>
      <c r="C8823" s="195">
        <f t="shared" si="275"/>
        <v>12</v>
      </c>
      <c r="D8823" s="195">
        <v>44.2</v>
      </c>
      <c r="E8823" s="705">
        <f t="shared" si="276"/>
        <v>6.7777777777777795</v>
      </c>
    </row>
    <row r="8824" spans="2:5">
      <c r="B8824" s="943">
        <v>45286</v>
      </c>
      <c r="C8824" s="195">
        <f t="shared" si="275"/>
        <v>12</v>
      </c>
      <c r="D8824" s="195">
        <v>44.1</v>
      </c>
      <c r="E8824" s="705">
        <f t="shared" si="276"/>
        <v>6.7222222222222232</v>
      </c>
    </row>
    <row r="8825" spans="2:5">
      <c r="B8825" s="943">
        <v>45286</v>
      </c>
      <c r="C8825" s="195">
        <f t="shared" si="275"/>
        <v>12</v>
      </c>
      <c r="D8825" s="195">
        <v>43.5</v>
      </c>
      <c r="E8825" s="705">
        <f t="shared" si="276"/>
        <v>6.3888888888888884</v>
      </c>
    </row>
    <row r="8826" spans="2:5">
      <c r="B8826" s="943">
        <v>45286</v>
      </c>
      <c r="C8826" s="195">
        <f t="shared" si="275"/>
        <v>12</v>
      </c>
      <c r="D8826" s="195">
        <v>42.6</v>
      </c>
      <c r="E8826" s="705">
        <f t="shared" si="276"/>
        <v>5.8888888888888893</v>
      </c>
    </row>
    <row r="8827" spans="2:5">
      <c r="B8827" s="943">
        <v>45286</v>
      </c>
      <c r="C8827" s="195">
        <f t="shared" si="275"/>
        <v>12</v>
      </c>
      <c r="D8827" s="195">
        <v>41.9</v>
      </c>
      <c r="E8827" s="705">
        <f t="shared" si="276"/>
        <v>5.4999999999999991</v>
      </c>
    </row>
    <row r="8828" spans="2:5">
      <c r="B8828" s="943">
        <v>45286</v>
      </c>
      <c r="C8828" s="195">
        <f t="shared" si="275"/>
        <v>12</v>
      </c>
      <c r="D8828" s="195">
        <v>41.7</v>
      </c>
      <c r="E8828" s="705">
        <f t="shared" si="276"/>
        <v>5.3888888888888902</v>
      </c>
    </row>
    <row r="8829" spans="2:5">
      <c r="B8829" s="943">
        <v>45286</v>
      </c>
      <c r="C8829" s="195">
        <f t="shared" si="275"/>
        <v>12</v>
      </c>
      <c r="D8829" s="195">
        <v>42.1</v>
      </c>
      <c r="E8829" s="705">
        <f t="shared" si="276"/>
        <v>5.6111111111111116</v>
      </c>
    </row>
    <row r="8830" spans="2:5">
      <c r="B8830" s="943">
        <v>45286</v>
      </c>
      <c r="C8830" s="195">
        <f t="shared" si="275"/>
        <v>12</v>
      </c>
      <c r="D8830" s="195">
        <v>43.2</v>
      </c>
      <c r="E8830" s="705">
        <f t="shared" si="276"/>
        <v>6.2222222222222232</v>
      </c>
    </row>
    <row r="8831" spans="2:5">
      <c r="B8831" s="943">
        <v>45286</v>
      </c>
      <c r="C8831" s="195">
        <f t="shared" si="275"/>
        <v>12</v>
      </c>
      <c r="D8831" s="195">
        <v>43.5</v>
      </c>
      <c r="E8831" s="705">
        <f t="shared" si="276"/>
        <v>6.3888888888888884</v>
      </c>
    </row>
    <row r="8832" spans="2:5">
      <c r="B8832" s="943">
        <v>45286</v>
      </c>
      <c r="C8832" s="195">
        <f t="shared" si="275"/>
        <v>12</v>
      </c>
      <c r="D8832" s="195">
        <v>44.2</v>
      </c>
      <c r="E8832" s="705">
        <f t="shared" si="276"/>
        <v>6.7777777777777795</v>
      </c>
    </row>
    <row r="8833" spans="2:5">
      <c r="B8833" s="943">
        <v>45286</v>
      </c>
      <c r="C8833" s="195">
        <f t="shared" si="275"/>
        <v>12</v>
      </c>
      <c r="D8833" s="195">
        <v>44.4</v>
      </c>
      <c r="E8833" s="705">
        <f t="shared" si="276"/>
        <v>6.8888888888888875</v>
      </c>
    </row>
    <row r="8834" spans="2:5">
      <c r="B8834" s="943">
        <v>45286</v>
      </c>
      <c r="C8834" s="195">
        <f t="shared" si="275"/>
        <v>12</v>
      </c>
      <c r="D8834" s="195">
        <v>44.6</v>
      </c>
      <c r="E8834" s="705">
        <f t="shared" si="276"/>
        <v>7.0000000000000009</v>
      </c>
    </row>
    <row r="8835" spans="2:5">
      <c r="B8835" s="943">
        <v>45286</v>
      </c>
      <c r="C8835" s="195">
        <f t="shared" si="275"/>
        <v>12</v>
      </c>
      <c r="D8835" s="195">
        <v>44.8</v>
      </c>
      <c r="E8835" s="705">
        <f t="shared" si="276"/>
        <v>7.1111111111111089</v>
      </c>
    </row>
    <row r="8836" spans="2:5">
      <c r="B8836" s="943">
        <v>45286</v>
      </c>
      <c r="C8836" s="195">
        <f t="shared" si="275"/>
        <v>12</v>
      </c>
      <c r="D8836" s="195">
        <v>44.6</v>
      </c>
      <c r="E8836" s="705">
        <f t="shared" si="276"/>
        <v>7.0000000000000009</v>
      </c>
    </row>
    <row r="8837" spans="2:5">
      <c r="B8837" s="943">
        <v>45286</v>
      </c>
      <c r="C8837" s="195">
        <f t="shared" si="275"/>
        <v>12</v>
      </c>
      <c r="D8837" s="195">
        <v>44.1</v>
      </c>
      <c r="E8837" s="705">
        <f t="shared" si="276"/>
        <v>6.7222222222222232</v>
      </c>
    </row>
    <row r="8838" spans="2:5">
      <c r="B8838" s="943">
        <v>45286</v>
      </c>
      <c r="C8838" s="195">
        <f t="shared" si="275"/>
        <v>12</v>
      </c>
      <c r="D8838" s="195">
        <v>43.2</v>
      </c>
      <c r="E8838" s="705">
        <f t="shared" si="276"/>
        <v>6.2222222222222232</v>
      </c>
    </row>
    <row r="8839" spans="2:5">
      <c r="B8839" s="943">
        <v>45286</v>
      </c>
      <c r="C8839" s="195">
        <f t="shared" si="275"/>
        <v>12</v>
      </c>
      <c r="D8839" s="195">
        <v>42.4</v>
      </c>
      <c r="E8839" s="705">
        <f t="shared" si="276"/>
        <v>5.7777777777777768</v>
      </c>
    </row>
    <row r="8840" spans="2:5">
      <c r="B8840" s="943">
        <v>45286</v>
      </c>
      <c r="C8840" s="195">
        <f t="shared" si="275"/>
        <v>12</v>
      </c>
      <c r="D8840" s="195">
        <v>42.1</v>
      </c>
      <c r="E8840" s="705">
        <f t="shared" si="276"/>
        <v>5.6111111111111116</v>
      </c>
    </row>
    <row r="8841" spans="2:5">
      <c r="B8841" s="943">
        <v>45287</v>
      </c>
      <c r="C8841" s="195">
        <f t="shared" si="275"/>
        <v>12</v>
      </c>
      <c r="D8841" s="195">
        <v>41.7</v>
      </c>
      <c r="E8841" s="705">
        <f t="shared" si="276"/>
        <v>5.3888888888888902</v>
      </c>
    </row>
    <row r="8842" spans="2:5">
      <c r="B8842" s="943">
        <v>45287</v>
      </c>
      <c r="C8842" s="195">
        <f t="shared" ref="C8842:C8905" si="277">MONTH(B8842)</f>
        <v>12</v>
      </c>
      <c r="D8842" s="195">
        <v>42.1</v>
      </c>
      <c r="E8842" s="705">
        <f t="shared" ref="E8842:E8905" si="278">CONVERT(D8842,"F","C")</f>
        <v>5.6111111111111116</v>
      </c>
    </row>
    <row r="8843" spans="2:5">
      <c r="B8843" s="943">
        <v>45287</v>
      </c>
      <c r="C8843" s="195">
        <f t="shared" si="277"/>
        <v>12</v>
      </c>
      <c r="D8843" s="195">
        <v>43.7</v>
      </c>
      <c r="E8843" s="705">
        <f t="shared" si="278"/>
        <v>6.5000000000000018</v>
      </c>
    </row>
    <row r="8844" spans="2:5">
      <c r="B8844" s="943">
        <v>45287</v>
      </c>
      <c r="C8844" s="195">
        <f t="shared" si="277"/>
        <v>12</v>
      </c>
      <c r="D8844" s="195">
        <v>44.2</v>
      </c>
      <c r="E8844" s="705">
        <f t="shared" si="278"/>
        <v>6.7777777777777795</v>
      </c>
    </row>
    <row r="8845" spans="2:5">
      <c r="B8845" s="943">
        <v>45287</v>
      </c>
      <c r="C8845" s="195">
        <f t="shared" si="277"/>
        <v>12</v>
      </c>
      <c r="D8845" s="195">
        <v>44.4</v>
      </c>
      <c r="E8845" s="705">
        <f t="shared" si="278"/>
        <v>6.8888888888888875</v>
      </c>
    </row>
    <row r="8846" spans="2:5">
      <c r="B8846" s="943">
        <v>45287</v>
      </c>
      <c r="C8846" s="195">
        <f t="shared" si="277"/>
        <v>12</v>
      </c>
      <c r="D8846" s="195">
        <v>44.8</v>
      </c>
      <c r="E8846" s="705">
        <f t="shared" si="278"/>
        <v>7.1111111111111089</v>
      </c>
    </row>
    <row r="8847" spans="2:5">
      <c r="B8847" s="943">
        <v>45287</v>
      </c>
      <c r="C8847" s="195">
        <f t="shared" si="277"/>
        <v>12</v>
      </c>
      <c r="D8847" s="195">
        <v>44.8</v>
      </c>
      <c r="E8847" s="705">
        <f t="shared" si="278"/>
        <v>7.1111111111111089</v>
      </c>
    </row>
    <row r="8848" spans="2:5">
      <c r="B8848" s="943">
        <v>45287</v>
      </c>
      <c r="C8848" s="195">
        <f t="shared" si="277"/>
        <v>12</v>
      </c>
      <c r="D8848" s="195">
        <v>44.8</v>
      </c>
      <c r="E8848" s="705">
        <f t="shared" si="278"/>
        <v>7.1111111111111089</v>
      </c>
    </row>
    <row r="8849" spans="2:5">
      <c r="B8849" s="943">
        <v>45287</v>
      </c>
      <c r="C8849" s="195">
        <f t="shared" si="277"/>
        <v>12</v>
      </c>
      <c r="D8849" s="195">
        <v>44.6</v>
      </c>
      <c r="E8849" s="705">
        <f t="shared" si="278"/>
        <v>7.0000000000000009</v>
      </c>
    </row>
    <row r="8850" spans="2:5">
      <c r="B8850" s="943">
        <v>45287</v>
      </c>
      <c r="C8850" s="195">
        <f t="shared" si="277"/>
        <v>12</v>
      </c>
      <c r="D8850" s="195">
        <v>43.7</v>
      </c>
      <c r="E8850" s="705">
        <f t="shared" si="278"/>
        <v>6.5000000000000018</v>
      </c>
    </row>
    <row r="8851" spans="2:5">
      <c r="B8851" s="943">
        <v>45287</v>
      </c>
      <c r="C8851" s="195">
        <f t="shared" si="277"/>
        <v>12</v>
      </c>
      <c r="D8851" s="195" t="s">
        <v>1430</v>
      </c>
      <c r="E8851" s="705">
        <f t="shared" si="278"/>
        <v>6.1111111111111107</v>
      </c>
    </row>
    <row r="8852" spans="2:5">
      <c r="B8852" s="943">
        <v>45287</v>
      </c>
      <c r="C8852" s="195">
        <f t="shared" si="277"/>
        <v>12</v>
      </c>
      <c r="D8852" s="195">
        <v>42.4</v>
      </c>
      <c r="E8852" s="705">
        <f t="shared" si="278"/>
        <v>5.7777777777777768</v>
      </c>
    </row>
    <row r="8853" spans="2:5">
      <c r="B8853" s="943">
        <v>45287</v>
      </c>
      <c r="C8853" s="195">
        <f t="shared" si="277"/>
        <v>12</v>
      </c>
      <c r="D8853" s="195">
        <v>42.3</v>
      </c>
      <c r="E8853" s="705">
        <f t="shared" si="278"/>
        <v>5.7222222222222205</v>
      </c>
    </row>
    <row r="8854" spans="2:5">
      <c r="B8854" s="943">
        <v>45287</v>
      </c>
      <c r="C8854" s="195">
        <f t="shared" si="277"/>
        <v>12</v>
      </c>
      <c r="D8854" s="195">
        <v>42.8</v>
      </c>
      <c r="E8854" s="705">
        <f t="shared" si="278"/>
        <v>5.9999999999999982</v>
      </c>
    </row>
    <row r="8855" spans="2:5">
      <c r="B8855" s="943">
        <v>45287</v>
      </c>
      <c r="C8855" s="195">
        <f t="shared" si="277"/>
        <v>12</v>
      </c>
      <c r="D8855" s="195">
        <v>44.1</v>
      </c>
      <c r="E8855" s="705">
        <f t="shared" si="278"/>
        <v>6.7222222222222232</v>
      </c>
    </row>
    <row r="8856" spans="2:5">
      <c r="B8856" s="943">
        <v>45287</v>
      </c>
      <c r="C8856" s="195">
        <f t="shared" si="277"/>
        <v>12</v>
      </c>
      <c r="D8856" s="195">
        <v>44.6</v>
      </c>
      <c r="E8856" s="705">
        <f t="shared" si="278"/>
        <v>7.0000000000000009</v>
      </c>
    </row>
    <row r="8857" spans="2:5">
      <c r="B8857" s="943">
        <v>45287</v>
      </c>
      <c r="C8857" s="195">
        <f t="shared" si="277"/>
        <v>12</v>
      </c>
      <c r="D8857" s="195">
        <v>45.3</v>
      </c>
      <c r="E8857" s="705">
        <f t="shared" si="278"/>
        <v>7.3888888888888875</v>
      </c>
    </row>
    <row r="8858" spans="2:5">
      <c r="B8858" s="943">
        <v>45287</v>
      </c>
      <c r="C8858" s="195">
        <f t="shared" si="277"/>
        <v>12</v>
      </c>
      <c r="D8858" s="195">
        <v>45.5</v>
      </c>
      <c r="E8858" s="705">
        <f t="shared" si="278"/>
        <v>7.5</v>
      </c>
    </row>
    <row r="8859" spans="2:5">
      <c r="B8859" s="943">
        <v>45287</v>
      </c>
      <c r="C8859" s="195">
        <f t="shared" si="277"/>
        <v>12</v>
      </c>
      <c r="D8859" s="195">
        <v>45.7</v>
      </c>
      <c r="E8859" s="705">
        <f t="shared" si="278"/>
        <v>7.6111111111111125</v>
      </c>
    </row>
    <row r="8860" spans="2:5">
      <c r="B8860" s="943">
        <v>45287</v>
      </c>
      <c r="C8860" s="195">
        <f t="shared" si="277"/>
        <v>12</v>
      </c>
      <c r="D8860" s="195">
        <v>45.7</v>
      </c>
      <c r="E8860" s="705">
        <f t="shared" si="278"/>
        <v>7.6111111111111125</v>
      </c>
    </row>
    <row r="8861" spans="2:5">
      <c r="B8861" s="943">
        <v>45287</v>
      </c>
      <c r="C8861" s="195">
        <f t="shared" si="277"/>
        <v>12</v>
      </c>
      <c r="D8861" s="195">
        <v>45.3</v>
      </c>
      <c r="E8861" s="705">
        <f t="shared" si="278"/>
        <v>7.3888888888888875</v>
      </c>
    </row>
    <row r="8862" spans="2:5">
      <c r="B8862" s="943">
        <v>45287</v>
      </c>
      <c r="C8862" s="195">
        <f t="shared" si="277"/>
        <v>12</v>
      </c>
      <c r="D8862" s="195">
        <v>44.6</v>
      </c>
      <c r="E8862" s="705">
        <f t="shared" si="278"/>
        <v>7.0000000000000009</v>
      </c>
    </row>
    <row r="8863" spans="2:5">
      <c r="B8863" s="943">
        <v>45287</v>
      </c>
      <c r="C8863" s="195">
        <f t="shared" si="277"/>
        <v>12</v>
      </c>
      <c r="D8863" s="195">
        <v>43.7</v>
      </c>
      <c r="E8863" s="705">
        <f t="shared" si="278"/>
        <v>6.5000000000000018</v>
      </c>
    </row>
    <row r="8864" spans="2:5">
      <c r="B8864" s="943">
        <v>45287</v>
      </c>
      <c r="C8864" s="195">
        <f t="shared" si="277"/>
        <v>12</v>
      </c>
      <c r="D8864" s="195">
        <v>43.2</v>
      </c>
      <c r="E8864" s="705">
        <f t="shared" si="278"/>
        <v>6.2222222222222232</v>
      </c>
    </row>
    <row r="8865" spans="2:5">
      <c r="B8865" s="943">
        <v>45288</v>
      </c>
      <c r="C8865" s="195">
        <f t="shared" si="277"/>
        <v>12</v>
      </c>
      <c r="D8865" s="195">
        <v>42.6</v>
      </c>
      <c r="E8865" s="705">
        <f t="shared" si="278"/>
        <v>5.8888888888888893</v>
      </c>
    </row>
    <row r="8866" spans="2:5">
      <c r="B8866" s="943">
        <v>45288</v>
      </c>
      <c r="C8866" s="195">
        <f t="shared" si="277"/>
        <v>12</v>
      </c>
      <c r="D8866" s="195">
        <v>42.4</v>
      </c>
      <c r="E8866" s="705">
        <f t="shared" si="278"/>
        <v>5.7777777777777768</v>
      </c>
    </row>
    <row r="8867" spans="2:5">
      <c r="B8867" s="943">
        <v>45288</v>
      </c>
      <c r="C8867" s="195">
        <f t="shared" si="277"/>
        <v>12</v>
      </c>
      <c r="D8867" s="195" t="s">
        <v>1430</v>
      </c>
      <c r="E8867" s="705">
        <f t="shared" si="278"/>
        <v>6.1111111111111107</v>
      </c>
    </row>
    <row r="8868" spans="2:5">
      <c r="B8868" s="943">
        <v>45288</v>
      </c>
      <c r="C8868" s="195">
        <f t="shared" si="277"/>
        <v>12</v>
      </c>
      <c r="D8868" s="195">
        <v>44.4</v>
      </c>
      <c r="E8868" s="705">
        <f t="shared" si="278"/>
        <v>6.8888888888888875</v>
      </c>
    </row>
    <row r="8869" spans="2:5">
      <c r="B8869" s="943">
        <v>45288</v>
      </c>
      <c r="C8869" s="195">
        <f t="shared" si="277"/>
        <v>12</v>
      </c>
      <c r="D8869" s="195">
        <v>44.8</v>
      </c>
      <c r="E8869" s="705">
        <f t="shared" si="278"/>
        <v>7.1111111111111089</v>
      </c>
    </row>
    <row r="8870" spans="2:5">
      <c r="B8870" s="943">
        <v>45288</v>
      </c>
      <c r="C8870" s="195">
        <f t="shared" si="277"/>
        <v>12</v>
      </c>
      <c r="D8870" s="195">
        <v>45.1</v>
      </c>
      <c r="E8870" s="705">
        <f t="shared" si="278"/>
        <v>7.2777777777777786</v>
      </c>
    </row>
    <row r="8871" spans="2:5">
      <c r="B8871" s="943">
        <v>45288</v>
      </c>
      <c r="C8871" s="195">
        <f t="shared" si="277"/>
        <v>12</v>
      </c>
      <c r="D8871" s="195">
        <v>45.3</v>
      </c>
      <c r="E8871" s="705">
        <f t="shared" si="278"/>
        <v>7.3888888888888875</v>
      </c>
    </row>
    <row r="8872" spans="2:5">
      <c r="B8872" s="943">
        <v>45288</v>
      </c>
      <c r="C8872" s="195">
        <f t="shared" si="277"/>
        <v>12</v>
      </c>
      <c r="D8872" s="195">
        <v>45.3</v>
      </c>
      <c r="E8872" s="705">
        <f t="shared" si="278"/>
        <v>7.3888888888888875</v>
      </c>
    </row>
    <row r="8873" spans="2:5">
      <c r="B8873" s="943">
        <v>45288</v>
      </c>
      <c r="C8873" s="195">
        <f t="shared" si="277"/>
        <v>12</v>
      </c>
      <c r="D8873" s="195">
        <v>45.1</v>
      </c>
      <c r="E8873" s="705">
        <f t="shared" si="278"/>
        <v>7.2777777777777786</v>
      </c>
    </row>
    <row r="8874" spans="2:5">
      <c r="B8874" s="943">
        <v>45288</v>
      </c>
      <c r="C8874" s="195">
        <f t="shared" si="277"/>
        <v>12</v>
      </c>
      <c r="D8874" s="195">
        <v>44.8</v>
      </c>
      <c r="E8874" s="705">
        <f t="shared" si="278"/>
        <v>7.1111111111111089</v>
      </c>
    </row>
    <row r="8875" spans="2:5">
      <c r="B8875" s="943">
        <v>45288</v>
      </c>
      <c r="C8875" s="195">
        <f t="shared" si="277"/>
        <v>12</v>
      </c>
      <c r="D8875" s="195">
        <v>44.1</v>
      </c>
      <c r="E8875" s="705">
        <f t="shared" si="278"/>
        <v>6.7222222222222232</v>
      </c>
    </row>
    <row r="8876" spans="2:5">
      <c r="B8876" s="943">
        <v>45288</v>
      </c>
      <c r="C8876" s="195">
        <f t="shared" si="277"/>
        <v>12</v>
      </c>
      <c r="D8876" s="195">
        <v>43.3</v>
      </c>
      <c r="E8876" s="705">
        <f t="shared" si="278"/>
        <v>6.2777777777777759</v>
      </c>
    </row>
    <row r="8877" spans="2:5">
      <c r="B8877" s="943">
        <v>45288</v>
      </c>
      <c r="C8877" s="195">
        <f t="shared" si="277"/>
        <v>12</v>
      </c>
      <c r="D8877" s="195" t="s">
        <v>1430</v>
      </c>
      <c r="E8877" s="705">
        <f t="shared" si="278"/>
        <v>6.1111111111111107</v>
      </c>
    </row>
    <row r="8878" spans="2:5">
      <c r="B8878" s="943">
        <v>45288</v>
      </c>
      <c r="C8878" s="195">
        <f t="shared" si="277"/>
        <v>12</v>
      </c>
      <c r="D8878" s="195" t="s">
        <v>1430</v>
      </c>
      <c r="E8878" s="705">
        <f t="shared" si="278"/>
        <v>6.1111111111111107</v>
      </c>
    </row>
    <row r="8879" spans="2:5">
      <c r="B8879" s="943">
        <v>45288</v>
      </c>
      <c r="C8879" s="195">
        <f t="shared" si="277"/>
        <v>12</v>
      </c>
      <c r="D8879" s="195">
        <v>43.7</v>
      </c>
      <c r="E8879" s="705">
        <f t="shared" si="278"/>
        <v>6.5000000000000018</v>
      </c>
    </row>
    <row r="8880" spans="2:5">
      <c r="B8880" s="943">
        <v>45288</v>
      </c>
      <c r="C8880" s="195">
        <f t="shared" si="277"/>
        <v>12</v>
      </c>
      <c r="D8880" s="195">
        <v>44.2</v>
      </c>
      <c r="E8880" s="705">
        <f t="shared" si="278"/>
        <v>6.7777777777777795</v>
      </c>
    </row>
    <row r="8881" spans="2:5">
      <c r="B8881" s="943">
        <v>45288</v>
      </c>
      <c r="C8881" s="195">
        <f t="shared" si="277"/>
        <v>12</v>
      </c>
      <c r="D8881" s="195">
        <v>44.4</v>
      </c>
      <c r="E8881" s="705">
        <f t="shared" si="278"/>
        <v>6.8888888888888875</v>
      </c>
    </row>
    <row r="8882" spans="2:5">
      <c r="B8882" s="943">
        <v>45288</v>
      </c>
      <c r="C8882" s="195">
        <f t="shared" si="277"/>
        <v>12</v>
      </c>
      <c r="D8882" s="195">
        <v>44.4</v>
      </c>
      <c r="E8882" s="705">
        <f t="shared" si="278"/>
        <v>6.8888888888888875</v>
      </c>
    </row>
    <row r="8883" spans="2:5">
      <c r="B8883" s="943">
        <v>45288</v>
      </c>
      <c r="C8883" s="195">
        <f t="shared" si="277"/>
        <v>12</v>
      </c>
      <c r="D8883" s="195">
        <v>44.4</v>
      </c>
      <c r="E8883" s="705">
        <f t="shared" si="278"/>
        <v>6.8888888888888875</v>
      </c>
    </row>
    <row r="8884" spans="2:5">
      <c r="B8884" s="943">
        <v>45288</v>
      </c>
      <c r="C8884" s="195">
        <f t="shared" si="277"/>
        <v>12</v>
      </c>
      <c r="D8884" s="195">
        <v>44.2</v>
      </c>
      <c r="E8884" s="705">
        <f t="shared" si="278"/>
        <v>6.7777777777777795</v>
      </c>
    </row>
    <row r="8885" spans="2:5">
      <c r="B8885" s="943">
        <v>45288</v>
      </c>
      <c r="C8885" s="195">
        <f t="shared" si="277"/>
        <v>12</v>
      </c>
      <c r="D8885" s="195">
        <v>44.4</v>
      </c>
      <c r="E8885" s="705">
        <f t="shared" si="278"/>
        <v>6.8888888888888875</v>
      </c>
    </row>
    <row r="8886" spans="2:5">
      <c r="B8886" s="943">
        <v>45288</v>
      </c>
      <c r="C8886" s="195">
        <f t="shared" si="277"/>
        <v>12</v>
      </c>
      <c r="D8886" s="195">
        <v>44.2</v>
      </c>
      <c r="E8886" s="705">
        <f t="shared" si="278"/>
        <v>6.7777777777777795</v>
      </c>
    </row>
    <row r="8887" spans="2:5">
      <c r="B8887" s="943">
        <v>45288</v>
      </c>
      <c r="C8887" s="195">
        <f t="shared" si="277"/>
        <v>12</v>
      </c>
      <c r="D8887" s="195">
        <v>43.9</v>
      </c>
      <c r="E8887" s="705">
        <f t="shared" si="278"/>
        <v>6.6111111111111098</v>
      </c>
    </row>
    <row r="8888" spans="2:5">
      <c r="B8888" s="943">
        <v>45288</v>
      </c>
      <c r="C8888" s="195">
        <f t="shared" si="277"/>
        <v>12</v>
      </c>
      <c r="D8888" s="195">
        <v>43.5</v>
      </c>
      <c r="E8888" s="705">
        <f t="shared" si="278"/>
        <v>6.3888888888888884</v>
      </c>
    </row>
    <row r="8889" spans="2:5">
      <c r="B8889" s="943">
        <v>45289</v>
      </c>
      <c r="C8889" s="195">
        <f t="shared" si="277"/>
        <v>12</v>
      </c>
      <c r="D8889" s="195">
        <v>43.2</v>
      </c>
      <c r="E8889" s="705">
        <f t="shared" si="278"/>
        <v>6.2222222222222232</v>
      </c>
    </row>
    <row r="8890" spans="2:5">
      <c r="B8890" s="943">
        <v>45289</v>
      </c>
      <c r="C8890" s="195">
        <f t="shared" si="277"/>
        <v>12</v>
      </c>
      <c r="D8890" s="195">
        <v>42.8</v>
      </c>
      <c r="E8890" s="705">
        <f t="shared" si="278"/>
        <v>5.9999999999999982</v>
      </c>
    </row>
    <row r="8891" spans="2:5">
      <c r="B8891" s="943">
        <v>45289</v>
      </c>
      <c r="C8891" s="195">
        <f t="shared" si="277"/>
        <v>12</v>
      </c>
      <c r="D8891" s="195">
        <v>42.8</v>
      </c>
      <c r="E8891" s="705">
        <f t="shared" si="278"/>
        <v>5.9999999999999982</v>
      </c>
    </row>
    <row r="8892" spans="2:5">
      <c r="B8892" s="943">
        <v>45289</v>
      </c>
      <c r="C8892" s="195">
        <f t="shared" si="277"/>
        <v>12</v>
      </c>
      <c r="D8892" s="195">
        <v>43.3</v>
      </c>
      <c r="E8892" s="705">
        <f t="shared" si="278"/>
        <v>6.2777777777777759</v>
      </c>
    </row>
    <row r="8893" spans="2:5">
      <c r="B8893" s="943">
        <v>45289</v>
      </c>
      <c r="C8893" s="195">
        <f t="shared" si="277"/>
        <v>12</v>
      </c>
      <c r="D8893" s="195">
        <v>43.7</v>
      </c>
      <c r="E8893" s="705">
        <f t="shared" si="278"/>
        <v>6.5000000000000018</v>
      </c>
    </row>
    <row r="8894" spans="2:5">
      <c r="B8894" s="943">
        <v>45289</v>
      </c>
      <c r="C8894" s="195">
        <f t="shared" si="277"/>
        <v>12</v>
      </c>
      <c r="D8894" s="195">
        <v>43.7</v>
      </c>
      <c r="E8894" s="705">
        <f t="shared" si="278"/>
        <v>6.5000000000000018</v>
      </c>
    </row>
    <row r="8895" spans="2:5">
      <c r="B8895" s="943">
        <v>45289</v>
      </c>
      <c r="C8895" s="195">
        <f t="shared" si="277"/>
        <v>12</v>
      </c>
      <c r="D8895" s="195">
        <v>43.7</v>
      </c>
      <c r="E8895" s="705">
        <f t="shared" si="278"/>
        <v>6.5000000000000018</v>
      </c>
    </row>
    <row r="8896" spans="2:5">
      <c r="B8896" s="943">
        <v>45289</v>
      </c>
      <c r="C8896" s="195">
        <f t="shared" si="277"/>
        <v>12</v>
      </c>
      <c r="D8896" s="195">
        <v>43.7</v>
      </c>
      <c r="E8896" s="705">
        <f t="shared" si="278"/>
        <v>6.5000000000000018</v>
      </c>
    </row>
    <row r="8897" spans="2:5">
      <c r="B8897" s="943">
        <v>45289</v>
      </c>
      <c r="C8897" s="195">
        <f t="shared" si="277"/>
        <v>12</v>
      </c>
      <c r="D8897" s="195">
        <v>43.7</v>
      </c>
      <c r="E8897" s="705">
        <f t="shared" si="278"/>
        <v>6.5000000000000018</v>
      </c>
    </row>
    <row r="8898" spans="2:5">
      <c r="B8898" s="943">
        <v>45289</v>
      </c>
      <c r="C8898" s="195">
        <f t="shared" si="277"/>
        <v>12</v>
      </c>
      <c r="D8898" s="195">
        <v>43.7</v>
      </c>
      <c r="E8898" s="705">
        <f t="shared" si="278"/>
        <v>6.5000000000000018</v>
      </c>
    </row>
    <row r="8899" spans="2:5">
      <c r="B8899" s="943">
        <v>45289</v>
      </c>
      <c r="C8899" s="195">
        <f t="shared" si="277"/>
        <v>12</v>
      </c>
      <c r="D8899" s="195">
        <v>43.7</v>
      </c>
      <c r="E8899" s="705">
        <f t="shared" si="278"/>
        <v>6.5000000000000018</v>
      </c>
    </row>
    <row r="8900" spans="2:5">
      <c r="B8900" s="943">
        <v>45289</v>
      </c>
      <c r="C8900" s="195">
        <f t="shared" si="277"/>
        <v>12</v>
      </c>
      <c r="D8900" s="195">
        <v>43.3</v>
      </c>
      <c r="E8900" s="705">
        <f t="shared" si="278"/>
        <v>6.2777777777777759</v>
      </c>
    </row>
    <row r="8901" spans="2:5">
      <c r="B8901" s="943">
        <v>45289</v>
      </c>
      <c r="C8901" s="195">
        <f t="shared" si="277"/>
        <v>12</v>
      </c>
      <c r="D8901" s="195" t="s">
        <v>1430</v>
      </c>
      <c r="E8901" s="705">
        <f t="shared" si="278"/>
        <v>6.1111111111111107</v>
      </c>
    </row>
    <row r="8902" spans="2:5">
      <c r="B8902" s="943">
        <v>45289</v>
      </c>
      <c r="C8902" s="195">
        <f t="shared" si="277"/>
        <v>12</v>
      </c>
      <c r="D8902" s="195">
        <v>42.8</v>
      </c>
      <c r="E8902" s="705">
        <f t="shared" si="278"/>
        <v>5.9999999999999982</v>
      </c>
    </row>
    <row r="8903" spans="2:5">
      <c r="B8903" s="943">
        <v>45289</v>
      </c>
      <c r="C8903" s="195">
        <f t="shared" si="277"/>
        <v>12</v>
      </c>
      <c r="D8903" s="195" t="s">
        <v>1430</v>
      </c>
      <c r="E8903" s="705">
        <f t="shared" si="278"/>
        <v>6.1111111111111107</v>
      </c>
    </row>
    <row r="8904" spans="2:5">
      <c r="B8904" s="943">
        <v>45289</v>
      </c>
      <c r="C8904" s="195">
        <f t="shared" si="277"/>
        <v>12</v>
      </c>
      <c r="D8904" s="195">
        <v>43.2</v>
      </c>
      <c r="E8904" s="705">
        <f t="shared" si="278"/>
        <v>6.2222222222222232</v>
      </c>
    </row>
    <row r="8905" spans="2:5">
      <c r="B8905" s="943">
        <v>45289</v>
      </c>
      <c r="C8905" s="195">
        <f t="shared" si="277"/>
        <v>12</v>
      </c>
      <c r="D8905" s="195">
        <v>43.5</v>
      </c>
      <c r="E8905" s="705">
        <f t="shared" si="278"/>
        <v>6.3888888888888884</v>
      </c>
    </row>
    <row r="8906" spans="2:5">
      <c r="B8906" s="943">
        <v>45289</v>
      </c>
      <c r="C8906" s="195">
        <f t="shared" ref="C8906:C8960" si="279">MONTH(B8906)</f>
        <v>12</v>
      </c>
      <c r="D8906" s="195">
        <v>43.5</v>
      </c>
      <c r="E8906" s="705">
        <f t="shared" ref="E8906:E8960" si="280">CONVERT(D8906,"F","C")</f>
        <v>6.3888888888888884</v>
      </c>
    </row>
    <row r="8907" spans="2:5">
      <c r="B8907" s="943">
        <v>45289</v>
      </c>
      <c r="C8907" s="195">
        <f t="shared" si="279"/>
        <v>12</v>
      </c>
      <c r="D8907" s="195">
        <v>43.5</v>
      </c>
      <c r="E8907" s="705">
        <f t="shared" si="280"/>
        <v>6.3888888888888884</v>
      </c>
    </row>
    <row r="8908" spans="2:5">
      <c r="B8908" s="943">
        <v>45289</v>
      </c>
      <c r="C8908" s="195">
        <f t="shared" si="279"/>
        <v>12</v>
      </c>
      <c r="D8908" s="195">
        <v>43.5</v>
      </c>
      <c r="E8908" s="705">
        <f t="shared" si="280"/>
        <v>6.3888888888888884</v>
      </c>
    </row>
    <row r="8909" spans="2:5">
      <c r="B8909" s="943">
        <v>45289</v>
      </c>
      <c r="C8909" s="195">
        <f t="shared" si="279"/>
        <v>12</v>
      </c>
      <c r="D8909" s="195">
        <v>43.5</v>
      </c>
      <c r="E8909" s="705">
        <f t="shared" si="280"/>
        <v>6.3888888888888884</v>
      </c>
    </row>
    <row r="8910" spans="2:5">
      <c r="B8910" s="943">
        <v>45289</v>
      </c>
      <c r="C8910" s="195">
        <f t="shared" si="279"/>
        <v>12</v>
      </c>
      <c r="D8910" s="195">
        <v>43.5</v>
      </c>
      <c r="E8910" s="705">
        <f t="shared" si="280"/>
        <v>6.3888888888888884</v>
      </c>
    </row>
    <row r="8911" spans="2:5">
      <c r="B8911" s="943">
        <v>45289</v>
      </c>
      <c r="C8911" s="195">
        <f t="shared" si="279"/>
        <v>12</v>
      </c>
      <c r="D8911" s="195">
        <v>43.5</v>
      </c>
      <c r="E8911" s="705">
        <f t="shared" si="280"/>
        <v>6.3888888888888884</v>
      </c>
    </row>
    <row r="8912" spans="2:5">
      <c r="B8912" s="943">
        <v>45289</v>
      </c>
      <c r="C8912" s="195">
        <f t="shared" si="279"/>
        <v>12</v>
      </c>
      <c r="D8912" s="195">
        <v>43.2</v>
      </c>
      <c r="E8912" s="705">
        <f t="shared" si="280"/>
        <v>6.2222222222222232</v>
      </c>
    </row>
    <row r="8913" spans="2:5">
      <c r="B8913" s="943">
        <v>45290</v>
      </c>
      <c r="C8913" s="195">
        <f t="shared" si="279"/>
        <v>12</v>
      </c>
      <c r="D8913" s="195" t="s">
        <v>1430</v>
      </c>
      <c r="E8913" s="705">
        <f t="shared" si="280"/>
        <v>6.1111111111111107</v>
      </c>
    </row>
    <row r="8914" spans="2:5">
      <c r="B8914" s="943">
        <v>45290</v>
      </c>
      <c r="C8914" s="195">
        <f t="shared" si="279"/>
        <v>12</v>
      </c>
      <c r="D8914" s="195">
        <v>42.8</v>
      </c>
      <c r="E8914" s="705">
        <f t="shared" si="280"/>
        <v>5.9999999999999982</v>
      </c>
    </row>
    <row r="8915" spans="2:5">
      <c r="B8915" s="943">
        <v>45290</v>
      </c>
      <c r="C8915" s="195">
        <f t="shared" si="279"/>
        <v>12</v>
      </c>
      <c r="D8915" s="195">
        <v>42.6</v>
      </c>
      <c r="E8915" s="705">
        <f t="shared" si="280"/>
        <v>5.8888888888888893</v>
      </c>
    </row>
    <row r="8916" spans="2:5">
      <c r="B8916" s="943">
        <v>45290</v>
      </c>
      <c r="C8916" s="195">
        <f t="shared" si="279"/>
        <v>12</v>
      </c>
      <c r="D8916" s="195">
        <v>42.6</v>
      </c>
      <c r="E8916" s="705">
        <f t="shared" si="280"/>
        <v>5.8888888888888893</v>
      </c>
    </row>
    <row r="8917" spans="2:5">
      <c r="B8917" s="943">
        <v>45290</v>
      </c>
      <c r="C8917" s="195">
        <f t="shared" si="279"/>
        <v>12</v>
      </c>
      <c r="D8917" s="195" t="s">
        <v>1430</v>
      </c>
      <c r="E8917" s="705">
        <f t="shared" si="280"/>
        <v>6.1111111111111107</v>
      </c>
    </row>
    <row r="8918" spans="2:5">
      <c r="B8918" s="943">
        <v>45290</v>
      </c>
      <c r="C8918" s="195">
        <f t="shared" si="279"/>
        <v>12</v>
      </c>
      <c r="D8918" s="195">
        <v>43.3</v>
      </c>
      <c r="E8918" s="705">
        <f t="shared" si="280"/>
        <v>6.2777777777777759</v>
      </c>
    </row>
    <row r="8919" spans="2:5">
      <c r="B8919" s="943">
        <v>45290</v>
      </c>
      <c r="C8919" s="195">
        <f t="shared" si="279"/>
        <v>12</v>
      </c>
      <c r="D8919" s="195">
        <v>43.3</v>
      </c>
      <c r="E8919" s="705">
        <f t="shared" si="280"/>
        <v>6.2777777777777759</v>
      </c>
    </row>
    <row r="8920" spans="2:5">
      <c r="B8920" s="943">
        <v>45290</v>
      </c>
      <c r="C8920" s="195">
        <f t="shared" si="279"/>
        <v>12</v>
      </c>
      <c r="D8920" s="195">
        <v>43.3</v>
      </c>
      <c r="E8920" s="705">
        <f t="shared" si="280"/>
        <v>6.2777777777777759</v>
      </c>
    </row>
    <row r="8921" spans="2:5">
      <c r="B8921" s="943">
        <v>45290</v>
      </c>
      <c r="C8921" s="195">
        <f t="shared" si="279"/>
        <v>12</v>
      </c>
      <c r="D8921" s="195">
        <v>43.3</v>
      </c>
      <c r="E8921" s="705">
        <f t="shared" si="280"/>
        <v>6.2777777777777759</v>
      </c>
    </row>
    <row r="8922" spans="2:5">
      <c r="B8922" s="943">
        <v>45290</v>
      </c>
      <c r="C8922" s="195">
        <f t="shared" si="279"/>
        <v>12</v>
      </c>
      <c r="D8922" s="195">
        <v>43.3</v>
      </c>
      <c r="E8922" s="705">
        <f t="shared" si="280"/>
        <v>6.2777777777777759</v>
      </c>
    </row>
    <row r="8923" spans="2:5">
      <c r="B8923" s="943">
        <v>45290</v>
      </c>
      <c r="C8923" s="195">
        <f t="shared" si="279"/>
        <v>12</v>
      </c>
      <c r="D8923" s="195">
        <v>43.3</v>
      </c>
      <c r="E8923" s="705">
        <f t="shared" si="280"/>
        <v>6.2777777777777759</v>
      </c>
    </row>
    <row r="8924" spans="2:5">
      <c r="B8924" s="943">
        <v>45290</v>
      </c>
      <c r="C8924" s="195">
        <f t="shared" si="279"/>
        <v>12</v>
      </c>
      <c r="D8924" s="195">
        <v>43.2</v>
      </c>
      <c r="E8924" s="705">
        <f t="shared" si="280"/>
        <v>6.2222222222222232</v>
      </c>
    </row>
    <row r="8925" spans="2:5">
      <c r="B8925" s="943">
        <v>45290</v>
      </c>
      <c r="C8925" s="195">
        <f t="shared" si="279"/>
        <v>12</v>
      </c>
      <c r="D8925" s="195">
        <v>42.8</v>
      </c>
      <c r="E8925" s="705">
        <f t="shared" si="280"/>
        <v>5.9999999999999982</v>
      </c>
    </row>
    <row r="8926" spans="2:5">
      <c r="B8926" s="943">
        <v>45290</v>
      </c>
      <c r="C8926" s="195">
        <f t="shared" si="279"/>
        <v>12</v>
      </c>
      <c r="D8926" s="195">
        <v>42.6</v>
      </c>
      <c r="E8926" s="705">
        <f t="shared" si="280"/>
        <v>5.8888888888888893</v>
      </c>
    </row>
    <row r="8927" spans="2:5">
      <c r="B8927" s="943">
        <v>45290</v>
      </c>
      <c r="C8927" s="195">
        <f t="shared" si="279"/>
        <v>12</v>
      </c>
      <c r="D8927" s="195">
        <v>42.4</v>
      </c>
      <c r="E8927" s="705">
        <f t="shared" si="280"/>
        <v>5.7777777777777768</v>
      </c>
    </row>
    <row r="8928" spans="2:5">
      <c r="B8928" s="943">
        <v>45290</v>
      </c>
      <c r="C8928" s="195">
        <f t="shared" si="279"/>
        <v>12</v>
      </c>
      <c r="D8928" s="195">
        <v>42.6</v>
      </c>
      <c r="E8928" s="705">
        <f t="shared" si="280"/>
        <v>5.8888888888888893</v>
      </c>
    </row>
    <row r="8929" spans="2:5">
      <c r="B8929" s="943">
        <v>45290</v>
      </c>
      <c r="C8929" s="195">
        <f t="shared" si="279"/>
        <v>12</v>
      </c>
      <c r="D8929" s="195" t="s">
        <v>1430</v>
      </c>
      <c r="E8929" s="705">
        <f t="shared" si="280"/>
        <v>6.1111111111111107</v>
      </c>
    </row>
    <row r="8930" spans="2:5">
      <c r="B8930" s="943">
        <v>45290</v>
      </c>
      <c r="C8930" s="195">
        <f t="shared" si="279"/>
        <v>12</v>
      </c>
      <c r="D8930" s="195">
        <v>43.3</v>
      </c>
      <c r="E8930" s="705">
        <f t="shared" si="280"/>
        <v>6.2777777777777759</v>
      </c>
    </row>
    <row r="8931" spans="2:5">
      <c r="B8931" s="943">
        <v>45290</v>
      </c>
      <c r="C8931" s="195">
        <f t="shared" si="279"/>
        <v>12</v>
      </c>
      <c r="D8931" s="195">
        <v>43.5</v>
      </c>
      <c r="E8931" s="705">
        <f t="shared" si="280"/>
        <v>6.3888888888888884</v>
      </c>
    </row>
    <row r="8932" spans="2:5">
      <c r="B8932" s="943">
        <v>45290</v>
      </c>
      <c r="C8932" s="195">
        <f t="shared" si="279"/>
        <v>12</v>
      </c>
      <c r="D8932" s="195">
        <v>43.7</v>
      </c>
      <c r="E8932" s="705">
        <f t="shared" si="280"/>
        <v>6.5000000000000018</v>
      </c>
    </row>
    <row r="8933" spans="2:5">
      <c r="B8933" s="943">
        <v>45290</v>
      </c>
      <c r="C8933" s="195">
        <f t="shared" si="279"/>
        <v>12</v>
      </c>
      <c r="D8933" s="195">
        <v>43.7</v>
      </c>
      <c r="E8933" s="705">
        <f t="shared" si="280"/>
        <v>6.5000000000000018</v>
      </c>
    </row>
    <row r="8934" spans="2:5">
      <c r="B8934" s="943">
        <v>45290</v>
      </c>
      <c r="C8934" s="195">
        <f t="shared" si="279"/>
        <v>12</v>
      </c>
      <c r="D8934" s="195">
        <v>43.7</v>
      </c>
      <c r="E8934" s="705">
        <f t="shared" si="280"/>
        <v>6.5000000000000018</v>
      </c>
    </row>
    <row r="8935" spans="2:5">
      <c r="B8935" s="943">
        <v>45290</v>
      </c>
      <c r="C8935" s="195">
        <f t="shared" si="279"/>
        <v>12</v>
      </c>
      <c r="D8935" s="195">
        <v>43.5</v>
      </c>
      <c r="E8935" s="705">
        <f t="shared" si="280"/>
        <v>6.3888888888888884</v>
      </c>
    </row>
    <row r="8936" spans="2:5">
      <c r="B8936" s="943">
        <v>45290</v>
      </c>
      <c r="C8936" s="195">
        <f t="shared" si="279"/>
        <v>12</v>
      </c>
      <c r="D8936" s="195">
        <v>43.2</v>
      </c>
      <c r="E8936" s="705">
        <f t="shared" si="280"/>
        <v>6.2222222222222232</v>
      </c>
    </row>
    <row r="8937" spans="2:5">
      <c r="B8937" s="943">
        <v>45291</v>
      </c>
      <c r="C8937" s="195">
        <f t="shared" si="279"/>
        <v>12</v>
      </c>
      <c r="D8937" s="195">
        <v>42.8</v>
      </c>
      <c r="E8937" s="705">
        <f t="shared" si="280"/>
        <v>5.9999999999999982</v>
      </c>
    </row>
    <row r="8938" spans="2:5">
      <c r="B8938" s="943">
        <v>45291</v>
      </c>
      <c r="C8938" s="195">
        <f t="shared" si="279"/>
        <v>12</v>
      </c>
      <c r="D8938" s="195">
        <v>42.6</v>
      </c>
      <c r="E8938" s="705">
        <f t="shared" si="280"/>
        <v>5.8888888888888893</v>
      </c>
    </row>
    <row r="8939" spans="2:5">
      <c r="B8939" s="943">
        <v>45291</v>
      </c>
      <c r="C8939" s="195">
        <f t="shared" si="279"/>
        <v>12</v>
      </c>
      <c r="D8939" s="195">
        <v>42.4</v>
      </c>
      <c r="E8939" s="705">
        <f t="shared" si="280"/>
        <v>5.7777777777777768</v>
      </c>
    </row>
    <row r="8940" spans="2:5">
      <c r="B8940" s="943">
        <v>45291</v>
      </c>
      <c r="C8940" s="195">
        <f t="shared" si="279"/>
        <v>12</v>
      </c>
      <c r="D8940" s="195">
        <v>42.3</v>
      </c>
      <c r="E8940" s="705">
        <f t="shared" si="280"/>
        <v>5.7222222222222205</v>
      </c>
    </row>
    <row r="8941" spans="2:5">
      <c r="B8941" s="943">
        <v>45291</v>
      </c>
      <c r="C8941" s="195">
        <f t="shared" si="279"/>
        <v>12</v>
      </c>
      <c r="D8941" s="195">
        <v>42.4</v>
      </c>
      <c r="E8941" s="705">
        <f t="shared" si="280"/>
        <v>5.7777777777777768</v>
      </c>
    </row>
    <row r="8942" spans="2:5">
      <c r="B8942" s="943">
        <v>45291</v>
      </c>
      <c r="C8942" s="195">
        <f t="shared" si="279"/>
        <v>12</v>
      </c>
      <c r="D8942" s="195">
        <v>43.3</v>
      </c>
      <c r="E8942" s="705">
        <f t="shared" si="280"/>
        <v>6.2777777777777759</v>
      </c>
    </row>
    <row r="8943" spans="2:5">
      <c r="B8943" s="943">
        <v>45291</v>
      </c>
      <c r="C8943" s="195">
        <f t="shared" si="279"/>
        <v>12</v>
      </c>
      <c r="D8943" s="195">
        <v>43.7</v>
      </c>
      <c r="E8943" s="705">
        <f t="shared" si="280"/>
        <v>6.5000000000000018</v>
      </c>
    </row>
    <row r="8944" spans="2:5">
      <c r="B8944" s="943">
        <v>45291</v>
      </c>
      <c r="C8944" s="195">
        <f t="shared" si="279"/>
        <v>12</v>
      </c>
      <c r="D8944" s="195">
        <v>43.9</v>
      </c>
      <c r="E8944" s="705">
        <f t="shared" si="280"/>
        <v>6.6111111111111098</v>
      </c>
    </row>
    <row r="8945" spans="2:5">
      <c r="B8945" s="943">
        <v>45291</v>
      </c>
      <c r="C8945" s="195">
        <f t="shared" si="279"/>
        <v>12</v>
      </c>
      <c r="D8945" s="195">
        <v>44.1</v>
      </c>
      <c r="E8945" s="705">
        <f t="shared" si="280"/>
        <v>6.7222222222222232</v>
      </c>
    </row>
    <row r="8946" spans="2:5">
      <c r="B8946" s="943">
        <v>45291</v>
      </c>
      <c r="C8946" s="195">
        <f t="shared" si="279"/>
        <v>12</v>
      </c>
      <c r="D8946" s="195">
        <v>43.2</v>
      </c>
      <c r="E8946" s="705">
        <f t="shared" si="280"/>
        <v>6.2222222222222232</v>
      </c>
    </row>
    <row r="8947" spans="2:5">
      <c r="B8947" s="943">
        <v>45291</v>
      </c>
      <c r="C8947" s="195">
        <f t="shared" si="279"/>
        <v>12</v>
      </c>
      <c r="D8947" s="195">
        <v>43.7</v>
      </c>
      <c r="E8947" s="705">
        <f t="shared" si="280"/>
        <v>6.5000000000000018</v>
      </c>
    </row>
    <row r="8948" spans="2:5">
      <c r="B8948" s="943">
        <v>45291</v>
      </c>
      <c r="C8948" s="195">
        <f t="shared" si="279"/>
        <v>12</v>
      </c>
      <c r="D8948" s="195">
        <v>43.3</v>
      </c>
      <c r="E8948" s="705">
        <f t="shared" si="280"/>
        <v>6.2777777777777759</v>
      </c>
    </row>
    <row r="8949" spans="2:5">
      <c r="B8949" s="943">
        <v>45291</v>
      </c>
      <c r="C8949" s="195">
        <f t="shared" si="279"/>
        <v>12</v>
      </c>
      <c r="D8949" s="195">
        <v>42.8</v>
      </c>
      <c r="E8949" s="705">
        <f t="shared" si="280"/>
        <v>5.9999999999999982</v>
      </c>
    </row>
    <row r="8950" spans="2:5">
      <c r="B8950" s="943">
        <v>45291</v>
      </c>
      <c r="C8950" s="195">
        <f t="shared" si="279"/>
        <v>12</v>
      </c>
      <c r="D8950" s="195">
        <v>42.3</v>
      </c>
      <c r="E8950" s="705">
        <f t="shared" si="280"/>
        <v>5.7222222222222205</v>
      </c>
    </row>
    <row r="8951" spans="2:5">
      <c r="B8951" s="943">
        <v>45291</v>
      </c>
      <c r="C8951" s="195">
        <f t="shared" si="279"/>
        <v>12</v>
      </c>
      <c r="D8951" s="195">
        <v>42.1</v>
      </c>
      <c r="E8951" s="705">
        <f t="shared" si="280"/>
        <v>5.6111111111111116</v>
      </c>
    </row>
    <row r="8952" spans="2:5">
      <c r="B8952" s="943">
        <v>45291</v>
      </c>
      <c r="C8952" s="195">
        <f t="shared" si="279"/>
        <v>12</v>
      </c>
      <c r="D8952" s="195">
        <v>42.1</v>
      </c>
      <c r="E8952" s="705">
        <f t="shared" si="280"/>
        <v>5.6111111111111116</v>
      </c>
    </row>
    <row r="8953" spans="2:5">
      <c r="B8953" s="943">
        <v>45291</v>
      </c>
      <c r="C8953" s="195">
        <f t="shared" si="279"/>
        <v>12</v>
      </c>
      <c r="D8953" s="195">
        <v>42.4</v>
      </c>
      <c r="E8953" s="705">
        <f t="shared" si="280"/>
        <v>5.7777777777777768</v>
      </c>
    </row>
    <row r="8954" spans="2:5">
      <c r="B8954" s="943">
        <v>45291</v>
      </c>
      <c r="C8954" s="195">
        <f t="shared" si="279"/>
        <v>12</v>
      </c>
      <c r="D8954" s="195">
        <v>43.3</v>
      </c>
      <c r="E8954" s="705">
        <f t="shared" si="280"/>
        <v>6.2777777777777759</v>
      </c>
    </row>
    <row r="8955" spans="2:5">
      <c r="B8955" s="943">
        <v>45291</v>
      </c>
      <c r="C8955" s="195">
        <f t="shared" si="279"/>
        <v>12</v>
      </c>
      <c r="D8955" s="195">
        <v>43.5</v>
      </c>
      <c r="E8955" s="705">
        <f t="shared" si="280"/>
        <v>6.3888888888888884</v>
      </c>
    </row>
    <row r="8956" spans="2:5">
      <c r="B8956" s="943">
        <v>45291</v>
      </c>
      <c r="C8956" s="195">
        <f t="shared" si="279"/>
        <v>12</v>
      </c>
      <c r="D8956" s="195">
        <v>43.7</v>
      </c>
      <c r="E8956" s="705">
        <f t="shared" si="280"/>
        <v>6.5000000000000018</v>
      </c>
    </row>
    <row r="8957" spans="2:5">
      <c r="B8957" s="943">
        <v>45291</v>
      </c>
      <c r="C8957" s="195">
        <f t="shared" si="279"/>
        <v>12</v>
      </c>
      <c r="D8957" s="195">
        <v>43.9</v>
      </c>
      <c r="E8957" s="705">
        <f t="shared" si="280"/>
        <v>6.6111111111111098</v>
      </c>
    </row>
    <row r="8958" spans="2:5">
      <c r="B8958" s="943">
        <v>45291</v>
      </c>
      <c r="C8958" s="195">
        <f t="shared" si="279"/>
        <v>12</v>
      </c>
      <c r="D8958" s="195">
        <v>43.9</v>
      </c>
      <c r="E8958" s="705">
        <f t="shared" si="280"/>
        <v>6.6111111111111098</v>
      </c>
    </row>
    <row r="8959" spans="2:5">
      <c r="B8959" s="943">
        <v>45291</v>
      </c>
      <c r="C8959" s="195">
        <f t="shared" si="279"/>
        <v>12</v>
      </c>
      <c r="D8959" s="195">
        <v>43.7</v>
      </c>
      <c r="E8959" s="705">
        <f t="shared" si="280"/>
        <v>6.5000000000000018</v>
      </c>
    </row>
    <row r="8960" spans="2:5">
      <c r="B8960" s="943">
        <v>45291</v>
      </c>
      <c r="C8960" s="195">
        <f t="shared" si="279"/>
        <v>12</v>
      </c>
      <c r="D8960" s="195">
        <v>43.5</v>
      </c>
      <c r="E8960" s="705">
        <f t="shared" si="280"/>
        <v>6.3888888888888884</v>
      </c>
    </row>
    <row r="8961" spans="2:5">
      <c r="B8961" s="943"/>
      <c r="C8961" s="195"/>
      <c r="E8961" s="705"/>
    </row>
    <row r="8962" spans="2:5">
      <c r="B8962" s="943"/>
      <c r="C8962" s="195"/>
      <c r="E8962" s="705"/>
    </row>
    <row r="8963" spans="2:5">
      <c r="B8963" s="943"/>
      <c r="C8963" s="195"/>
      <c r="E8963" s="705"/>
    </row>
    <row r="8964" spans="2:5">
      <c r="B8964" s="943"/>
      <c r="C8964" s="195"/>
      <c r="E8964" s="705"/>
    </row>
    <row r="8965" spans="2:5">
      <c r="B8965" s="943"/>
      <c r="C8965" s="195"/>
      <c r="E8965" s="705"/>
    </row>
    <row r="8966" spans="2:5">
      <c r="B8966" s="943"/>
      <c r="C8966" s="195"/>
      <c r="E8966" s="705"/>
    </row>
    <row r="8967" spans="2:5">
      <c r="B8967" s="943"/>
      <c r="C8967" s="195"/>
      <c r="E8967" s="705"/>
    </row>
    <row r="8968" spans="2:5">
      <c r="B8968" s="943"/>
      <c r="C8968" s="195"/>
      <c r="E8968" s="705"/>
    </row>
    <row r="8969" spans="2:5">
      <c r="B8969" s="943"/>
      <c r="C8969" s="195"/>
      <c r="E8969" s="705"/>
    </row>
    <row r="8970" spans="2:5">
      <c r="B8970" s="943"/>
      <c r="C8970" s="195"/>
      <c r="E8970" s="705"/>
    </row>
    <row r="8971" spans="2:5">
      <c r="B8971" s="943"/>
      <c r="C8971" s="195"/>
      <c r="E8971" s="705"/>
    </row>
    <row r="8972" spans="2:5">
      <c r="B8972" s="943"/>
      <c r="C8972" s="195"/>
      <c r="E8972" s="705"/>
    </row>
    <row r="8973" spans="2:5">
      <c r="B8973" s="943"/>
      <c r="C8973" s="195"/>
      <c r="E8973" s="705"/>
    </row>
    <row r="8974" spans="2:5">
      <c r="B8974" s="943"/>
      <c r="C8974" s="195"/>
      <c r="E8974" s="705"/>
    </row>
    <row r="8975" spans="2:5">
      <c r="B8975" s="943"/>
      <c r="C8975" s="195"/>
      <c r="E8975" s="705"/>
    </row>
    <row r="8976" spans="2:5">
      <c r="B8976" s="943"/>
      <c r="C8976" s="195"/>
      <c r="E8976" s="705"/>
    </row>
    <row r="8977" spans="2:5">
      <c r="B8977" s="943"/>
      <c r="C8977" s="195"/>
      <c r="E8977" s="705"/>
    </row>
    <row r="8978" spans="2:5">
      <c r="B8978" s="943"/>
      <c r="C8978" s="195"/>
      <c r="E8978" s="705"/>
    </row>
    <row r="8979" spans="2:5">
      <c r="B8979" s="943"/>
      <c r="C8979" s="195"/>
      <c r="E8979" s="705"/>
    </row>
    <row r="8980" spans="2:5">
      <c r="B8980" s="943"/>
      <c r="C8980" s="195"/>
      <c r="E8980" s="705"/>
    </row>
    <row r="8981" spans="2:5">
      <c r="B8981" s="943"/>
      <c r="C8981" s="195"/>
      <c r="E8981" s="705"/>
    </row>
    <row r="8982" spans="2:5">
      <c r="B8982" s="943"/>
      <c r="C8982" s="195"/>
      <c r="E8982" s="705"/>
    </row>
    <row r="8983" spans="2:5">
      <c r="B8983" s="943"/>
      <c r="C8983" s="195"/>
      <c r="E8983" s="705"/>
    </row>
    <row r="8984" spans="2:5">
      <c r="B8984" s="943"/>
      <c r="C8984" s="195"/>
      <c r="E8984" s="705"/>
    </row>
    <row r="8985" spans="2:5">
      <c r="B8985" s="943"/>
      <c r="C8985" s="195"/>
      <c r="E8985" s="705"/>
    </row>
    <row r="8986" spans="2:5">
      <c r="B8986" s="943"/>
      <c r="C8986" s="195"/>
      <c r="E8986" s="705"/>
    </row>
    <row r="8987" spans="2:5">
      <c r="B8987" s="943"/>
      <c r="C8987" s="195"/>
      <c r="E8987" s="705"/>
    </row>
    <row r="8988" spans="2:5">
      <c r="B8988" s="943"/>
      <c r="C8988" s="195"/>
      <c r="E8988" s="705"/>
    </row>
    <row r="8989" spans="2:5">
      <c r="B8989" s="943"/>
      <c r="C8989" s="195"/>
      <c r="E8989" s="705"/>
    </row>
    <row r="8990" spans="2:5">
      <c r="B8990" s="943"/>
      <c r="C8990" s="195"/>
      <c r="E8990" s="705"/>
    </row>
    <row r="8991" spans="2:5">
      <c r="B8991" s="943"/>
      <c r="C8991" s="195"/>
      <c r="E8991" s="705"/>
    </row>
    <row r="8992" spans="2:5">
      <c r="B8992" s="943"/>
      <c r="C8992" s="195"/>
      <c r="E8992" s="705"/>
    </row>
    <row r="8993" spans="2:5">
      <c r="B8993" s="943"/>
      <c r="C8993" s="195"/>
      <c r="E8993" s="705"/>
    </row>
    <row r="8994" spans="2:5">
      <c r="B8994" s="943"/>
      <c r="C8994" s="195"/>
      <c r="E8994" s="705"/>
    </row>
    <row r="8995" spans="2:5">
      <c r="B8995" s="943"/>
      <c r="C8995" s="195"/>
      <c r="E8995" s="705"/>
    </row>
    <row r="8996" spans="2:5">
      <c r="B8996" s="943"/>
      <c r="C8996" s="195"/>
      <c r="E8996" s="705"/>
    </row>
    <row r="8997" spans="2:5">
      <c r="B8997" s="943"/>
      <c r="C8997" s="195"/>
      <c r="E8997" s="705"/>
    </row>
    <row r="8998" spans="2:5">
      <c r="B8998" s="943"/>
      <c r="C8998" s="195"/>
      <c r="E8998" s="705"/>
    </row>
    <row r="8999" spans="2:5">
      <c r="B8999" s="943"/>
      <c r="C8999" s="195"/>
      <c r="E8999" s="705"/>
    </row>
    <row r="9000" spans="2:5">
      <c r="B9000" s="943"/>
      <c r="C9000" s="195"/>
      <c r="E9000" s="705"/>
    </row>
    <row r="9001" spans="2:5">
      <c r="B9001" s="943"/>
      <c r="C9001" s="195"/>
      <c r="E9001" s="705"/>
    </row>
    <row r="9002" spans="2:5">
      <c r="B9002" s="943"/>
      <c r="C9002" s="195"/>
      <c r="E9002" s="705"/>
    </row>
    <row r="9003" spans="2:5">
      <c r="B9003" s="943"/>
      <c r="C9003" s="195"/>
      <c r="E9003" s="705"/>
    </row>
    <row r="9004" spans="2:5">
      <c r="B9004" s="943"/>
      <c r="C9004" s="195"/>
      <c r="E9004" s="705"/>
    </row>
    <row r="9005" spans="2:5">
      <c r="B9005" s="943"/>
      <c r="C9005" s="195"/>
      <c r="E9005" s="705"/>
    </row>
    <row r="9006" spans="2:5">
      <c r="B9006" s="943"/>
      <c r="C9006" s="195"/>
      <c r="E9006" s="705"/>
    </row>
    <row r="9007" spans="2:5">
      <c r="B9007" s="943"/>
      <c r="C9007" s="195"/>
      <c r="E9007" s="705"/>
    </row>
    <row r="9008" spans="2:5">
      <c r="B9008" s="943"/>
      <c r="C9008" s="195"/>
      <c r="E9008" s="705"/>
    </row>
    <row r="9009" spans="2:5">
      <c r="B9009" s="943"/>
      <c r="C9009" s="195"/>
      <c r="E9009" s="705"/>
    </row>
    <row r="9010" spans="2:5">
      <c r="B9010" s="943"/>
      <c r="C9010" s="195"/>
      <c r="E9010" s="705"/>
    </row>
    <row r="9011" spans="2:5">
      <c r="B9011" s="943"/>
      <c r="C9011" s="195"/>
      <c r="E9011" s="705"/>
    </row>
    <row r="9012" spans="2:5">
      <c r="B9012" s="943"/>
      <c r="C9012" s="195"/>
      <c r="E9012" s="705"/>
    </row>
    <row r="9013" spans="2:5">
      <c r="B9013" s="943"/>
      <c r="C9013" s="195"/>
      <c r="E9013" s="705"/>
    </row>
    <row r="9014" spans="2:5">
      <c r="B9014" s="943"/>
      <c r="C9014" s="195"/>
      <c r="E9014" s="705"/>
    </row>
    <row r="9015" spans="2:5">
      <c r="B9015" s="943"/>
      <c r="C9015" s="195"/>
      <c r="E9015" s="705"/>
    </row>
    <row r="9016" spans="2:5">
      <c r="B9016" s="943"/>
      <c r="C9016" s="195"/>
      <c r="E9016" s="705"/>
    </row>
    <row r="9017" spans="2:5">
      <c r="B9017" s="943"/>
      <c r="C9017" s="195"/>
      <c r="E9017" s="705"/>
    </row>
    <row r="9018" spans="2:5">
      <c r="B9018" s="943"/>
      <c r="C9018" s="195"/>
      <c r="E9018" s="705"/>
    </row>
    <row r="9019" spans="2:5">
      <c r="B9019" s="943"/>
      <c r="C9019" s="195"/>
      <c r="E9019" s="705"/>
    </row>
    <row r="9020" spans="2:5">
      <c r="B9020" s="943"/>
      <c r="C9020" s="195"/>
      <c r="E9020" s="705"/>
    </row>
    <row r="9021" spans="2:5">
      <c r="B9021" s="943"/>
      <c r="C9021" s="195"/>
      <c r="E9021" s="705"/>
    </row>
    <row r="9022" spans="2:5">
      <c r="B9022" s="943"/>
      <c r="C9022" s="195"/>
      <c r="E9022" s="705"/>
    </row>
    <row r="9023" spans="2:5">
      <c r="B9023" s="943"/>
      <c r="C9023" s="195"/>
      <c r="E9023" s="705"/>
    </row>
    <row r="9024" spans="2:5">
      <c r="B9024" s="943"/>
      <c r="C9024" s="195"/>
      <c r="E9024" s="705"/>
    </row>
    <row r="9025" spans="2:5">
      <c r="B9025" s="943"/>
      <c r="C9025" s="195"/>
      <c r="E9025" s="705"/>
    </row>
    <row r="9026" spans="2:5">
      <c r="B9026" s="943"/>
      <c r="C9026" s="195"/>
      <c r="E9026" s="705"/>
    </row>
    <row r="9027" spans="2:5">
      <c r="B9027" s="943"/>
      <c r="C9027" s="195"/>
      <c r="E9027" s="705"/>
    </row>
    <row r="9028" spans="2:5">
      <c r="B9028" s="943"/>
      <c r="C9028" s="195"/>
      <c r="E9028" s="705"/>
    </row>
    <row r="9029" spans="2:5">
      <c r="B9029" s="943"/>
      <c r="C9029" s="195"/>
      <c r="E9029" s="705"/>
    </row>
    <row r="9030" spans="2:5">
      <c r="B9030" s="943"/>
      <c r="C9030" s="195"/>
      <c r="E9030" s="705"/>
    </row>
    <row r="9031" spans="2:5">
      <c r="B9031" s="943"/>
      <c r="C9031" s="195"/>
      <c r="E9031" s="705"/>
    </row>
    <row r="9032" spans="2:5">
      <c r="B9032" s="943"/>
      <c r="C9032" s="195"/>
      <c r="E9032" s="705"/>
    </row>
    <row r="9033" spans="2:5">
      <c r="B9033" s="943"/>
      <c r="C9033" s="195"/>
      <c r="E9033" s="705"/>
    </row>
    <row r="9034" spans="2:5">
      <c r="B9034" s="943"/>
      <c r="C9034" s="195"/>
      <c r="E9034" s="705"/>
    </row>
    <row r="9035" spans="2:5">
      <c r="B9035" s="943"/>
      <c r="C9035" s="195"/>
      <c r="E9035" s="705"/>
    </row>
    <row r="9036" spans="2:5">
      <c r="B9036" s="943"/>
      <c r="C9036" s="195"/>
      <c r="E9036" s="705"/>
    </row>
    <row r="9037" spans="2:5">
      <c r="B9037" s="943"/>
      <c r="C9037" s="195"/>
      <c r="E9037" s="705"/>
    </row>
    <row r="9038" spans="2:5">
      <c r="B9038" s="943"/>
      <c r="C9038" s="195"/>
      <c r="E9038" s="705"/>
    </row>
    <row r="9039" spans="2:5">
      <c r="B9039" s="943"/>
      <c r="C9039" s="195"/>
      <c r="E9039" s="705"/>
    </row>
    <row r="9040" spans="2:5">
      <c r="B9040" s="943"/>
      <c r="C9040" s="195"/>
      <c r="E9040" s="705"/>
    </row>
    <row r="9041" spans="2:5">
      <c r="B9041" s="943"/>
      <c r="C9041" s="195"/>
      <c r="E9041" s="705"/>
    </row>
    <row r="9042" spans="2:5">
      <c r="B9042" s="943"/>
      <c r="C9042" s="195"/>
      <c r="E9042" s="705"/>
    </row>
    <row r="9043" spans="2:5">
      <c r="B9043" s="943"/>
      <c r="C9043" s="195"/>
      <c r="E9043" s="705"/>
    </row>
    <row r="9044" spans="2:5">
      <c r="B9044" s="943"/>
      <c r="C9044" s="195"/>
      <c r="E9044" s="705"/>
    </row>
    <row r="9045" spans="2:5">
      <c r="B9045" s="943"/>
      <c r="C9045" s="195"/>
      <c r="E9045" s="705"/>
    </row>
    <row r="9046" spans="2:5">
      <c r="B9046" s="943"/>
      <c r="C9046" s="195"/>
      <c r="E9046" s="705"/>
    </row>
    <row r="9047" spans="2:5">
      <c r="B9047" s="943"/>
      <c r="C9047" s="195"/>
      <c r="E9047" s="705"/>
    </row>
    <row r="9048" spans="2:5">
      <c r="B9048" s="943"/>
      <c r="C9048" s="195"/>
      <c r="E9048" s="705"/>
    </row>
    <row r="9049" spans="2:5">
      <c r="B9049" s="943"/>
      <c r="C9049" s="195"/>
      <c r="E9049" s="705"/>
    </row>
    <row r="9050" spans="2:5">
      <c r="B9050" s="943"/>
      <c r="C9050" s="195"/>
      <c r="E9050" s="705"/>
    </row>
    <row r="9051" spans="2:5">
      <c r="B9051" s="943"/>
      <c r="C9051" s="195"/>
      <c r="E9051" s="705"/>
    </row>
    <row r="9052" spans="2:5">
      <c r="B9052" s="943"/>
      <c r="C9052" s="195"/>
      <c r="E9052" s="705"/>
    </row>
    <row r="9053" spans="2:5">
      <c r="B9053" s="943"/>
      <c r="C9053" s="195"/>
      <c r="E9053" s="705"/>
    </row>
    <row r="9054" spans="2:5">
      <c r="B9054" s="943"/>
      <c r="C9054" s="195"/>
      <c r="E9054" s="705"/>
    </row>
    <row r="9055" spans="2:5">
      <c r="B9055" s="943"/>
      <c r="C9055" s="195"/>
      <c r="E9055" s="705"/>
    </row>
    <row r="9056" spans="2:5">
      <c r="B9056" s="943"/>
      <c r="C9056" s="195"/>
      <c r="E9056" s="705"/>
    </row>
  </sheetData>
  <mergeCells count="2">
    <mergeCell ref="B5:J6"/>
    <mergeCell ref="N8:O8"/>
  </mergeCells>
  <hyperlinks>
    <hyperlink ref="D3" r:id="rId1" display="https://tidesandcurrents.noaa.gov/physocean.html?id=8510560" xr:uid="{D88A3EEC-BE7F-4D88-9DA0-6E333301FAC7}"/>
  </hyperlinks>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E3910-696E-401F-B88C-AB05F5FF2AF4}">
  <sheetPr codeName="Feuil131"/>
  <dimension ref="B2:C13"/>
  <sheetViews>
    <sheetView workbookViewId="0">
      <selection activeCell="D33" sqref="D33"/>
    </sheetView>
  </sheetViews>
  <sheetFormatPr baseColWidth="10" defaultColWidth="11.44140625" defaultRowHeight="14.4"/>
  <cols>
    <col min="1" max="1" width="5.44140625" style="6" customWidth="1"/>
    <col min="2" max="2" width="21.21875" style="6" customWidth="1"/>
    <col min="3" max="16384" width="11.44140625" style="6"/>
  </cols>
  <sheetData>
    <row r="2" spans="2:3" ht="36.6">
      <c r="B2" s="395" t="s">
        <v>260</v>
      </c>
    </row>
    <row r="3" spans="2:3">
      <c r="C3" s="456"/>
    </row>
    <row r="4" spans="2:3">
      <c r="B4" s="747" t="s">
        <v>12</v>
      </c>
      <c r="C4" s="748">
        <v>0</v>
      </c>
    </row>
    <row r="5" spans="2:3">
      <c r="B5" s="749" t="s">
        <v>346</v>
      </c>
      <c r="C5" s="750" t="s">
        <v>83</v>
      </c>
    </row>
    <row r="6" spans="2:3">
      <c r="B6" s="749" t="s">
        <v>347</v>
      </c>
      <c r="C6" s="750" t="s">
        <v>83</v>
      </c>
    </row>
    <row r="7" spans="2:3">
      <c r="B7" s="749" t="s">
        <v>348</v>
      </c>
      <c r="C7" s="750" t="s">
        <v>83</v>
      </c>
    </row>
    <row r="8" spans="2:3">
      <c r="B8" s="749" t="s">
        <v>349</v>
      </c>
      <c r="C8" s="750" t="s">
        <v>83</v>
      </c>
    </row>
    <row r="9" spans="2:3">
      <c r="B9" s="749" t="s">
        <v>342</v>
      </c>
      <c r="C9" s="750" t="s">
        <v>259</v>
      </c>
    </row>
    <row r="10" spans="2:3">
      <c r="B10" s="749" t="s">
        <v>343</v>
      </c>
      <c r="C10" s="750" t="s">
        <v>259</v>
      </c>
    </row>
    <row r="11" spans="2:3">
      <c r="B11" s="749" t="s">
        <v>344</v>
      </c>
      <c r="C11" s="750" t="s">
        <v>259</v>
      </c>
    </row>
    <row r="12" spans="2:3">
      <c r="B12" s="749" t="s">
        <v>345</v>
      </c>
      <c r="C12" s="750" t="s">
        <v>259</v>
      </c>
    </row>
    <row r="13" spans="2:3">
      <c r="B13" s="751" t="s">
        <v>237</v>
      </c>
      <c r="C13" s="752">
        <v>0</v>
      </c>
    </row>
  </sheetData>
  <sortState xmlns:xlrd2="http://schemas.microsoft.com/office/spreadsheetml/2017/richdata2" ref="B5:C13">
    <sortCondition ref="B4:B13"/>
  </sortState>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6D06-6A73-4FDC-81A5-4FDAFD081C3E}">
  <sheetPr codeName="Feuil18"/>
  <dimension ref="B2:N104"/>
  <sheetViews>
    <sheetView workbookViewId="0">
      <selection activeCell="C116" sqref="C116:D116"/>
    </sheetView>
  </sheetViews>
  <sheetFormatPr baseColWidth="10" defaultColWidth="11.5546875" defaultRowHeight="14.4"/>
  <sheetData>
    <row r="2" spans="2:2">
      <c r="B2" s="554" t="s">
        <v>1219</v>
      </c>
    </row>
    <row r="104" spans="14:14" ht="21">
      <c r="N104" s="794" t="s">
        <v>1232</v>
      </c>
    </row>
  </sheetData>
  <hyperlinks>
    <hyperlink ref="B2" r:id="rId1" xr:uid="{ED811DD5-FB72-4452-AFE6-2DCBD0BFFC2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C95F529B0A8544A37317541C709005" ma:contentTypeVersion="3" ma:contentTypeDescription="Crée un document." ma:contentTypeScope="" ma:versionID="5dc4d85ce8fc9df95ecb336b7224a8b1">
  <xsd:schema xmlns:xsd="http://www.w3.org/2001/XMLSchema" xmlns:xs="http://www.w3.org/2001/XMLSchema" xmlns:p="http://schemas.microsoft.com/office/2006/metadata/properties" xmlns:ns2="b671e4ae-b606-4664-94ca-33f4e1ee5c43" targetNamespace="http://schemas.microsoft.com/office/2006/metadata/properties" ma:root="true" ma:fieldsID="112b41350e77798fd52c66fd904a329a" ns2:_="">
    <xsd:import namespace="b671e4ae-b606-4664-94ca-33f4e1ee5c43"/>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1e4ae-b606-4664-94ca-33f4e1ee5c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37D787-0848-4882-B097-EBB9C86F6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1e4ae-b606-4664-94ca-33f4e1ee5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A6BBFB-07FB-4629-A0CA-FC13F74C8F70}">
  <ds:schemaRefs>
    <ds:schemaRef ds:uri="http://www.w3.org/XML/1998/namespace"/>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671e4ae-b606-4664-94ca-33f4e1ee5c43"/>
    <ds:schemaRef ds:uri="http://schemas.microsoft.com/office/2006/metadata/properties"/>
  </ds:schemaRefs>
</ds:datastoreItem>
</file>

<file path=customXml/itemProps3.xml><?xml version="1.0" encoding="utf-8"?>
<ds:datastoreItem xmlns:ds="http://schemas.openxmlformats.org/officeDocument/2006/customXml" ds:itemID="{B1C55533-6582-4628-8BF4-D73297DA29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34</vt:i4>
      </vt:variant>
      <vt:variant>
        <vt:lpstr>Plages nommées</vt:lpstr>
      </vt:variant>
      <vt:variant>
        <vt:i4>7</vt:i4>
      </vt:variant>
    </vt:vector>
  </HeadingPairs>
  <TitlesOfParts>
    <vt:vector size="41" baseType="lpstr">
      <vt:lpstr>Onglet Énergir</vt:lpstr>
      <vt:lpstr>1. General Information</vt:lpstr>
      <vt:lpstr>2. Detailed report of costs</vt:lpstr>
      <vt:lpstr>3a. Calculator - Instructions</vt:lpstr>
      <vt:lpstr>3b. Calculator - EEM 1</vt:lpstr>
      <vt:lpstr>3c. Calculator EEM 2-3</vt:lpstr>
      <vt:lpstr>4. Request for payment</vt:lpstr>
      <vt:lpstr>Subvention</vt:lpstr>
      <vt:lpstr>Menus déroulants</vt:lpstr>
      <vt:lpstr>Détails des onglets</vt:lpstr>
      <vt:lpstr>Hypothèses</vt:lpstr>
      <vt:lpstr>Isolation</vt:lpstr>
      <vt:lpstr>Isolation - CAS 1</vt:lpstr>
      <vt:lpstr>Isolation - CAS 2</vt:lpstr>
      <vt:lpstr>Isolation - CAS 3</vt:lpstr>
      <vt:lpstr>Propriété_air</vt:lpstr>
      <vt:lpstr>Propriété_matériau</vt:lpstr>
      <vt:lpstr>P opération brûleur - avant MEE</vt:lpstr>
      <vt:lpstr>P opération brûleur - éco</vt:lpstr>
      <vt:lpstr>Combustion_Chaud1</vt:lpstr>
      <vt:lpstr>Combustion_Chaud2</vt:lpstr>
      <vt:lpstr>Combustion_Chaud3</vt:lpstr>
      <vt:lpstr>Combustion_Chaud4</vt:lpstr>
      <vt:lpstr>Micromodulation et sonde O2</vt:lpstr>
      <vt:lpstr>Combustion_Chaud1 (Micro)</vt:lpstr>
      <vt:lpstr>Combustion_Chaud2 (Micro)</vt:lpstr>
      <vt:lpstr>Combustion_Chaud3 (Micro)</vt:lpstr>
      <vt:lpstr>Combustion_Chaud4 (Micro)</vt:lpstr>
      <vt:lpstr>Tables vapeur</vt:lpstr>
      <vt:lpstr>Facteurs conversion</vt:lpstr>
      <vt:lpstr>normales 1981-2010</vt:lpstr>
      <vt:lpstr>T° eau</vt:lpstr>
      <vt:lpstr>Cond_valid</vt:lpstr>
      <vt:lpstr>Détails calcul isolation</vt:lpstr>
      <vt:lpstr>'Isolation - CAS 1'!Impression_des_titres</vt:lpstr>
      <vt:lpstr>'Isolation - CAS 2'!Impression_des_titres</vt:lpstr>
      <vt:lpstr>'Isolation - CAS 3'!Impression_des_titres</vt:lpstr>
      <vt:lpstr>'Isolation - CAS 1'!Zone_d_impression</vt:lpstr>
      <vt:lpstr>'Isolation - CAS 2'!Zone_d_impression</vt:lpstr>
      <vt:lpstr>'Isolation - CAS 3'!Zone_d_impression</vt:lpstr>
      <vt:lpstr>Propriété_matériau!Zone_d_impression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Eppner Fanny</dc:creator>
  <cp:keywords/>
  <dc:description/>
  <cp:lastModifiedBy>Prévot Blanche</cp:lastModifiedBy>
  <cp:revision/>
  <dcterms:created xsi:type="dcterms:W3CDTF">2022-07-21T14:43:21Z</dcterms:created>
  <dcterms:modified xsi:type="dcterms:W3CDTF">2025-05-08T13:14:44Z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0x010100C7C95F529B0A8544A37317541C709005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